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mc:AlternateContent xmlns:mc="http://schemas.openxmlformats.org/markup-compatibility/2006">
    <mc:Choice Requires="x15">
      <x15ac:absPath xmlns:x15ac="http://schemas.microsoft.com/office/spreadsheetml/2010/11/ac" url="https://mnscu-my.sharepoint.com/personal/ok4252ok_go_minnstate_edu/Documents/MinneMUDAC/minnemudac-2019/Raw_Data/xlsx files/"/>
    </mc:Choice>
  </mc:AlternateContent>
  <xr:revisionPtr revIDLastSave="0" documentId="13_ncr:20001_{D3977576-6A37-4DEB-9C85-907AF9D7A878}" xr6:coauthVersionLast="45" xr6:coauthVersionMax="45" xr10:uidLastSave="{00000000-0000-0000-0000-000000000000}"/>
  <bookViews>
    <workbookView xWindow="-108" yWindow="-108" windowWidth="23256" windowHeight="13176" xr2:uid="{00000000-000D-0000-FFFF-FFFF00000000}"/>
  </bookViews>
  <sheets>
    <sheet name="Export Summary" sheetId="1" r:id="rId1"/>
    <sheet name="Contents" sheetId="2" r:id="rId2"/>
    <sheet name="Table 2" sheetId="3" r:id="rId3"/>
    <sheet name="Table 3" sheetId="4" r:id="rId4"/>
    <sheet name="Table 8" sheetId="5" r:id="rId5"/>
    <sheet name="Table 9" sheetId="6" r:id="rId6"/>
    <sheet name="Table 10" sheetId="7" r:id="rId7"/>
    <sheet name="Cover" sheetId="8" r:id="rId8"/>
    <sheet name="Oil Crops Chart Gallery Fig 1" sheetId="9" r:id="rId9"/>
  </sheets>
  <calcPr calcId="191029"/>
  <fileRecoveryPr repairLoad="1"/>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13" roundtripDataSignature="AMtx7mgSpGQwOIOgARuYGSVVHkr9dY6iTA=="/>
    </ext>
  </extLst>
</workbook>
</file>

<file path=xl/calcChain.xml><?xml version="1.0" encoding="utf-8"?>
<calcChain xmlns="http://schemas.openxmlformats.org/spreadsheetml/2006/main">
  <c r="B47" i="7" l="1"/>
  <c r="B46" i="6"/>
  <c r="B46" i="5"/>
  <c r="B40" i="4"/>
  <c r="H37" i="4"/>
  <c r="C37" i="4"/>
  <c r="L36" i="4"/>
  <c r="J36" i="4"/>
  <c r="D36" i="4"/>
  <c r="L35" i="4"/>
  <c r="B36" i="4" s="1"/>
  <c r="E36" i="4" s="1"/>
  <c r="K36" i="4" s="1"/>
  <c r="G36" i="4" s="1"/>
  <c r="J35" i="4"/>
  <c r="D35" i="4"/>
  <c r="L34" i="4"/>
  <c r="B35" i="4" s="1"/>
  <c r="E35" i="4" s="1"/>
  <c r="K35" i="4" s="1"/>
  <c r="G35" i="4" s="1"/>
  <c r="I35" i="4" s="1"/>
  <c r="J34" i="4"/>
  <c r="D34" i="4"/>
  <c r="L33" i="4"/>
  <c r="B34" i="4" s="1"/>
  <c r="E34" i="4" s="1"/>
  <c r="K34" i="4" s="1"/>
  <c r="G34" i="4" s="1"/>
  <c r="I34" i="4" s="1"/>
  <c r="J33" i="4"/>
  <c r="D33" i="4"/>
  <c r="L32" i="4"/>
  <c r="B33" i="4" s="1"/>
  <c r="E33" i="4" s="1"/>
  <c r="K33" i="4" s="1"/>
  <c r="G33" i="4" s="1"/>
  <c r="I33" i="4" s="1"/>
  <c r="J32" i="4"/>
  <c r="D32" i="4"/>
  <c r="L31" i="4"/>
  <c r="B32" i="4" s="1"/>
  <c r="E32" i="4" s="1"/>
  <c r="K32" i="4" s="1"/>
  <c r="G32" i="4" s="1"/>
  <c r="I32" i="4" s="1"/>
  <c r="J31" i="4"/>
  <c r="D31" i="4"/>
  <c r="L30" i="4"/>
  <c r="B31" i="4" s="1"/>
  <c r="E31" i="4" s="1"/>
  <c r="K31" i="4" s="1"/>
  <c r="G31" i="4" s="1"/>
  <c r="I31" i="4" s="1"/>
  <c r="J30" i="4"/>
  <c r="D30" i="4"/>
  <c r="L29" i="4"/>
  <c r="B30" i="4" s="1"/>
  <c r="E30" i="4" s="1"/>
  <c r="K30" i="4" s="1"/>
  <c r="G30" i="4" s="1"/>
  <c r="I30" i="4" s="1"/>
  <c r="J29" i="4"/>
  <c r="D29" i="4"/>
  <c r="L28" i="4"/>
  <c r="B29" i="4" s="1"/>
  <c r="E29" i="4" s="1"/>
  <c r="K29" i="4" s="1"/>
  <c r="G29" i="4" s="1"/>
  <c r="I29" i="4" s="1"/>
  <c r="J28" i="4"/>
  <c r="J37" i="4" s="1"/>
  <c r="D28" i="4"/>
  <c r="D37" i="4" s="1"/>
  <c r="J25" i="4"/>
  <c r="H25" i="4"/>
  <c r="C25" i="4"/>
  <c r="L24" i="4"/>
  <c r="L7" i="4" s="1"/>
  <c r="B8" i="4" s="1"/>
  <c r="E8" i="4" s="1"/>
  <c r="K8" i="4" s="1"/>
  <c r="G8" i="4" s="1"/>
  <c r="I8" i="4" s="1"/>
  <c r="J24" i="4"/>
  <c r="D24" i="4"/>
  <c r="L23" i="4"/>
  <c r="B24" i="4" s="1"/>
  <c r="E24" i="4" s="1"/>
  <c r="K24" i="4" s="1"/>
  <c r="G24" i="4" s="1"/>
  <c r="I24" i="4" s="1"/>
  <c r="J23" i="4"/>
  <c r="D23" i="4"/>
  <c r="L22" i="4"/>
  <c r="B23" i="4" s="1"/>
  <c r="E23" i="4" s="1"/>
  <c r="K23" i="4" s="1"/>
  <c r="G23" i="4" s="1"/>
  <c r="I23" i="4" s="1"/>
  <c r="J22" i="4"/>
  <c r="D22" i="4"/>
  <c r="L21" i="4"/>
  <c r="B22" i="4" s="1"/>
  <c r="E22" i="4" s="1"/>
  <c r="K22" i="4" s="1"/>
  <c r="G22" i="4" s="1"/>
  <c r="I22" i="4" s="1"/>
  <c r="J21" i="4"/>
  <c r="D21" i="4"/>
  <c r="L20" i="4"/>
  <c r="B21" i="4" s="1"/>
  <c r="E21" i="4" s="1"/>
  <c r="K21" i="4" s="1"/>
  <c r="G21" i="4" s="1"/>
  <c r="I21" i="4" s="1"/>
  <c r="J20" i="4"/>
  <c r="D20" i="4"/>
  <c r="L19" i="4"/>
  <c r="B20" i="4" s="1"/>
  <c r="E20" i="4" s="1"/>
  <c r="K20" i="4" s="1"/>
  <c r="G20" i="4" s="1"/>
  <c r="I20" i="4" s="1"/>
  <c r="J19" i="4"/>
  <c r="D19" i="4"/>
  <c r="L18" i="4"/>
  <c r="B19" i="4" s="1"/>
  <c r="E19" i="4" s="1"/>
  <c r="K19" i="4" s="1"/>
  <c r="G19" i="4" s="1"/>
  <c r="I19" i="4" s="1"/>
  <c r="J18" i="4"/>
  <c r="D18" i="4"/>
  <c r="L17" i="4"/>
  <c r="B18" i="4" s="1"/>
  <c r="E18" i="4" s="1"/>
  <c r="K18" i="4" s="1"/>
  <c r="G18" i="4" s="1"/>
  <c r="I18" i="4" s="1"/>
  <c r="J17" i="4"/>
  <c r="D17" i="4"/>
  <c r="L16" i="4"/>
  <c r="B17" i="4" s="1"/>
  <c r="E17" i="4" s="1"/>
  <c r="K17" i="4" s="1"/>
  <c r="G17" i="4" s="1"/>
  <c r="I17" i="4" s="1"/>
  <c r="J16" i="4"/>
  <c r="D16" i="4"/>
  <c r="L15" i="4"/>
  <c r="B16" i="4" s="1"/>
  <c r="E16" i="4" s="1"/>
  <c r="K16" i="4" s="1"/>
  <c r="G16" i="4" s="1"/>
  <c r="I16" i="4" s="1"/>
  <c r="J15" i="4"/>
  <c r="D15" i="4"/>
  <c r="L14" i="4"/>
  <c r="B15" i="4" s="1"/>
  <c r="E15" i="4" s="1"/>
  <c r="K15" i="4" s="1"/>
  <c r="G15" i="4" s="1"/>
  <c r="I15" i="4" s="1"/>
  <c r="J14" i="4"/>
  <c r="D14" i="4"/>
  <c r="L13" i="4"/>
  <c r="B14" i="4" s="1"/>
  <c r="E14" i="4" s="1"/>
  <c r="K14" i="4" s="1"/>
  <c r="G14" i="4" s="1"/>
  <c r="I14" i="4" s="1"/>
  <c r="J13" i="4"/>
  <c r="E13" i="4"/>
  <c r="K13" i="4" s="1"/>
  <c r="D13" i="4"/>
  <c r="D25" i="4" s="1"/>
  <c r="E9" i="4"/>
  <c r="K9" i="4" s="1"/>
  <c r="G9" i="4" s="1"/>
  <c r="I9" i="4" s="1"/>
  <c r="B9" i="4"/>
  <c r="J7" i="4"/>
  <c r="H7" i="4"/>
  <c r="C7" i="4"/>
  <c r="B38" i="3"/>
  <c r="H35" i="3"/>
  <c r="C35" i="3"/>
  <c r="J34" i="3"/>
  <c r="H34" i="3"/>
  <c r="D34" i="3"/>
  <c r="C34" i="3"/>
  <c r="B34" i="3"/>
  <c r="E34" i="3" s="1"/>
  <c r="I34" i="3" s="1"/>
  <c r="G34" i="3" s="1"/>
  <c r="J33" i="3"/>
  <c r="H33" i="3"/>
  <c r="D33" i="3"/>
  <c r="C33" i="3"/>
  <c r="B33" i="3"/>
  <c r="E33" i="3" s="1"/>
  <c r="I33" i="3" s="1"/>
  <c r="G33" i="3" s="1"/>
  <c r="J32" i="3"/>
  <c r="H32" i="3"/>
  <c r="D32" i="3"/>
  <c r="C32" i="3"/>
  <c r="B32" i="3"/>
  <c r="E32" i="3" s="1"/>
  <c r="I32" i="3" s="1"/>
  <c r="G32" i="3" s="1"/>
  <c r="J31" i="3"/>
  <c r="H31" i="3"/>
  <c r="D31" i="3"/>
  <c r="C31" i="3"/>
  <c r="B31" i="3"/>
  <c r="E31" i="3" s="1"/>
  <c r="I31" i="3" s="1"/>
  <c r="G31" i="3" s="1"/>
  <c r="J30" i="3"/>
  <c r="H30" i="3"/>
  <c r="D30" i="3"/>
  <c r="C30" i="3"/>
  <c r="B30" i="3"/>
  <c r="E30" i="3" s="1"/>
  <c r="I30" i="3" s="1"/>
  <c r="G30" i="3" s="1"/>
  <c r="J29" i="3"/>
  <c r="H29" i="3"/>
  <c r="D29" i="3"/>
  <c r="C29" i="3"/>
  <c r="B29" i="3"/>
  <c r="E29" i="3" s="1"/>
  <c r="I29" i="3" s="1"/>
  <c r="G29" i="3" s="1"/>
  <c r="J28" i="3"/>
  <c r="H28" i="3"/>
  <c r="D28" i="3"/>
  <c r="C28" i="3"/>
  <c r="B28" i="3"/>
  <c r="E28" i="3" s="1"/>
  <c r="I28" i="3" s="1"/>
  <c r="G28" i="3" s="1"/>
  <c r="J27" i="3"/>
  <c r="H27" i="3"/>
  <c r="D27" i="3"/>
  <c r="C27" i="3"/>
  <c r="B27" i="3"/>
  <c r="E27" i="3" s="1"/>
  <c r="I27" i="3" s="1"/>
  <c r="G27" i="3" s="1"/>
  <c r="J26" i="3"/>
  <c r="H26" i="3"/>
  <c r="D26" i="3"/>
  <c r="D35" i="3" s="1"/>
  <c r="C26" i="3"/>
  <c r="B26" i="3"/>
  <c r="E26" i="3" s="1"/>
  <c r="J22" i="3"/>
  <c r="H22" i="3"/>
  <c r="D22" i="3"/>
  <c r="C22" i="3"/>
  <c r="B22" i="3"/>
  <c r="E22" i="3" s="1"/>
  <c r="I22" i="3" s="1"/>
  <c r="G22" i="3" s="1"/>
  <c r="J21" i="3"/>
  <c r="H21" i="3"/>
  <c r="D21" i="3"/>
  <c r="C21" i="3"/>
  <c r="B21" i="3"/>
  <c r="E21" i="3" s="1"/>
  <c r="I21" i="3" s="1"/>
  <c r="G21" i="3" s="1"/>
  <c r="J20" i="3"/>
  <c r="H20" i="3"/>
  <c r="D20" i="3"/>
  <c r="C20" i="3"/>
  <c r="B20" i="3"/>
  <c r="E20" i="3" s="1"/>
  <c r="I20" i="3" s="1"/>
  <c r="G20" i="3" s="1"/>
  <c r="J19" i="3"/>
  <c r="H19" i="3"/>
  <c r="D19" i="3"/>
  <c r="C19" i="3"/>
  <c r="B19" i="3"/>
  <c r="E19" i="3" s="1"/>
  <c r="I19" i="3" s="1"/>
  <c r="G19" i="3" s="1"/>
  <c r="J18" i="3"/>
  <c r="H18" i="3"/>
  <c r="D18" i="3"/>
  <c r="C18" i="3"/>
  <c r="B18" i="3"/>
  <c r="E18" i="3" s="1"/>
  <c r="I18" i="3" s="1"/>
  <c r="G18" i="3" s="1"/>
  <c r="J17" i="3"/>
  <c r="H17" i="3"/>
  <c r="D17" i="3"/>
  <c r="C17" i="3"/>
  <c r="B17" i="3"/>
  <c r="E17" i="3" s="1"/>
  <c r="I17" i="3" s="1"/>
  <c r="G17" i="3" s="1"/>
  <c r="J16" i="3"/>
  <c r="H16" i="3"/>
  <c r="D16" i="3"/>
  <c r="C16" i="3"/>
  <c r="B16" i="3"/>
  <c r="E16" i="3" s="1"/>
  <c r="I16" i="3" s="1"/>
  <c r="G16" i="3" s="1"/>
  <c r="J15" i="3"/>
  <c r="H15" i="3"/>
  <c r="D15" i="3"/>
  <c r="C15" i="3"/>
  <c r="B15" i="3"/>
  <c r="E15" i="3" s="1"/>
  <c r="I15" i="3" s="1"/>
  <c r="G15" i="3" s="1"/>
  <c r="J14" i="3"/>
  <c r="H14" i="3"/>
  <c r="D14" i="3"/>
  <c r="C14" i="3"/>
  <c r="B14" i="3"/>
  <c r="E14" i="3" s="1"/>
  <c r="I14" i="3" s="1"/>
  <c r="G14" i="3" s="1"/>
  <c r="J13" i="3"/>
  <c r="H13" i="3"/>
  <c r="D13" i="3"/>
  <c r="C13" i="3"/>
  <c r="B13" i="3"/>
  <c r="E13" i="3" s="1"/>
  <c r="I13" i="3" s="1"/>
  <c r="G13" i="3" s="1"/>
  <c r="J12" i="3"/>
  <c r="H12" i="3"/>
  <c r="D12" i="3"/>
  <c r="C12" i="3"/>
  <c r="B12" i="3"/>
  <c r="E12" i="3" s="1"/>
  <c r="I12" i="3" s="1"/>
  <c r="G12" i="3" s="1"/>
  <c r="J11" i="3"/>
  <c r="H11" i="3"/>
  <c r="H23" i="3" s="1"/>
  <c r="D11" i="3"/>
  <c r="D23" i="3" s="1"/>
  <c r="D6" i="3" s="1"/>
  <c r="C11" i="3"/>
  <c r="C23" i="3" s="1"/>
  <c r="E8" i="3"/>
  <c r="I8" i="3" s="1"/>
  <c r="G8" i="3" s="1"/>
  <c r="I7" i="3"/>
  <c r="G7" i="3" s="1"/>
  <c r="E7" i="3"/>
  <c r="A5" i="2"/>
  <c r="E25" i="4" l="1"/>
  <c r="D7" i="4"/>
  <c r="K25" i="4"/>
  <c r="G13" i="4"/>
  <c r="E35" i="3"/>
  <c r="I26" i="3"/>
  <c r="E7" i="4"/>
  <c r="K7" i="4" s="1"/>
  <c r="G7" i="4" s="1"/>
  <c r="I7" i="4" s="1"/>
  <c r="E23" i="3"/>
  <c r="C6" i="3"/>
  <c r="E6" i="3" s="1"/>
  <c r="I6" i="3" s="1"/>
  <c r="G6" i="3" s="1"/>
  <c r="E11" i="3"/>
  <c r="I11" i="3" s="1"/>
  <c r="B28" i="4"/>
  <c r="I13" i="4" l="1"/>
  <c r="I25" i="4" s="1"/>
  <c r="G25" i="4"/>
  <c r="E28" i="4"/>
  <c r="K28" i="4" s="1"/>
  <c r="E37" i="4"/>
  <c r="I23" i="3"/>
  <c r="G11" i="3"/>
  <c r="G23" i="3" s="1"/>
  <c r="G26" i="3"/>
  <c r="G35" i="3" s="1"/>
  <c r="I35" i="3"/>
  <c r="K37" i="4" l="1"/>
  <c r="G28" i="4"/>
  <c r="G37" i="4" l="1"/>
  <c r="I28" i="4"/>
  <c r="I37" i="4" s="1"/>
</calcChain>
</file>

<file path=xl/sharedStrings.xml><?xml version="1.0" encoding="utf-8"?>
<sst xmlns="http://schemas.openxmlformats.org/spreadsheetml/2006/main" count="401" uniqueCount="149">
  <si>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</si>
  <si>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</si>
  <si>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</si>
  <si>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</si>
  <si>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Contents</t>
  </si>
  <si>
    <t>Table 1</t>
  </si>
  <si>
    <t>Table 2</t>
  </si>
  <si>
    <t>Table 3</t>
  </si>
  <si>
    <t>Table 8</t>
  </si>
  <si>
    <t>Table 9</t>
  </si>
  <si>
    <t>Table 10</t>
  </si>
  <si>
    <t>Cover</t>
  </si>
  <si>
    <t>Oil Crops Chart Gallery Fig 1</t>
  </si>
  <si>
    <t>Oil Crops Chart Gallery Fig 2</t>
  </si>
  <si>
    <t>Table 3--Soybean oil:  U.S. supply and disappearance</t>
  </si>
  <si>
    <t xml:space="preserve">          Supply</t>
  </si>
  <si>
    <t>Disappearance</t>
  </si>
  <si>
    <t>Year beginning</t>
  </si>
  <si>
    <t xml:space="preserve">Beginning </t>
  </si>
  <si>
    <t>Production</t>
  </si>
  <si>
    <t xml:space="preserve">Imports </t>
  </si>
  <si>
    <t xml:space="preserve">Total  </t>
  </si>
  <si>
    <t xml:space="preserve">Domestic </t>
  </si>
  <si>
    <t xml:space="preserve">Exports </t>
  </si>
  <si>
    <t xml:space="preserve">Ending </t>
  </si>
  <si>
    <t>October 1</t>
  </si>
  <si>
    <t xml:space="preserve">stocks </t>
  </si>
  <si>
    <t>Total</t>
  </si>
  <si>
    <t>Biodiesel</t>
  </si>
  <si>
    <t>Food &amp; Other</t>
  </si>
  <si>
    <t xml:space="preserve"> stocks </t>
  </si>
  <si>
    <t>Million pounds</t>
  </si>
  <si>
    <r>
      <rPr>
        <sz val="11"/>
        <color rgb="FF000000"/>
        <rFont val="Arial"/>
      </rPr>
      <t>2017/18</t>
    </r>
    <r>
      <rPr>
        <vertAlign val="superscript"/>
        <sz val="11"/>
        <color rgb="FF000000"/>
        <rFont val="Arial"/>
      </rPr>
      <t>1</t>
    </r>
  </si>
  <si>
    <r>
      <rPr>
        <sz val="11"/>
        <color rgb="FF000000"/>
        <rFont val="Arial"/>
      </rPr>
      <t>2018/19</t>
    </r>
    <r>
      <rPr>
        <vertAlign val="superscript"/>
        <sz val="11"/>
        <color rgb="FF000000"/>
        <rFont val="Arial"/>
      </rPr>
      <t>2</t>
    </r>
  </si>
  <si>
    <r>
      <rPr>
        <sz val="11"/>
        <color rgb="FF000000"/>
        <rFont val="Arial"/>
      </rPr>
      <t>2019/20</t>
    </r>
    <r>
      <rPr>
        <vertAlign val="superscript"/>
        <sz val="11"/>
        <color rgb="FF000000"/>
        <rFont val="Arial"/>
      </rPr>
      <t>2</t>
    </r>
  </si>
  <si>
    <t>2017/18</t>
  </si>
  <si>
    <t>October</t>
  </si>
  <si>
    <t>November</t>
  </si>
  <si>
    <t>December</t>
  </si>
  <si>
    <t>January</t>
  </si>
  <si>
    <t>February</t>
  </si>
  <si>
    <t>March</t>
  </si>
  <si>
    <t>April</t>
  </si>
  <si>
    <t>May</t>
  </si>
  <si>
    <t>June</t>
  </si>
  <si>
    <t>July</t>
  </si>
  <si>
    <t>August</t>
  </si>
  <si>
    <t>September</t>
  </si>
  <si>
    <t>2018/19</t>
  </si>
  <si>
    <t>NA</t>
  </si>
  <si>
    <t>Total to date</t>
  </si>
  <si>
    <r>
      <rPr>
        <vertAlign val="superscript"/>
        <sz val="11"/>
        <color rgb="FF000000"/>
        <rFont val="Arial"/>
      </rPr>
      <t>1</t>
    </r>
    <r>
      <rPr>
        <sz val="11"/>
        <color rgb="FF000000"/>
        <rFont val="Arial"/>
      </rPr>
      <t xml:space="preserve"> Estimated.  </t>
    </r>
    <r>
      <rPr>
        <vertAlign val="superscript"/>
        <sz val="11"/>
        <color rgb="FF000000"/>
        <rFont val="Arial"/>
      </rPr>
      <t>2</t>
    </r>
    <r>
      <rPr>
        <sz val="11"/>
        <color rgb="FF000000"/>
        <rFont val="Arial"/>
      </rPr>
      <t xml:space="preserve"> Forecast.  Note: 1 metric ton equals 2,204.622 pounds. NA: Not available.</t>
    </r>
  </si>
  <si>
    <r>
      <rPr>
        <sz val="11"/>
        <color rgb="FF000000"/>
        <rFont val="Arial"/>
      </rPr>
      <t xml:space="preserve">Source: USDA, World Agricultural Outlook Board, </t>
    </r>
    <r>
      <rPr>
        <i/>
        <sz val="11"/>
        <color rgb="FF000000"/>
        <rFont val="Arial"/>
      </rPr>
      <t>World Agricultural Supply and Demand Estimates.</t>
    </r>
  </si>
  <si>
    <t>Last update:</t>
  </si>
  <si>
    <t>Table 2--Soybean meal:  U.S. supply and disappearance</t>
  </si>
  <si>
    <t>Beginning</t>
  </si>
  <si>
    <t>Imports</t>
  </si>
  <si>
    <t xml:space="preserve">Exports  </t>
  </si>
  <si>
    <t xml:space="preserve">     -------------------------------------------- 1,000 short tons--------------------------------------------</t>
  </si>
  <si>
    <r>
      <rPr>
        <sz val="11"/>
        <color rgb="FF000000"/>
        <rFont val="Arial"/>
      </rPr>
      <t>2017/18</t>
    </r>
    <r>
      <rPr>
        <vertAlign val="superscript"/>
        <sz val="11"/>
        <color rgb="FF000000"/>
        <rFont val="Arial"/>
      </rPr>
      <t>1</t>
    </r>
  </si>
  <si>
    <r>
      <rPr>
        <sz val="11"/>
        <color rgb="FF000000"/>
        <rFont val="Arial"/>
      </rPr>
      <t>2018/19</t>
    </r>
    <r>
      <rPr>
        <vertAlign val="superscript"/>
        <sz val="11"/>
        <color rgb="FF000000"/>
        <rFont val="Arial"/>
      </rPr>
      <t>2</t>
    </r>
  </si>
  <si>
    <r>
      <rPr>
        <sz val="11"/>
        <color rgb="FF000000"/>
        <rFont val="Arial"/>
      </rPr>
      <t>2019/20</t>
    </r>
    <r>
      <rPr>
        <vertAlign val="superscript"/>
        <sz val="11"/>
        <color rgb="FF000000"/>
        <rFont val="Arial"/>
      </rPr>
      <t>2</t>
    </r>
  </si>
  <si>
    <t>Oil Crops Outlook Tables</t>
  </si>
  <si>
    <t>Last update</t>
  </si>
  <si>
    <t>Table 1--Soybeans:  Annual U.S. supply and disappearance</t>
  </si>
  <si>
    <t>Table 4--Cottonseed:  U.S. supply and disappearance</t>
  </si>
  <si>
    <t>Table 5--Cottonseed meal:  U.S. supply and disappearance</t>
  </si>
  <si>
    <t>Table 6--Cottonseed oil:  U.S. supply and disappearance</t>
  </si>
  <si>
    <t>Table 7--Peanuts:  U.S. supply and disappearance</t>
  </si>
  <si>
    <t>Table 8--Oilseed prices received by U.S. farmers</t>
  </si>
  <si>
    <t>Table 9--U.S. vegetable oil and fats prices</t>
  </si>
  <si>
    <t xml:space="preserve">Table 10--U.S. oilseed meal prices </t>
  </si>
  <si>
    <t xml:space="preserve">Contacts: Mark Ash at mash@ers.usda.gov   </t>
  </si>
  <si>
    <t xml:space="preserve">and Mariana Matias at mariana.matias@ers.usda.gov </t>
  </si>
  <si>
    <r>
      <rPr>
        <vertAlign val="superscript"/>
        <sz val="11"/>
        <color rgb="FF000000"/>
        <rFont val="Arial"/>
      </rPr>
      <t>1</t>
    </r>
    <r>
      <rPr>
        <sz val="11"/>
        <color rgb="FF000000"/>
        <rFont val="Arial"/>
      </rPr>
      <t xml:space="preserve"> Estimated.  </t>
    </r>
    <r>
      <rPr>
        <vertAlign val="superscript"/>
        <sz val="11"/>
        <color rgb="FF000000"/>
        <rFont val="Arial"/>
      </rPr>
      <t>2</t>
    </r>
    <r>
      <rPr>
        <sz val="11"/>
        <color rgb="FF000000"/>
        <rFont val="Arial"/>
      </rPr>
      <t xml:space="preserve"> Forecast.  Note: 1 metric ton equals 1.10231 short tons. NA: Not available.</t>
    </r>
  </si>
  <si>
    <r>
      <rPr>
        <sz val="11"/>
        <color rgb="FF000000"/>
        <rFont val="Arial"/>
      </rPr>
      <t xml:space="preserve">Source: USDA, World Agricultural Outlook Board, </t>
    </r>
    <r>
      <rPr>
        <i/>
        <sz val="11"/>
        <color rgb="FF000000"/>
        <rFont val="Arial"/>
      </rPr>
      <t>World Agricultural Supply and Demand Estimates.</t>
    </r>
  </si>
  <si>
    <t>Marketing</t>
  </si>
  <si>
    <r>
      <rPr>
        <sz val="11"/>
        <color rgb="FF000000"/>
        <rFont val="Arial"/>
      </rPr>
      <t>Soybeans</t>
    </r>
    <r>
      <rPr>
        <vertAlign val="superscript"/>
        <sz val="11"/>
        <color rgb="FF000000"/>
        <rFont val="Arial"/>
      </rPr>
      <t>1</t>
    </r>
  </si>
  <si>
    <r>
      <rPr>
        <sz val="11"/>
        <color rgb="FF000000"/>
        <rFont val="Arial"/>
      </rPr>
      <t>Cottonseed</t>
    </r>
    <r>
      <rPr>
        <vertAlign val="superscript"/>
        <sz val="11"/>
        <color rgb="FF000000"/>
        <rFont val="Arial"/>
      </rPr>
      <t>2</t>
    </r>
  </si>
  <si>
    <r>
      <rPr>
        <sz val="11"/>
        <color rgb="FF000000"/>
        <rFont val="Arial"/>
      </rPr>
      <t>Sunflowerseed</t>
    </r>
    <r>
      <rPr>
        <vertAlign val="superscript"/>
        <sz val="11"/>
        <color rgb="FF000000"/>
        <rFont val="Arial"/>
      </rPr>
      <t>1</t>
    </r>
  </si>
  <si>
    <r>
      <rPr>
        <sz val="11"/>
        <color rgb="FF000000"/>
        <rFont val="Arial"/>
      </rPr>
      <t>Canola</t>
    </r>
    <r>
      <rPr>
        <vertAlign val="superscript"/>
        <sz val="11"/>
        <color rgb="FF000000"/>
        <rFont val="Arial"/>
      </rPr>
      <t>1</t>
    </r>
  </si>
  <si>
    <r>
      <rPr>
        <sz val="11"/>
        <color rgb="FF000000"/>
        <rFont val="Arial"/>
      </rPr>
      <t>Peanuts</t>
    </r>
    <r>
      <rPr>
        <vertAlign val="superscript"/>
        <sz val="11"/>
        <color rgb="FF000000"/>
        <rFont val="Arial"/>
      </rPr>
      <t>2</t>
    </r>
  </si>
  <si>
    <r>
      <rPr>
        <sz val="11"/>
        <color rgb="FF000000"/>
        <rFont val="Arial"/>
      </rPr>
      <t>Flaxseed</t>
    </r>
    <r>
      <rPr>
        <vertAlign val="superscript"/>
        <sz val="11"/>
        <color rgb="FF000000"/>
        <rFont val="Arial"/>
      </rPr>
      <t>3</t>
    </r>
  </si>
  <si>
    <t>year</t>
  </si>
  <si>
    <t xml:space="preserve">$/bushel </t>
  </si>
  <si>
    <t xml:space="preserve">$/short ton  </t>
  </si>
  <si>
    <t xml:space="preserve">$/cwt </t>
  </si>
  <si>
    <t xml:space="preserve">$/cwt. </t>
  </si>
  <si>
    <t>Cents/pound</t>
  </si>
  <si>
    <t>2009/10</t>
  </si>
  <si>
    <t>2010/11</t>
  </si>
  <si>
    <t>2011/12</t>
  </si>
  <si>
    <t>2012/13</t>
  </si>
  <si>
    <t>2013/14</t>
  </si>
  <si>
    <t>2014/15</t>
  </si>
  <si>
    <t>2015/16</t>
  </si>
  <si>
    <t>2016/17</t>
  </si>
  <si>
    <t>2019/20</t>
  </si>
  <si>
    <r>
      <rPr>
        <vertAlign val="superscript"/>
        <sz val="11"/>
        <color rgb="FF000000"/>
        <rFont val="Arial"/>
      </rPr>
      <t>1</t>
    </r>
    <r>
      <rPr>
        <sz val="11"/>
        <color rgb="FF000000"/>
        <rFont val="Arial"/>
      </rPr>
      <t xml:space="preserve"> September-August.  </t>
    </r>
    <r>
      <rPr>
        <vertAlign val="superscript"/>
        <sz val="11"/>
        <color rgb="FF000000"/>
        <rFont val="Arial"/>
      </rPr>
      <t>2</t>
    </r>
    <r>
      <rPr>
        <sz val="11"/>
        <color rgb="FF000000"/>
        <rFont val="Arial"/>
      </rPr>
      <t xml:space="preserve"> August-July. </t>
    </r>
    <r>
      <rPr>
        <vertAlign val="superscript"/>
        <sz val="11"/>
        <color rgb="FF000000"/>
        <rFont val="Arial"/>
      </rPr>
      <t>3</t>
    </r>
    <r>
      <rPr>
        <sz val="11"/>
        <color rgb="FF000000"/>
        <rFont val="Arial"/>
      </rPr>
      <t xml:space="preserve"> July-June.</t>
    </r>
  </si>
  <si>
    <t>NA = Not available.</t>
  </si>
  <si>
    <t>cwt=hundredweight.</t>
  </si>
  <si>
    <r>
      <rPr>
        <sz val="11"/>
        <color rgb="FF000000"/>
        <rFont val="Arial"/>
      </rPr>
      <t xml:space="preserve">Source: USDA, National Agricultural Statistics Service, </t>
    </r>
    <r>
      <rPr>
        <i/>
        <sz val="11"/>
        <color rgb="FF000000"/>
        <rFont val="Arial"/>
      </rPr>
      <t>Agricultural Prices.</t>
    </r>
    <r>
      <rPr>
        <sz val="11"/>
        <color rgb="FF000000"/>
        <rFont val="Arial"/>
      </rPr>
      <t xml:space="preserve">  </t>
    </r>
  </si>
  <si>
    <t xml:space="preserve">Soybean </t>
  </si>
  <si>
    <t>Cottonseed</t>
  </si>
  <si>
    <t>Sunflowerseed</t>
  </si>
  <si>
    <t>Canola</t>
  </si>
  <si>
    <t xml:space="preserve">Peanut </t>
  </si>
  <si>
    <t xml:space="preserve">Corn  </t>
  </si>
  <si>
    <r>
      <rPr>
        <sz val="11"/>
        <color rgb="FF000000"/>
        <rFont val="Arial"/>
      </rPr>
      <t xml:space="preserve">Lard </t>
    </r>
    <r>
      <rPr>
        <vertAlign val="superscript"/>
        <sz val="11"/>
        <color rgb="FF000000"/>
        <rFont val="Arial"/>
      </rPr>
      <t xml:space="preserve">6  </t>
    </r>
  </si>
  <si>
    <t xml:space="preserve">Edible  </t>
  </si>
  <si>
    <r>
      <rPr>
        <sz val="11"/>
        <color rgb="FF000000"/>
        <rFont val="Arial"/>
      </rPr>
      <t xml:space="preserve">oil </t>
    </r>
    <r>
      <rPr>
        <vertAlign val="superscript"/>
        <sz val="11"/>
        <color rgb="FF000000"/>
        <rFont val="Arial"/>
      </rPr>
      <t xml:space="preserve">2   </t>
    </r>
  </si>
  <si>
    <r>
      <rPr>
        <sz val="11"/>
        <color rgb="FF000000"/>
        <rFont val="Arial"/>
      </rPr>
      <t xml:space="preserve">oil </t>
    </r>
    <r>
      <rPr>
        <vertAlign val="superscript"/>
        <sz val="11"/>
        <color rgb="FF000000"/>
        <rFont val="Arial"/>
      </rPr>
      <t xml:space="preserve">3   </t>
    </r>
  </si>
  <si>
    <r>
      <rPr>
        <sz val="11"/>
        <color rgb="FF000000"/>
        <rFont val="Arial"/>
      </rPr>
      <t xml:space="preserve">oil </t>
    </r>
    <r>
      <rPr>
        <vertAlign val="superscript"/>
        <sz val="11"/>
        <color rgb="FF000000"/>
        <rFont val="Arial"/>
      </rPr>
      <t xml:space="preserve">4   </t>
    </r>
  </si>
  <si>
    <r>
      <rPr>
        <sz val="11"/>
        <color rgb="FF000000"/>
        <rFont val="Arial"/>
      </rPr>
      <t xml:space="preserve">oil </t>
    </r>
    <r>
      <rPr>
        <vertAlign val="superscript"/>
        <sz val="11"/>
        <color rgb="FF000000"/>
        <rFont val="Arial"/>
      </rPr>
      <t xml:space="preserve">4   </t>
    </r>
  </si>
  <si>
    <r>
      <rPr>
        <sz val="11"/>
        <color rgb="FF000000"/>
        <rFont val="Arial"/>
      </rPr>
      <t xml:space="preserve">oil </t>
    </r>
    <r>
      <rPr>
        <vertAlign val="superscript"/>
        <sz val="11"/>
        <color rgb="FF000000"/>
        <rFont val="Arial"/>
      </rPr>
      <t xml:space="preserve">5   </t>
    </r>
  </si>
  <si>
    <r>
      <rPr>
        <sz val="11"/>
        <color rgb="FF000000"/>
        <rFont val="Arial"/>
      </rPr>
      <t xml:space="preserve">oil </t>
    </r>
    <r>
      <rPr>
        <vertAlign val="superscript"/>
        <sz val="11"/>
        <color rgb="FF000000"/>
        <rFont val="Arial"/>
      </rPr>
      <t xml:space="preserve">6   </t>
    </r>
  </si>
  <si>
    <r>
      <rPr>
        <sz val="11"/>
        <color rgb="FF000000"/>
        <rFont val="Arial"/>
      </rPr>
      <t xml:space="preserve">tallow </t>
    </r>
    <r>
      <rPr>
        <vertAlign val="superscript"/>
        <sz val="11"/>
        <color rgb="FF000000"/>
        <rFont val="Arial"/>
      </rPr>
      <t xml:space="preserve">6 </t>
    </r>
  </si>
  <si>
    <t>------------------------------------------------------- Cents/ pound----------------------------------------------</t>
  </si>
  <si>
    <r>
      <rPr>
        <sz val="11"/>
        <color rgb="FF000000"/>
        <rFont val="Arial"/>
      </rPr>
      <t>2018/19</t>
    </r>
    <r>
      <rPr>
        <vertAlign val="superscript"/>
        <sz val="11"/>
        <color rgb="FF000000"/>
        <rFont val="Arial"/>
      </rPr>
      <t>1</t>
    </r>
  </si>
  <si>
    <r>
      <rPr>
        <sz val="11"/>
        <color rgb="FF000000"/>
        <rFont val="Arial"/>
      </rPr>
      <t>2019/20</t>
    </r>
    <r>
      <rPr>
        <vertAlign val="superscript"/>
        <sz val="11"/>
        <color rgb="FF000000"/>
        <rFont val="Arial"/>
      </rPr>
      <t>1</t>
    </r>
  </si>
  <si>
    <t xml:space="preserve">Canola  </t>
  </si>
  <si>
    <t xml:space="preserve">Linseed </t>
  </si>
  <si>
    <r>
      <rPr>
        <sz val="11"/>
        <color rgb="FF000000"/>
        <rFont val="Arial"/>
      </rPr>
      <t xml:space="preserve">meal </t>
    </r>
    <r>
      <rPr>
        <vertAlign val="superscript"/>
        <sz val="11"/>
        <color rgb="FF000000"/>
        <rFont val="Arial"/>
      </rPr>
      <t xml:space="preserve">2  </t>
    </r>
  </si>
  <si>
    <r>
      <rPr>
        <sz val="11"/>
        <color rgb="FF000000"/>
        <rFont val="Arial"/>
      </rPr>
      <t xml:space="preserve">meal </t>
    </r>
    <r>
      <rPr>
        <vertAlign val="superscript"/>
        <sz val="11"/>
        <color rgb="FF000000"/>
        <rFont val="Arial"/>
      </rPr>
      <t xml:space="preserve">3  </t>
    </r>
  </si>
  <si>
    <r>
      <rPr>
        <sz val="11"/>
        <color rgb="FF000000"/>
        <rFont val="Arial"/>
      </rPr>
      <t xml:space="preserve">meal </t>
    </r>
    <r>
      <rPr>
        <vertAlign val="superscript"/>
        <sz val="11"/>
        <color rgb="FF000000"/>
        <rFont val="Arial"/>
      </rPr>
      <t xml:space="preserve">4  </t>
    </r>
  </si>
  <si>
    <r>
      <rPr>
        <sz val="11"/>
        <color rgb="FF000000"/>
        <rFont val="Arial"/>
      </rPr>
      <t xml:space="preserve">meal </t>
    </r>
    <r>
      <rPr>
        <vertAlign val="superscript"/>
        <sz val="11"/>
        <color rgb="FF000000"/>
        <rFont val="Arial"/>
      </rPr>
      <t xml:space="preserve">5  </t>
    </r>
  </si>
  <si>
    <r>
      <rPr>
        <sz val="11"/>
        <color rgb="FF000000"/>
        <rFont val="Arial"/>
      </rPr>
      <t xml:space="preserve">meal </t>
    </r>
    <r>
      <rPr>
        <vertAlign val="superscript"/>
        <sz val="11"/>
        <color rgb="FF000000"/>
        <rFont val="Arial"/>
      </rPr>
      <t xml:space="preserve">6  </t>
    </r>
  </si>
  <si>
    <r>
      <rPr>
        <sz val="11"/>
        <color rgb="FF000000"/>
        <rFont val="Arial"/>
      </rPr>
      <t xml:space="preserve">meal </t>
    </r>
    <r>
      <rPr>
        <vertAlign val="superscript"/>
        <sz val="11"/>
        <color rgb="FF000000"/>
        <rFont val="Arial"/>
      </rPr>
      <t xml:space="preserve">7  </t>
    </r>
  </si>
  <si>
    <t>--------------------------------------------------- $/short ton------------------------------------------</t>
  </si>
  <si>
    <r>
      <rPr>
        <sz val="11"/>
        <color rgb="FF000000"/>
        <rFont val="Arial"/>
      </rPr>
      <t>2018/19</t>
    </r>
    <r>
      <rPr>
        <vertAlign val="superscript"/>
        <sz val="11"/>
        <color rgb="FF000000"/>
        <rFont val="Arial"/>
      </rPr>
      <t>1</t>
    </r>
  </si>
  <si>
    <r>
      <rPr>
        <sz val="11"/>
        <color rgb="FF000000"/>
        <rFont val="Arial"/>
      </rPr>
      <t>2019/20</t>
    </r>
    <r>
      <rPr>
        <vertAlign val="superscript"/>
        <sz val="11"/>
        <color rgb="FF000000"/>
        <rFont val="Arial"/>
      </rPr>
      <t>1</t>
    </r>
  </si>
  <si>
    <r>
      <rPr>
        <vertAlign val="superscript"/>
        <sz val="11"/>
        <color rgb="FF000000"/>
        <rFont val="Arial"/>
      </rPr>
      <t>1</t>
    </r>
    <r>
      <rPr>
        <sz val="11"/>
        <color rgb="FF000000"/>
        <rFont val="Arial"/>
      </rPr>
      <t xml:space="preserve"> Preliminary.  </t>
    </r>
    <r>
      <rPr>
        <vertAlign val="superscript"/>
        <sz val="11"/>
        <color rgb="FF000000"/>
        <rFont val="Arial"/>
      </rPr>
      <t>2</t>
    </r>
    <r>
      <rPr>
        <sz val="11"/>
        <color rgb="FF000000"/>
        <rFont val="Arial"/>
      </rPr>
      <t xml:space="preserve"> Decatur, IL.  </t>
    </r>
    <r>
      <rPr>
        <vertAlign val="superscript"/>
        <sz val="11"/>
        <color rgb="FF000000"/>
        <rFont val="Arial"/>
      </rPr>
      <t>3</t>
    </r>
    <r>
      <rPr>
        <sz val="11"/>
        <color rgb="FF000000"/>
        <rFont val="Arial"/>
      </rPr>
      <t xml:space="preserve"> Prime bleached summer yellow, Greenwood, MS.  </t>
    </r>
    <r>
      <rPr>
        <vertAlign val="superscript"/>
        <sz val="11"/>
        <color rgb="FF000000"/>
        <rFont val="Arial"/>
      </rPr>
      <t>4</t>
    </r>
    <r>
      <rPr>
        <sz val="11"/>
        <color rgb="FF000000"/>
        <rFont val="Arial"/>
      </rPr>
      <t xml:space="preserve"> Midwest. </t>
    </r>
  </si>
  <si>
    <r>
      <rPr>
        <vertAlign val="superscript"/>
        <sz val="11"/>
        <color rgb="FF000000"/>
        <rFont val="Arial"/>
      </rPr>
      <t>5</t>
    </r>
    <r>
      <rPr>
        <sz val="11"/>
        <color rgb="FF000000"/>
        <rFont val="Arial"/>
      </rPr>
      <t xml:space="preserve"> Southeast mills. </t>
    </r>
    <r>
      <rPr>
        <vertAlign val="superscript"/>
        <sz val="11"/>
        <color rgb="FF000000"/>
        <rFont val="Arial"/>
      </rPr>
      <t>6</t>
    </r>
    <r>
      <rPr>
        <sz val="11"/>
        <color rgb="FF000000"/>
        <rFont val="Arial"/>
      </rPr>
      <t xml:space="preserve"> Chicago.  NA = Not available.</t>
    </r>
  </si>
  <si>
    <r>
      <rPr>
        <sz val="11"/>
        <color rgb="FF000000"/>
        <rFont val="Arial"/>
      </rPr>
      <t xml:space="preserve">Sources: USDA, Agricultural Marketing Service,  </t>
    </r>
    <r>
      <rPr>
        <i/>
        <sz val="11"/>
        <color rgb="FF000000"/>
        <rFont val="Arial"/>
      </rPr>
      <t xml:space="preserve">Monthly Feedstuff Prices </t>
    </r>
    <r>
      <rPr>
        <sz val="11"/>
        <color rgb="FF000000"/>
        <rFont val="Arial"/>
      </rPr>
      <t>and</t>
    </r>
    <r>
      <rPr>
        <i/>
        <sz val="11"/>
        <color rgb="FF000000"/>
        <rFont val="Arial"/>
      </rPr>
      <t xml:space="preserve"> Milling and Baking News.</t>
    </r>
    <r>
      <rPr>
        <sz val="11"/>
        <color rgb="FF000000"/>
        <rFont val="Arial"/>
      </rPr>
      <t xml:space="preserve"> </t>
    </r>
  </si>
  <si>
    <r>
      <rPr>
        <vertAlign val="superscript"/>
        <sz val="11"/>
        <color rgb="FF000000"/>
        <rFont val="Arial"/>
      </rPr>
      <t>1</t>
    </r>
    <r>
      <rPr>
        <sz val="11"/>
        <color rgb="FF000000"/>
        <rFont val="Arial"/>
      </rPr>
      <t xml:space="preserve"> Preliminary. </t>
    </r>
    <r>
      <rPr>
        <vertAlign val="superscript"/>
        <sz val="11"/>
        <color rgb="FF000000"/>
        <rFont val="Arial"/>
      </rPr>
      <t>2</t>
    </r>
    <r>
      <rPr>
        <sz val="11"/>
        <color rgb="FF000000"/>
        <rFont val="Arial"/>
      </rPr>
      <t xml:space="preserve"> High-protein Decatur, IL. </t>
    </r>
    <r>
      <rPr>
        <vertAlign val="superscript"/>
        <sz val="11"/>
        <color rgb="FF000000"/>
        <rFont val="Arial"/>
      </rPr>
      <t>3</t>
    </r>
    <r>
      <rPr>
        <sz val="11"/>
        <color rgb="FF000000"/>
        <rFont val="Arial"/>
      </rPr>
      <t xml:space="preserve"> 41-percent Memphis. </t>
    </r>
    <r>
      <rPr>
        <vertAlign val="superscript"/>
        <sz val="11"/>
        <color rgb="FF000000"/>
        <rFont val="Arial"/>
      </rPr>
      <t>4</t>
    </r>
    <r>
      <rPr>
        <sz val="11"/>
        <color rgb="FF000000"/>
        <rFont val="Arial"/>
      </rPr>
      <t xml:space="preserve"> 34-percent North Dakota-Minnesota.</t>
    </r>
  </si>
  <si>
    <r>
      <rPr>
        <vertAlign val="superscript"/>
        <sz val="11"/>
        <color rgb="FF000000"/>
        <rFont val="Arial"/>
      </rPr>
      <t>5</t>
    </r>
    <r>
      <rPr>
        <sz val="11"/>
        <color rgb="FF000000"/>
        <rFont val="Arial"/>
      </rPr>
      <t xml:space="preserve"> 50-percent Southeast mills.  </t>
    </r>
    <r>
      <rPr>
        <vertAlign val="superscript"/>
        <sz val="11"/>
        <color rgb="FF000000"/>
        <rFont val="Arial"/>
      </rPr>
      <t>6</t>
    </r>
    <r>
      <rPr>
        <sz val="11"/>
        <color rgb="FF000000"/>
        <rFont val="Arial"/>
      </rPr>
      <t xml:space="preserve"> 36-percent Pacific Northwest. </t>
    </r>
    <r>
      <rPr>
        <vertAlign val="superscript"/>
        <sz val="11"/>
        <color rgb="FF000000"/>
        <rFont val="Arial"/>
      </rPr>
      <t>7</t>
    </r>
    <r>
      <rPr>
        <sz val="11"/>
        <color rgb="FF000000"/>
        <rFont val="Arial"/>
      </rPr>
      <t xml:space="preserve"> 34-percent Minneapolis. </t>
    </r>
  </si>
  <si>
    <t>NA= Not available.</t>
  </si>
  <si>
    <r>
      <rPr>
        <sz val="11"/>
        <color rgb="FF000000"/>
        <rFont val="Arial"/>
      </rPr>
      <t xml:space="preserve">Source: USDA, Agricultural Marketing Service, </t>
    </r>
    <r>
      <rPr>
        <i/>
        <sz val="11"/>
        <color rgb="FF000000"/>
        <rFont val="Arial"/>
      </rPr>
      <t>Monthly Feedstuff Prices.</t>
    </r>
    <r>
      <rPr>
        <sz val="11"/>
        <color rgb="FF000000"/>
        <rFont val="Arial"/>
      </rPr>
      <t xml:space="preserve"> </t>
    </r>
  </si>
  <si>
    <t>Soybean</t>
  </si>
  <si>
    <t>Crop value</t>
  </si>
  <si>
    <t>Million bushels</t>
  </si>
  <si>
    <t>Billion dollars</t>
  </si>
  <si>
    <t>2008/09</t>
  </si>
  <si>
    <t>Soybean crop</t>
  </si>
  <si>
    <t>Planted</t>
  </si>
  <si>
    <t>Blooming</t>
  </si>
  <si>
    <t>Setting pods</t>
  </si>
  <si>
    <t>progress</t>
  </si>
  <si>
    <t>5-year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</si>
</sst>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quot; &quot;* #,##0&quot; &quot;;&quot; &quot;* \(#,##0\);&quot; &quot;* &quot;-&quot;??&quot; &quot;"/>
    <numFmt numFmtId="165" formatCode="#,##0.0"/>
    <numFmt numFmtId="166" formatCode="&quot; &quot;* #,##0.0&quot; &quot;;&quot; &quot;* \(#,##0.0\);&quot; &quot;* &quot;-&quot;??&quot; &quot;"/>
    <numFmt numFmtId="167" formatCode="&quot; &quot;* #,##0.00&quot; &quot;;&quot; &quot;* \(#,##0.00\);&quot; &quot;* &quot;-&quot;??&quot; &quot;"/>
    <numFmt numFmtId="168" formatCode="0.0000"/>
    <numFmt numFmtId="169" formatCode="&quot; &quot;* #,##0.000&quot; &quot;;&quot; &quot;* \(#,##0.000\);&quot; &quot;* &quot;-&quot;??&quot; &quot;"/>
    <numFmt numFmtId="170" formatCode="0.0"/>
    <numFmt numFmtId="171" formatCode="0.00&quot; &quot;"/>
    <numFmt numFmtId="172" formatCode="mmm&quot;-&quot;yy"/>
    <numFmt numFmtId="173" formatCode="#,##0.0&quot; &quot;;\(#,##0.0\)"/>
    <numFmt numFmtId="174" formatCode="mmm&quot;-&quot;yyyy"/>
  </numFmts>
  <fonts count="18">
    <font>
      <sz val="10"/>
      <color rgb="FF000000"/>
      <name val="Arial"/>
    </font>
    <font>
      <sz val="12"/>
      <color rgb="FF000000"/>
      <name val="Arial"/>
    </font>
    <font>
      <sz val="14"/>
      <color rgb="FF000000"/>
      <name val="Arial"/>
    </font>
    <font>
      <u/>
      <sz val="12"/>
      <color rgb="FF0000FF"/>
      <name val="Arial"/>
    </font>
    <font>
      <sz val="11"/>
      <color rgb="FF000000"/>
      <name val="Arial"/>
    </font>
    <font>
      <sz val="10"/>
      <name val="Arial"/>
    </font>
    <font>
      <i/>
      <sz val="11"/>
      <color rgb="FF000000"/>
      <name val="Arial"/>
    </font>
    <font>
      <vertAlign val="superscript"/>
      <sz val="11"/>
      <color rgb="FF000000"/>
      <name val="Arial"/>
    </font>
    <font>
      <sz val="12"/>
      <color rgb="FF000000"/>
      <name val="Times New Roman"/>
    </font>
    <font>
      <b/>
      <sz val="14"/>
      <color rgb="FF000000"/>
      <name val="Helvetica Neue"/>
    </font>
    <font>
      <u/>
      <sz val="8"/>
      <color rgb="FF0000FF"/>
      <name val="Arial"/>
    </font>
    <font>
      <b/>
      <sz val="10"/>
      <color rgb="FF000000"/>
      <name val="Helvetica Neue"/>
    </font>
    <font>
      <u/>
      <sz val="10"/>
      <color rgb="FF000000"/>
      <name val="Arial"/>
    </font>
    <font>
      <b/>
      <sz val="10"/>
      <color rgb="FF000000"/>
      <name val="Arial"/>
    </font>
    <font>
      <sz val="8"/>
      <color rgb="FF000000"/>
      <name val="Arial"/>
    </font>
    <font>
      <i/>
      <sz val="10"/>
      <color rgb="FF000000"/>
      <name val="Arial"/>
    </font>
    <font>
      <sz val="8"/>
      <color rgb="FF000000"/>
      <name val="Helvetica Neue"/>
    </font>
    <font>
      <vertAlign val="superscript"/>
      <sz val="11"/>
      <color rgb="FF000000"/>
      <name val="Arial"/>
    </font>
  </fonts>
  <fills count="5">
    <fill>
      <patternFill patternType="none"/>
    </fill>
    <fill>
      <patternFill patternType="gray125"/>
    </fill>
    <fill>
      <patternFill patternType="solid">
        <fgColor rgb="FF5E88B1"/>
        <bgColor rgb="FF5E88B1"/>
      </patternFill>
    </fill>
    <fill>
      <patternFill patternType="solid">
        <fgColor rgb="FFEEF3F4"/>
        <bgColor rgb="FFEEF3F4"/>
      </patternFill>
    </fill>
    <fill>
      <patternFill patternType="solid">
        <fgColor rgb="FFFFFFFF"/>
        <bgColor rgb="FFFFFFFF"/>
      </patternFill>
    </fill>
  </fills>
  <borders count="20">
    <border>
      <left/>
      <right/>
      <top/>
      <bottom/>
      <diagonal/>
    </border>
    <border>
      <left/>
      <right/>
      <top/>
      <bottom/>
      <diagonal/>
    </border>
    <border>
      <left style="thin">
        <color rgb="FFAAAAAA"/>
      </left>
      <right/>
      <top style="thin">
        <color rgb="FFAAAAAA"/>
      </top>
      <bottom style="thin">
        <color rgb="FF000000"/>
      </bottom>
      <diagonal/>
    </border>
    <border>
      <left/>
      <right/>
      <top style="thin">
        <color rgb="FFAAAAAA"/>
      </top>
      <bottom style="thin">
        <color rgb="FF000000"/>
      </bottom>
      <diagonal/>
    </border>
    <border>
      <left/>
      <right style="thin">
        <color rgb="FFAAAAAA"/>
      </right>
      <top style="thin">
        <color rgb="FFAAAAAA"/>
      </top>
      <bottom/>
      <diagonal/>
    </border>
    <border>
      <left style="thin">
        <color rgb="FFAAAAAA"/>
      </left>
      <right/>
      <top style="thin">
        <color rgb="FF000000"/>
      </top>
      <bottom/>
      <diagonal/>
    </border>
    <border>
      <left/>
      <right/>
      <top style="thin">
        <color rgb="FF000000"/>
      </top>
      <bottom style="thin">
        <color rgb="FF000000"/>
      </bottom>
      <diagonal/>
    </border>
    <border>
      <left/>
      <right/>
      <top style="thin">
        <color rgb="FF000000"/>
      </top>
      <bottom/>
      <diagonal/>
    </border>
    <border>
      <left/>
      <right style="thin">
        <color rgb="FFAAAAAA"/>
      </right>
      <top/>
      <bottom/>
      <diagonal/>
    </border>
    <border>
      <left style="thin">
        <color rgb="FFAAAAAA"/>
      </left>
      <right/>
      <top/>
      <bottom/>
      <diagonal/>
    </border>
    <border>
      <left style="thin">
        <color rgb="FFAAAAAA"/>
      </left>
      <right/>
      <top/>
      <bottom style="thin">
        <color rgb="FF000000"/>
      </bottom>
      <diagonal/>
    </border>
    <border>
      <left/>
      <right/>
      <top/>
      <bottom style="thin">
        <color rgb="FF000000"/>
      </bottom>
      <diagonal/>
    </border>
    <border>
      <left style="thin">
        <color rgb="FFAAAAAA"/>
      </left>
      <right/>
      <top/>
      <bottom style="thin">
        <color rgb="FFAAAAAA"/>
      </bottom>
      <diagonal/>
    </border>
    <border>
      <left/>
      <right/>
      <top/>
      <bottom style="thin">
        <color rgb="FFAAAAAA"/>
      </bottom>
      <diagonal/>
    </border>
    <border>
      <left/>
      <right style="thin">
        <color rgb="FFAAAAAA"/>
      </right>
      <top/>
      <bottom style="thin">
        <color rgb="FFAAAAAA"/>
      </bottom>
      <diagonal/>
    </border>
    <border>
      <left/>
      <right/>
      <top style="thin">
        <color rgb="FFAAAAAA"/>
      </top>
      <bottom/>
      <diagonal/>
    </border>
    <border>
      <left style="thin">
        <color rgb="FFAAAAAA"/>
      </left>
      <right style="thin">
        <color rgb="FFAAAAAA"/>
      </right>
      <top style="thin">
        <color rgb="FFAAAAAA"/>
      </top>
      <bottom style="thin">
        <color rgb="FFAAAAAA"/>
      </bottom>
      <diagonal/>
    </border>
    <border>
      <left style="thin">
        <color rgb="FFAAAAAA"/>
      </left>
      <right style="thin">
        <color rgb="FFAAAAAA"/>
      </right>
      <top style="thin">
        <color rgb="FFAAAAAA"/>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AAAAAA"/>
      </right>
      <top style="thin">
        <color rgb="FFAAAAAA"/>
      </top>
      <bottom style="thin">
        <color rgb="FFAAAAAA"/>
      </bottom>
      <diagonal/>
    </border>
  </borders>
  <cellStyleXfs count="1">
    <xf numFmtId="0" fontId="0" fillId="0" borderId="0"/>
  </cellStyleXfs>
  <cellXfs count="137">
    <xf numFmtId="0" fontId="0" fillId="0" borderId="0" xfId="0" applyFont="1" applyAlignment="1"/>
    <xf numFmtId="0" fontId="2" fillId="0" borderId="0" xfId="0" applyFont="1" applyAlignment="1">
      <alignment horizontal="left"/>
    </xf>
    <xf numFmtId="0" fontId="1" fillId="2" borderId="1" xfId="0" applyFont="1" applyFill="1" applyBorder="1" applyAlignment="1">
      <alignment horizontal="left"/>
    </xf>
    <xf numFmtId="0" fontId="1" fillId="3" borderId="1" xfId="0" applyFont="1" applyFill="1" applyBorder="1" applyAlignment="1">
      <alignment horizontal="left"/>
    </xf>
    <xf numFmtId="0" fontId="3" fillId="3" borderId="1" xfId="0" applyFont="1" applyFill="1" applyBorder="1" applyAlignment="1">
      <alignment horizontal="left"/>
    </xf>
    <xf numFmtId="49" fontId="4" fillId="0" borderId="2" xfId="0" applyNumberFormat="1" applyFont="1" applyBorder="1" applyAlignment="1"/>
    <xf numFmtId="0" fontId="4" fillId="0" borderId="3" xfId="0" applyFont="1" applyBorder="1" applyAlignment="1"/>
    <xf numFmtId="0" fontId="0" fillId="0" borderId="4" xfId="0" applyFont="1" applyBorder="1" applyAlignment="1"/>
    <xf numFmtId="0" fontId="0" fillId="0" borderId="0" xfId="0" applyFont="1" applyAlignment="1"/>
    <xf numFmtId="0" fontId="4" fillId="0" borderId="5" xfId="0" applyFont="1" applyBorder="1" applyAlignment="1"/>
    <xf numFmtId="49" fontId="4" fillId="0" borderId="6" xfId="0" applyNumberFormat="1" applyFont="1" applyBorder="1" applyAlignment="1">
      <alignment horizontal="center"/>
    </xf>
    <xf numFmtId="0" fontId="4" fillId="0" borderId="7" xfId="0" applyFont="1" applyBorder="1" applyAlignment="1"/>
    <xf numFmtId="0" fontId="4" fillId="0" borderId="6" xfId="0" applyFont="1" applyBorder="1" applyAlignment="1">
      <alignment horizontal="center"/>
    </xf>
    <xf numFmtId="0" fontId="0" fillId="0" borderId="8" xfId="0" applyFont="1" applyBorder="1" applyAlignment="1"/>
    <xf numFmtId="49" fontId="4" fillId="0" borderId="9" xfId="0" applyNumberFormat="1" applyFont="1" applyBorder="1" applyAlignment="1"/>
    <xf numFmtId="49" fontId="4" fillId="0" borderId="7" xfId="0" applyNumberFormat="1" applyFont="1" applyBorder="1" applyAlignment="1">
      <alignment horizontal="center"/>
    </xf>
    <xf numFmtId="0" fontId="4" fillId="0" borderId="0" xfId="0" applyFont="1" applyAlignment="1">
      <alignment horizontal="center"/>
    </xf>
    <xf numFmtId="49" fontId="4" fillId="0" borderId="0" xfId="0" applyNumberFormat="1" applyFont="1" applyAlignment="1">
      <alignment horizontal="center"/>
    </xf>
    <xf numFmtId="49" fontId="4" fillId="0" borderId="10" xfId="0" applyNumberFormat="1" applyFont="1" applyBorder="1" applyAlignment="1"/>
    <xf numFmtId="49" fontId="4" fillId="0" borderId="11" xfId="0" applyNumberFormat="1" applyFont="1" applyBorder="1" applyAlignment="1">
      <alignment horizontal="center"/>
    </xf>
    <xf numFmtId="0" fontId="4" fillId="0" borderId="11" xfId="0" applyFont="1" applyBorder="1" applyAlignment="1">
      <alignment horizontal="right"/>
    </xf>
    <xf numFmtId="49" fontId="6" fillId="0" borderId="7" xfId="0" applyNumberFormat="1" applyFont="1" applyBorder="1" applyAlignment="1">
      <alignment horizontal="center"/>
    </xf>
    <xf numFmtId="0" fontId="4" fillId="0" borderId="9" xfId="0" applyFont="1" applyBorder="1" applyAlignment="1"/>
    <xf numFmtId="0" fontId="4" fillId="0" borderId="0" xfId="0" applyFont="1" applyAlignment="1"/>
    <xf numFmtId="3" fontId="4" fillId="0" borderId="0" xfId="0" applyNumberFormat="1" applyFont="1" applyAlignment="1">
      <alignment horizontal="center"/>
    </xf>
    <xf numFmtId="164" fontId="0" fillId="0" borderId="8" xfId="0" applyNumberFormat="1" applyFont="1" applyBorder="1" applyAlignment="1"/>
    <xf numFmtId="165" fontId="4" fillId="0" borderId="0" xfId="0" applyNumberFormat="1" applyFont="1" applyAlignment="1">
      <alignment horizontal="center"/>
    </xf>
    <xf numFmtId="165" fontId="4" fillId="0" borderId="0" xfId="0" applyNumberFormat="1" applyFont="1" applyAlignment="1">
      <alignment horizontal="right"/>
    </xf>
    <xf numFmtId="165" fontId="4" fillId="0" borderId="11" xfId="0" applyNumberFormat="1" applyFont="1" applyBorder="1" applyAlignment="1"/>
    <xf numFmtId="165" fontId="4" fillId="0" borderId="11" xfId="0" applyNumberFormat="1" applyFont="1" applyBorder="1" applyAlignment="1">
      <alignment horizontal="right"/>
    </xf>
    <xf numFmtId="165" fontId="4" fillId="0" borderId="11" xfId="0" applyNumberFormat="1" applyFont="1" applyBorder="1" applyAlignment="1">
      <alignment horizontal="center"/>
    </xf>
    <xf numFmtId="49" fontId="7" fillId="0" borderId="5" xfId="0" applyNumberFormat="1" applyFont="1" applyBorder="1" applyAlignment="1"/>
    <xf numFmtId="49" fontId="4" fillId="0" borderId="12" xfId="0" applyNumberFormat="1" applyFont="1" applyBorder="1" applyAlignment="1"/>
    <xf numFmtId="14" fontId="4" fillId="0" borderId="13" xfId="0" applyNumberFormat="1" applyFont="1" applyBorder="1" applyAlignment="1">
      <alignment horizontal="left"/>
    </xf>
    <xf numFmtId="0" fontId="4" fillId="0" borderId="13" xfId="0" applyFont="1" applyBorder="1" applyAlignment="1"/>
    <xf numFmtId="0" fontId="0" fillId="0" borderId="14" xfId="0" applyFont="1" applyBorder="1" applyAlignment="1"/>
    <xf numFmtId="0" fontId="0" fillId="0" borderId="15" xfId="0" applyFont="1" applyBorder="1" applyAlignment="1"/>
    <xf numFmtId="0" fontId="4" fillId="0" borderId="7" xfId="0" applyFont="1" applyBorder="1" applyAlignment="1">
      <alignment horizontal="right"/>
    </xf>
    <xf numFmtId="0" fontId="4" fillId="0" borderId="0" xfId="0" applyFont="1" applyAlignment="1">
      <alignment horizontal="right"/>
    </xf>
    <xf numFmtId="49" fontId="4" fillId="0" borderId="11" xfId="0" applyNumberFormat="1" applyFont="1" applyBorder="1" applyAlignment="1">
      <alignment horizontal="right"/>
    </xf>
    <xf numFmtId="3" fontId="4" fillId="0" borderId="0" xfId="0" applyNumberFormat="1" applyFont="1" applyAlignment="1">
      <alignment horizontal="right"/>
    </xf>
    <xf numFmtId="0" fontId="0" fillId="4" borderId="16" xfId="0" applyFont="1" applyFill="1" applyBorder="1" applyAlignment="1">
      <alignment vertical="top" wrapText="1"/>
    </xf>
    <xf numFmtId="0" fontId="0" fillId="4" borderId="16" xfId="0" applyFont="1" applyFill="1" applyBorder="1" applyAlignment="1"/>
    <xf numFmtId="165" fontId="8" fillId="0" borderId="0" xfId="0" applyNumberFormat="1" applyFont="1" applyAlignment="1">
      <alignment horizontal="center"/>
    </xf>
    <xf numFmtId="165" fontId="8" fillId="0" borderId="8" xfId="0" applyNumberFormat="1" applyFont="1" applyBorder="1" applyAlignment="1">
      <alignment horizontal="center"/>
    </xf>
    <xf numFmtId="49" fontId="9" fillId="4" borderId="16" xfId="0" applyNumberFormat="1" applyFont="1" applyFill="1" applyBorder="1" applyAlignment="1">
      <alignment horizontal="left"/>
    </xf>
    <xf numFmtId="0" fontId="10" fillId="4" borderId="16" xfId="0" applyFont="1" applyFill="1" applyBorder="1" applyAlignment="1">
      <alignment wrapText="1"/>
    </xf>
    <xf numFmtId="49" fontId="11" fillId="4" borderId="16" xfId="0" applyNumberFormat="1" applyFont="1" applyFill="1" applyBorder="1" applyAlignment="1">
      <alignment horizontal="left"/>
    </xf>
    <xf numFmtId="14" fontId="11" fillId="4" borderId="16" xfId="0" applyNumberFormat="1" applyFont="1" applyFill="1" applyBorder="1" applyAlignment="1">
      <alignment horizontal="left"/>
    </xf>
    <xf numFmtId="49" fontId="12" fillId="4" borderId="16" xfId="0" applyNumberFormat="1" applyFont="1" applyFill="1" applyBorder="1" applyAlignment="1"/>
    <xf numFmtId="0" fontId="13" fillId="4" borderId="16" xfId="0" applyFont="1" applyFill="1" applyBorder="1" applyAlignment="1"/>
    <xf numFmtId="0" fontId="14" fillId="4" borderId="16" xfId="0" applyFont="1" applyFill="1" applyBorder="1" applyAlignment="1"/>
    <xf numFmtId="0" fontId="15" fillId="4" borderId="16" xfId="0" applyFont="1" applyFill="1" applyBorder="1" applyAlignment="1"/>
    <xf numFmtId="49" fontId="16" fillId="4" borderId="16" xfId="0" applyNumberFormat="1" applyFont="1" applyFill="1" applyBorder="1" applyAlignment="1">
      <alignment horizontal="left"/>
    </xf>
    <xf numFmtId="14" fontId="4" fillId="0" borderId="0" xfId="0" applyNumberFormat="1" applyFont="1" applyAlignment="1">
      <alignment horizontal="left"/>
    </xf>
    <xf numFmtId="166" fontId="4" fillId="0" borderId="0" xfId="0" applyNumberFormat="1" applyFont="1" applyAlignment="1">
      <alignment horizontal="center"/>
    </xf>
    <xf numFmtId="166" fontId="4" fillId="0" borderId="0" xfId="0" applyNumberFormat="1" applyFont="1" applyAlignment="1"/>
    <xf numFmtId="0" fontId="0" fillId="0" borderId="9" xfId="0" applyFont="1" applyBorder="1" applyAlignment="1"/>
    <xf numFmtId="166" fontId="0" fillId="0" borderId="0" xfId="0" applyNumberFormat="1" applyFont="1" applyAlignment="1"/>
    <xf numFmtId="166" fontId="0" fillId="0" borderId="0" xfId="0" applyNumberFormat="1" applyFont="1" applyAlignment="1">
      <alignment horizontal="center"/>
    </xf>
    <xf numFmtId="0" fontId="0" fillId="0" borderId="12" xfId="0" applyFont="1" applyBorder="1" applyAlignment="1"/>
    <xf numFmtId="0" fontId="0" fillId="0" borderId="13" xfId="0" applyFont="1" applyBorder="1" applyAlignment="1"/>
    <xf numFmtId="165" fontId="8" fillId="0" borderId="13" xfId="0" applyNumberFormat="1" applyFont="1" applyBorder="1" applyAlignment="1">
      <alignment horizontal="center"/>
    </xf>
    <xf numFmtId="165" fontId="8" fillId="0" borderId="14" xfId="0" applyNumberFormat="1" applyFont="1" applyBorder="1" applyAlignment="1">
      <alignment horizontal="center"/>
    </xf>
    <xf numFmtId="49" fontId="4" fillId="0" borderId="5" xfId="0" applyNumberFormat="1" applyFont="1" applyBorder="1" applyAlignment="1"/>
    <xf numFmtId="164" fontId="4" fillId="0" borderId="11" xfId="0" applyNumberFormat="1" applyFont="1" applyBorder="1" applyAlignment="1">
      <alignment horizontal="right"/>
    </xf>
    <xf numFmtId="0" fontId="0" fillId="0" borderId="8" xfId="0" applyFont="1" applyBorder="1" applyAlignment="1">
      <alignment horizontal="center"/>
    </xf>
    <xf numFmtId="16" fontId="4" fillId="0" borderId="5" xfId="0" applyNumberFormat="1" applyFont="1" applyBorder="1" applyAlignment="1"/>
    <xf numFmtId="0" fontId="0" fillId="0" borderId="0" xfId="0" applyFont="1" applyAlignment="1">
      <alignment horizontal="center"/>
    </xf>
    <xf numFmtId="2" fontId="4" fillId="0" borderId="0" xfId="0" applyNumberFormat="1" applyFont="1" applyAlignment="1">
      <alignment horizontal="right"/>
    </xf>
    <xf numFmtId="166" fontId="0" fillId="0" borderId="8" xfId="0" applyNumberFormat="1" applyFont="1" applyBorder="1" applyAlignment="1"/>
    <xf numFmtId="167" fontId="0" fillId="0" borderId="0" xfId="0" applyNumberFormat="1" applyFont="1" applyAlignment="1"/>
    <xf numFmtId="168" fontId="4" fillId="0" borderId="0" xfId="0" applyNumberFormat="1" applyFont="1" applyAlignment="1"/>
    <xf numFmtId="167" fontId="4" fillId="0" borderId="0" xfId="0" applyNumberFormat="1" applyFont="1" applyAlignment="1">
      <alignment horizontal="center"/>
    </xf>
    <xf numFmtId="169" fontId="4" fillId="0" borderId="0" xfId="0" applyNumberFormat="1" applyFont="1" applyAlignment="1">
      <alignment horizontal="center"/>
    </xf>
    <xf numFmtId="49" fontId="4" fillId="0" borderId="0" xfId="0" applyNumberFormat="1" applyFont="1" applyAlignment="1">
      <alignment horizontal="right"/>
    </xf>
    <xf numFmtId="2" fontId="4" fillId="0" borderId="11" xfId="0" applyNumberFormat="1" applyFont="1" applyBorder="1" applyAlignment="1">
      <alignment horizontal="right"/>
    </xf>
    <xf numFmtId="167" fontId="4" fillId="0" borderId="0" xfId="0" applyNumberFormat="1" applyFont="1" applyAlignment="1"/>
    <xf numFmtId="49" fontId="4" fillId="0" borderId="0" xfId="0" applyNumberFormat="1" applyFont="1" applyAlignment="1"/>
    <xf numFmtId="49" fontId="4" fillId="0" borderId="5" xfId="0" applyNumberFormat="1" applyFont="1" applyBorder="1" applyAlignment="1">
      <alignment horizontal="left"/>
    </xf>
    <xf numFmtId="49" fontId="4" fillId="0" borderId="7" xfId="0" applyNumberFormat="1" applyFont="1" applyBorder="1" applyAlignment="1">
      <alignment horizontal="left"/>
    </xf>
    <xf numFmtId="49" fontId="4" fillId="0" borderId="10" xfId="0" applyNumberFormat="1" applyFont="1" applyBorder="1" applyAlignment="1">
      <alignment horizontal="left"/>
    </xf>
    <xf numFmtId="0" fontId="4" fillId="0" borderId="11" xfId="0" applyFont="1" applyBorder="1" applyAlignment="1">
      <alignment horizontal="center"/>
    </xf>
    <xf numFmtId="49" fontId="6" fillId="0" borderId="7" xfId="0" applyNumberFormat="1" applyFont="1" applyBorder="1" applyAlignment="1"/>
    <xf numFmtId="0" fontId="6" fillId="0" borderId="7" xfId="0" applyFont="1" applyBorder="1" applyAlignment="1"/>
    <xf numFmtId="167" fontId="0" fillId="0" borderId="8" xfId="0" applyNumberFormat="1" applyFont="1" applyBorder="1" applyAlignment="1"/>
    <xf numFmtId="2" fontId="0" fillId="0" borderId="0" xfId="0" applyNumberFormat="1" applyFont="1" applyAlignment="1"/>
    <xf numFmtId="2" fontId="4" fillId="0" borderId="0" xfId="0" applyNumberFormat="1" applyFont="1" applyAlignment="1">
      <alignment horizontal="center"/>
    </xf>
    <xf numFmtId="170" fontId="0" fillId="0" borderId="0" xfId="0" applyNumberFormat="1" applyFont="1" applyAlignment="1"/>
    <xf numFmtId="167" fontId="4" fillId="0" borderId="7" xfId="0" applyNumberFormat="1" applyFont="1" applyBorder="1" applyAlignment="1"/>
    <xf numFmtId="0" fontId="8" fillId="0" borderId="0" xfId="0" applyFont="1" applyAlignment="1"/>
    <xf numFmtId="2" fontId="0" fillId="0" borderId="13" xfId="0" applyNumberFormat="1" applyFont="1" applyBorder="1" applyAlignment="1"/>
    <xf numFmtId="0" fontId="8" fillId="0" borderId="13" xfId="0" applyFont="1" applyBorder="1" applyAlignment="1"/>
    <xf numFmtId="171" fontId="4" fillId="0" borderId="7" xfId="0" applyNumberFormat="1" applyFont="1" applyBorder="1" applyAlignment="1"/>
    <xf numFmtId="167" fontId="0" fillId="0" borderId="0" xfId="0" applyNumberFormat="1" applyFont="1" applyAlignment="1">
      <alignment horizontal="center"/>
    </xf>
    <xf numFmtId="49" fontId="17" fillId="0" borderId="9" xfId="0" applyNumberFormat="1" applyFont="1" applyBorder="1" applyAlignment="1"/>
    <xf numFmtId="2" fontId="4" fillId="0" borderId="0" xfId="0" applyNumberFormat="1" applyFont="1" applyAlignment="1"/>
    <xf numFmtId="167" fontId="0" fillId="0" borderId="13" xfId="0" applyNumberFormat="1" applyFont="1" applyBorder="1" applyAlignment="1"/>
    <xf numFmtId="49" fontId="0" fillId="4" borderId="16" xfId="0" applyNumberFormat="1" applyFont="1" applyFill="1" applyBorder="1" applyAlignment="1"/>
    <xf numFmtId="0" fontId="0" fillId="0" borderId="16" xfId="0" applyFont="1" applyBorder="1" applyAlignment="1"/>
    <xf numFmtId="0" fontId="0" fillId="4" borderId="16" xfId="0" applyFont="1" applyFill="1" applyBorder="1" applyAlignment="1">
      <alignment horizontal="left"/>
    </xf>
    <xf numFmtId="172" fontId="0" fillId="0" borderId="16" xfId="0" applyNumberFormat="1" applyFont="1" applyBorder="1" applyAlignment="1"/>
    <xf numFmtId="0" fontId="4" fillId="4" borderId="16" xfId="0" applyFont="1" applyFill="1" applyBorder="1" applyAlignment="1"/>
    <xf numFmtId="49" fontId="4" fillId="4" borderId="16" xfId="0" applyNumberFormat="1" applyFont="1" applyFill="1" applyBorder="1" applyAlignment="1"/>
    <xf numFmtId="164" fontId="0" fillId="4" borderId="16" xfId="0" applyNumberFormat="1" applyFont="1" applyFill="1" applyBorder="1" applyAlignment="1"/>
    <xf numFmtId="170" fontId="0" fillId="4" borderId="16" xfId="0" applyNumberFormat="1" applyFont="1" applyFill="1" applyBorder="1" applyAlignment="1"/>
    <xf numFmtId="170" fontId="0" fillId="0" borderId="16" xfId="0" applyNumberFormat="1" applyFont="1" applyBorder="1" applyAlignment="1"/>
    <xf numFmtId="173" fontId="0" fillId="0" borderId="16" xfId="0" applyNumberFormat="1" applyFont="1" applyBorder="1" applyAlignment="1"/>
    <xf numFmtId="166" fontId="0" fillId="0" borderId="16" xfId="0" applyNumberFormat="1" applyFont="1" applyBorder="1" applyAlignment="1"/>
    <xf numFmtId="166" fontId="0" fillId="4" borderId="16" xfId="0" applyNumberFormat="1" applyFont="1" applyFill="1" applyBorder="1" applyAlignment="1"/>
    <xf numFmtId="1" fontId="0" fillId="4" borderId="16" xfId="0" applyNumberFormat="1" applyFont="1" applyFill="1" applyBorder="1" applyAlignment="1"/>
    <xf numFmtId="17" fontId="0" fillId="4" borderId="16" xfId="0" applyNumberFormat="1" applyFont="1" applyFill="1" applyBorder="1" applyAlignment="1"/>
    <xf numFmtId="167" fontId="0" fillId="0" borderId="16" xfId="0" applyNumberFormat="1" applyFont="1" applyBorder="1" applyAlignment="1"/>
    <xf numFmtId="164" fontId="0" fillId="0" borderId="16" xfId="0" applyNumberFormat="1" applyFont="1" applyBorder="1" applyAlignment="1"/>
    <xf numFmtId="167" fontId="0" fillId="4" borderId="16" xfId="0" applyNumberFormat="1" applyFont="1" applyFill="1" applyBorder="1" applyAlignment="1"/>
    <xf numFmtId="174" fontId="0" fillId="4" borderId="16" xfId="0" applyNumberFormat="1" applyFont="1" applyFill="1" applyBorder="1" applyAlignment="1"/>
    <xf numFmtId="173" fontId="0" fillId="4" borderId="16" xfId="0" applyNumberFormat="1" applyFont="1" applyFill="1" applyBorder="1" applyAlignment="1"/>
    <xf numFmtId="14" fontId="0" fillId="4" borderId="16" xfId="0" applyNumberFormat="1" applyFont="1" applyFill="1" applyBorder="1" applyAlignment="1">
      <alignment wrapText="1"/>
    </xf>
    <xf numFmtId="2" fontId="0" fillId="4" borderId="16" xfId="0" applyNumberFormat="1" applyFont="1" applyFill="1" applyBorder="1" applyAlignment="1">
      <alignment wrapText="1"/>
    </xf>
    <xf numFmtId="49" fontId="0" fillId="0" borderId="16" xfId="0" applyNumberFormat="1" applyFont="1" applyBorder="1" applyAlignment="1"/>
    <xf numFmtId="49" fontId="8" fillId="0" borderId="16" xfId="0" applyNumberFormat="1" applyFont="1" applyBorder="1" applyAlignment="1"/>
    <xf numFmtId="0" fontId="4" fillId="0" borderId="16" xfId="0" applyFont="1" applyBorder="1" applyAlignment="1"/>
    <xf numFmtId="49" fontId="4" fillId="0" borderId="16" xfId="0" applyNumberFormat="1" applyFont="1" applyBorder="1" applyAlignment="1"/>
    <xf numFmtId="2" fontId="0" fillId="0" borderId="16" xfId="0" applyNumberFormat="1" applyFont="1" applyBorder="1" applyAlignment="1"/>
    <xf numFmtId="14" fontId="0" fillId="0" borderId="16" xfId="0" applyNumberFormat="1" applyFont="1" applyBorder="1" applyAlignment="1"/>
    <xf numFmtId="164" fontId="0" fillId="4" borderId="16" xfId="0" applyNumberFormat="1" applyFont="1" applyFill="1" applyBorder="1" applyAlignment="1">
      <alignment wrapText="1"/>
    </xf>
    <xf numFmtId="14" fontId="0" fillId="4" borderId="17" xfId="0" applyNumberFormat="1" applyFont="1" applyFill="1" applyBorder="1" applyAlignment="1">
      <alignment wrapText="1"/>
    </xf>
    <xf numFmtId="14" fontId="0" fillId="4" borderId="18" xfId="0" applyNumberFormat="1" applyFont="1" applyFill="1" applyBorder="1" applyAlignment="1">
      <alignment wrapText="1"/>
    </xf>
    <xf numFmtId="14" fontId="0" fillId="4" borderId="19" xfId="0" applyNumberFormat="1" applyFont="1" applyFill="1" applyBorder="1" applyAlignment="1">
      <alignment wrapText="1"/>
    </xf>
    <xf numFmtId="166" fontId="0" fillId="4" borderId="16" xfId="0" applyNumberFormat="1" applyFont="1" applyFill="1" applyBorder="1" applyAlignment="1">
      <alignment wrapText="1"/>
    </xf>
    <xf numFmtId="174" fontId="0" fillId="0" borderId="16" xfId="0" applyNumberFormat="1" applyFont="1" applyBorder="1" applyAlignment="1"/>
    <xf numFmtId="0" fontId="1" fillId="0" borderId="0" xfId="0" applyFont="1" applyAlignment="1">
      <alignment horizontal="left" wrapText="1"/>
    </xf>
    <xf numFmtId="0" fontId="0" fillId="0" borderId="0" xfId="0" applyFont="1" applyAlignment="1"/>
    <xf numFmtId="49" fontId="4" fillId="0" borderId="6" xfId="0" applyNumberFormat="1" applyFont="1" applyBorder="1" applyAlignment="1">
      <alignment horizontal="center"/>
    </xf>
    <xf numFmtId="0" fontId="5" fillId="0" borderId="6" xfId="0" applyFont="1" applyBorder="1"/>
    <xf numFmtId="49" fontId="6" fillId="0" borderId="7" xfId="0" applyNumberFormat="1" applyFont="1" applyBorder="1" applyAlignment="1">
      <alignment horizontal="center"/>
    </xf>
    <xf numFmtId="0" fontId="5" fillId="0" borderId="7"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95250</xdr:colOff>
      <xdr:row>0</xdr:row>
      <xdr:rowOff>57150</xdr:rowOff>
    </xdr:from>
    <xdr:ext cx="4267200" cy="504825"/>
    <xdr:pic>
      <xdr:nvPicPr>
        <xdr:cNvPr id="2" name="image1.jpg" descr="Picture 2098">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95250</xdr:colOff>
      <xdr:row>0</xdr:row>
      <xdr:rowOff>57150</xdr:rowOff>
    </xdr:from>
    <xdr:ext cx="4267200" cy="504825"/>
    <xdr:pic>
      <xdr:nvPicPr>
        <xdr:cNvPr id="3" name="image1.jpg" descr="Picture 2099">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95250</xdr:colOff>
      <xdr:row>0</xdr:row>
      <xdr:rowOff>57150</xdr:rowOff>
    </xdr:from>
    <xdr:ext cx="4267200" cy="504825"/>
    <xdr:pic>
      <xdr:nvPicPr>
        <xdr:cNvPr id="4" name="image1.jpg" descr="Picture 2100">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95250</xdr:colOff>
      <xdr:row>0</xdr:row>
      <xdr:rowOff>57150</xdr:rowOff>
    </xdr:from>
    <xdr:ext cx="4267200" cy="504825"/>
    <xdr:pic>
      <xdr:nvPicPr>
        <xdr:cNvPr id="5" name="image1.jpg" descr="Picture 2101">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95250</xdr:colOff>
      <xdr:row>0</xdr:row>
      <xdr:rowOff>57150</xdr:rowOff>
    </xdr:from>
    <xdr:ext cx="4267200" cy="504825"/>
    <xdr:pic>
      <xdr:nvPicPr>
        <xdr:cNvPr id="6" name="image1.jpg" descr="Picture 2102">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95250</xdr:colOff>
      <xdr:row>0</xdr:row>
      <xdr:rowOff>57150</xdr:rowOff>
    </xdr:from>
    <xdr:ext cx="4267200" cy="504825"/>
    <xdr:pic>
      <xdr:nvPicPr>
        <xdr:cNvPr id="7" name="image1.jpg" descr="Picture 2103">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95250</xdr:colOff>
      <xdr:row>0</xdr:row>
      <xdr:rowOff>57150</xdr:rowOff>
    </xdr:from>
    <xdr:ext cx="4267200" cy="504825"/>
    <xdr:pic>
      <xdr:nvPicPr>
        <xdr:cNvPr id="8" name="image1.jpg" descr="Picture 2104">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95250</xdr:colOff>
      <xdr:row>0</xdr:row>
      <xdr:rowOff>57150</xdr:rowOff>
    </xdr:from>
    <xdr:ext cx="4267200" cy="504825"/>
    <xdr:pic>
      <xdr:nvPicPr>
        <xdr:cNvPr id="9" name="image1.jpg" descr="Picture 2105">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0</xdr:row>
      <xdr:rowOff>0</xdr:rowOff>
    </xdr:from>
    <xdr:ext cx="4305300" cy="533400"/>
    <xdr:pic>
      <xdr:nvPicPr>
        <xdr:cNvPr id="10" name="image1.jpg">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1000"/>
  <sheetViews>
    <sheetView showGridLines="0" tabSelected="1" workbookViewId="0"/>
  </sheetViews>
  <sheetFormatPr defaultColWidth="14.44140625" defaultRowHeight="15" customHeight="1"/>
  <cols>
    <col min="1" max="1" width="2" customWidth="1"/>
    <col min="2" max="4" width="33.5546875" customWidth="1"/>
    <col min="5" max="26" width="10" customWidth="1"/>
  </cols>
  <sheetData>
    <row r="1" spans="2:4" ht="12.75" customHeight="1"/>
    <row r="2" spans="2:4" ht="12.75" customHeight="1"/>
    <row r="3" spans="2:4" ht="49.5" customHeight="1">
      <c r="B3" s="131" t="s">
        <v>0</v>
      </c>
      <c r="C3" s="132"/>
      <c r="D3" s="132"/>
    </row>
    <row r="4" spans="2:4" ht="12.75" customHeight="1"/>
    <row r="5" spans="2:4" ht="12.75" customHeight="1"/>
    <row r="6" spans="2:4" ht="12.75" customHeight="1"/>
    <row r="7" spans="2:4" ht="12.75" customHeight="1">
      <c r="B7" s="1" t="s">
        <v>1</v>
      </c>
      <c r="C7" s="1" t="s">
        <v>2</v>
      </c>
      <c r="D7" s="1" t="s">
        <v>3</v>
      </c>
    </row>
    <row r="8" spans="2:4" ht="12.75" customHeight="1"/>
    <row r="9" spans="2:4" ht="12.75" customHeight="1">
      <c r="B9" s="2" t="s">
        <v>4</v>
      </c>
      <c r="C9" s="2"/>
      <c r="D9" s="2"/>
    </row>
    <row r="10" spans="2:4" ht="12.75" customHeight="1">
      <c r="B10" s="3"/>
      <c r="C10" s="3" t="s">
        <v>5</v>
      </c>
      <c r="D10" s="4" t="s">
        <v>4</v>
      </c>
    </row>
    <row r="11" spans="2:4" ht="12.75" customHeight="1">
      <c r="B11" s="2" t="s">
        <v>6</v>
      </c>
      <c r="C11" s="2"/>
      <c r="D11" s="2"/>
    </row>
    <row r="12" spans="2:4" ht="12.75" customHeight="1">
      <c r="B12" s="3"/>
      <c r="C12" s="3" t="s">
        <v>5</v>
      </c>
      <c r="D12" s="4" t="s">
        <v>6</v>
      </c>
    </row>
    <row r="13" spans="2:4" ht="12.75" customHeight="1">
      <c r="B13" s="2" t="s">
        <v>7</v>
      </c>
      <c r="C13" s="2"/>
      <c r="D13" s="2"/>
    </row>
    <row r="14" spans="2:4" ht="12.75" customHeight="1">
      <c r="B14" s="3"/>
      <c r="C14" s="3" t="s">
        <v>5</v>
      </c>
      <c r="D14" s="4" t="s">
        <v>7</v>
      </c>
    </row>
    <row r="15" spans="2:4" ht="12.75" customHeight="1">
      <c r="B15" s="2" t="s">
        <v>8</v>
      </c>
      <c r="C15" s="2"/>
      <c r="D15" s="2"/>
    </row>
    <row r="16" spans="2:4" ht="12.75" customHeight="1">
      <c r="B16" s="3"/>
      <c r="C16" s="3" t="s">
        <v>5</v>
      </c>
      <c r="D16" s="4" t="s">
        <v>8</v>
      </c>
    </row>
    <row r="17" spans="2:4" ht="12.75" customHeight="1">
      <c r="B17" s="2" t="s">
        <v>9</v>
      </c>
      <c r="C17" s="2"/>
      <c r="D17" s="2"/>
    </row>
    <row r="18" spans="2:4" ht="12.75" customHeight="1">
      <c r="B18" s="3"/>
      <c r="C18" s="3" t="s">
        <v>5</v>
      </c>
      <c r="D18" s="4" t="s">
        <v>9</v>
      </c>
    </row>
    <row r="19" spans="2:4" ht="12.75" customHeight="1">
      <c r="B19" s="2" t="s">
        <v>10</v>
      </c>
      <c r="C19" s="2"/>
      <c r="D19" s="2"/>
    </row>
    <row r="20" spans="2:4" ht="12.75" customHeight="1">
      <c r="B20" s="3"/>
      <c r="C20" s="3" t="s">
        <v>5</v>
      </c>
      <c r="D20" s="4" t="s">
        <v>10</v>
      </c>
    </row>
    <row r="21" spans="2:4" ht="12.75" customHeight="1">
      <c r="B21" s="2" t="s">
        <v>11</v>
      </c>
      <c r="C21" s="2"/>
      <c r="D21" s="2"/>
    </row>
    <row r="22" spans="2:4" ht="12.75" customHeight="1">
      <c r="B22" s="3"/>
      <c r="C22" s="3" t="s">
        <v>5</v>
      </c>
      <c r="D22" s="4" t="s">
        <v>11</v>
      </c>
    </row>
    <row r="23" spans="2:4" ht="12.75" customHeight="1">
      <c r="B23" s="2" t="s">
        <v>12</v>
      </c>
      <c r="C23" s="2"/>
      <c r="D23" s="2"/>
    </row>
    <row r="24" spans="2:4" ht="12.75" customHeight="1">
      <c r="B24" s="3"/>
      <c r="C24" s="3" t="s">
        <v>5</v>
      </c>
      <c r="D24" s="4" t="s">
        <v>12</v>
      </c>
    </row>
    <row r="25" spans="2:4" ht="12.75" customHeight="1">
      <c r="B25" s="2" t="s">
        <v>13</v>
      </c>
      <c r="C25" s="2"/>
      <c r="D25" s="2"/>
    </row>
    <row r="26" spans="2:4" ht="12.75" customHeight="1">
      <c r="B26" s="3"/>
      <c r="C26" s="3" t="s">
        <v>5</v>
      </c>
      <c r="D26" s="4" t="s">
        <v>13</v>
      </c>
    </row>
    <row r="27" spans="2:4" ht="12.75" customHeight="1"/>
    <row r="28" spans="2:4" ht="12.75" customHeight="1"/>
    <row r="29" spans="2:4" ht="12.75" customHeight="1"/>
    <row r="30" spans="2:4" ht="12.75" customHeight="1"/>
    <row r="31" spans="2:4" ht="12.75" customHeight="1"/>
    <row r="32" spans="2:4"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B3:D3"/>
  </mergeCells>
  <hyperlinks>
    <hyperlink ref="D10" location="Contents!R1C1" display="Contents" xr:uid="{00000000-0004-0000-0000-000000000000}"/>
    <hyperlink ref="D12" location="Table 2!R1C1" display="Table 2" xr:uid="{00000000-0004-0000-0000-000001000000}"/>
    <hyperlink ref="D14" location="Table 3!R1C1" display="Table 3" xr:uid="{00000000-0004-0000-0000-000002000000}"/>
    <hyperlink ref="D16" location="Table 8!R1C1" display="Table 8" xr:uid="{00000000-0004-0000-0000-000003000000}"/>
    <hyperlink ref="D18" location="Table 9!R1C1" display="Table 9" xr:uid="{00000000-0004-0000-0000-000004000000}"/>
    <hyperlink ref="D20" location="Table 10!R1C1" display="Table 10" xr:uid="{00000000-0004-0000-0000-000005000000}"/>
    <hyperlink ref="D22" location="Cover!R1C1" display="Cover" xr:uid="{00000000-0004-0000-0000-000006000000}"/>
    <hyperlink ref="D24" location="Oil Crops Chart Gallery Fig 1!R1C1" display="Oil Crops Chart Gallery Fig 1" xr:uid="{00000000-0004-0000-0000-000007000000}"/>
    <hyperlink ref="D26" location="null!R1C1" display="Oil Crops Chart Gallery Fig 2" xr:uid="{00000000-0004-0000-0000-000008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sheetViews>
  <sheetFormatPr defaultColWidth="14.44140625" defaultRowHeight="15" customHeight="1"/>
  <cols>
    <col min="1" max="1" width="64.6640625" customWidth="1"/>
    <col min="2" max="26" width="9.6640625" customWidth="1"/>
  </cols>
  <sheetData>
    <row r="1" spans="1:26" ht="44.25" customHeight="1">
      <c r="A1" s="41"/>
      <c r="B1" s="42"/>
      <c r="C1" s="42"/>
      <c r="D1" s="42"/>
      <c r="E1" s="42"/>
      <c r="F1" s="8"/>
      <c r="G1" s="8"/>
      <c r="H1" s="8"/>
      <c r="I1" s="8"/>
      <c r="J1" s="8"/>
      <c r="K1" s="8"/>
      <c r="L1" s="8"/>
      <c r="M1" s="8"/>
      <c r="N1" s="8"/>
      <c r="O1" s="8"/>
      <c r="P1" s="8"/>
      <c r="Q1" s="8"/>
      <c r="R1" s="8"/>
      <c r="S1" s="8"/>
      <c r="T1" s="8"/>
      <c r="U1" s="8"/>
      <c r="V1" s="8"/>
      <c r="W1" s="8"/>
      <c r="X1" s="8"/>
      <c r="Y1" s="8"/>
      <c r="Z1" s="8"/>
    </row>
    <row r="2" spans="1:26" ht="18" customHeight="1">
      <c r="A2" s="45" t="s">
        <v>62</v>
      </c>
      <c r="B2" s="42"/>
      <c r="C2" s="42"/>
      <c r="D2" s="42"/>
      <c r="E2" s="42"/>
      <c r="F2" s="8"/>
      <c r="G2" s="8"/>
      <c r="H2" s="8"/>
      <c r="I2" s="8"/>
      <c r="J2" s="8"/>
      <c r="K2" s="8"/>
      <c r="L2" s="8"/>
      <c r="M2" s="8"/>
      <c r="N2" s="8"/>
      <c r="O2" s="8"/>
      <c r="P2" s="8"/>
      <c r="Q2" s="8"/>
      <c r="R2" s="8"/>
      <c r="S2" s="8"/>
      <c r="T2" s="8"/>
      <c r="U2" s="8"/>
      <c r="V2" s="8"/>
      <c r="W2" s="8"/>
      <c r="X2" s="8"/>
      <c r="Y2" s="8"/>
      <c r="Z2" s="8"/>
    </row>
    <row r="3" spans="1:26" ht="11.25" customHeight="1">
      <c r="A3" s="46"/>
      <c r="B3" s="42"/>
      <c r="C3" s="42"/>
      <c r="D3" s="42"/>
      <c r="E3" s="42"/>
      <c r="F3" s="8"/>
      <c r="G3" s="8"/>
      <c r="H3" s="8"/>
      <c r="I3" s="8"/>
      <c r="J3" s="8"/>
      <c r="K3" s="8"/>
      <c r="L3" s="8"/>
      <c r="M3" s="8"/>
      <c r="N3" s="8"/>
      <c r="O3" s="8"/>
      <c r="P3" s="8"/>
      <c r="Q3" s="8"/>
      <c r="R3" s="8"/>
      <c r="S3" s="8"/>
      <c r="T3" s="8"/>
      <c r="U3" s="8"/>
      <c r="V3" s="8"/>
      <c r="W3" s="8"/>
      <c r="X3" s="8"/>
      <c r="Y3" s="8"/>
      <c r="Z3" s="8"/>
    </row>
    <row r="4" spans="1:26" ht="12.75" customHeight="1">
      <c r="A4" s="47" t="s">
        <v>63</v>
      </c>
      <c r="B4" s="42"/>
      <c r="C4" s="42"/>
      <c r="D4" s="42"/>
      <c r="E4" s="42"/>
      <c r="F4" s="8"/>
      <c r="G4" s="8"/>
      <c r="H4" s="8"/>
      <c r="I4" s="8"/>
      <c r="J4" s="8"/>
      <c r="K4" s="8"/>
      <c r="L4" s="8"/>
      <c r="M4" s="8"/>
      <c r="N4" s="8"/>
      <c r="O4" s="8"/>
      <c r="P4" s="8"/>
      <c r="Q4" s="8"/>
      <c r="R4" s="8"/>
      <c r="S4" s="8"/>
      <c r="T4" s="8"/>
      <c r="U4" s="8"/>
      <c r="V4" s="8"/>
      <c r="W4" s="8"/>
      <c r="X4" s="8"/>
      <c r="Y4" s="8"/>
      <c r="Z4" s="8"/>
    </row>
    <row r="5" spans="1:26" ht="12.75" customHeight="1">
      <c r="A5" s="48">
        <f ca="1">TODAY()</f>
        <v>43747</v>
      </c>
      <c r="B5" s="42"/>
      <c r="C5" s="42"/>
      <c r="D5" s="42"/>
      <c r="E5" s="42"/>
      <c r="F5" s="8"/>
      <c r="G5" s="8"/>
      <c r="H5" s="8"/>
      <c r="I5" s="8"/>
      <c r="J5" s="8"/>
      <c r="K5" s="8"/>
      <c r="L5" s="8"/>
      <c r="M5" s="8"/>
      <c r="N5" s="8"/>
      <c r="O5" s="8"/>
      <c r="P5" s="8"/>
      <c r="Q5" s="8"/>
      <c r="R5" s="8"/>
      <c r="S5" s="8"/>
      <c r="T5" s="8"/>
      <c r="U5" s="8"/>
      <c r="V5" s="8"/>
      <c r="W5" s="8"/>
      <c r="X5" s="8"/>
      <c r="Y5" s="8"/>
      <c r="Z5" s="8"/>
    </row>
    <row r="6" spans="1:26" ht="12.75" customHeight="1">
      <c r="A6" s="46"/>
      <c r="B6" s="42"/>
      <c r="C6" s="42"/>
      <c r="D6" s="42"/>
      <c r="E6" s="42"/>
      <c r="F6" s="8"/>
      <c r="G6" s="8"/>
      <c r="H6" s="8"/>
      <c r="I6" s="8"/>
      <c r="J6" s="8"/>
      <c r="K6" s="8"/>
      <c r="L6" s="8"/>
      <c r="M6" s="8"/>
      <c r="N6" s="8"/>
      <c r="O6" s="8"/>
      <c r="P6" s="8"/>
      <c r="Q6" s="8"/>
      <c r="R6" s="8"/>
      <c r="S6" s="8"/>
      <c r="T6" s="8"/>
      <c r="U6" s="8"/>
      <c r="V6" s="8"/>
      <c r="W6" s="8"/>
      <c r="X6" s="8"/>
      <c r="Y6" s="8"/>
      <c r="Z6" s="8"/>
    </row>
    <row r="7" spans="1:26" ht="12.75" customHeight="1">
      <c r="A7" s="49" t="s">
        <v>64</v>
      </c>
      <c r="B7" s="50"/>
      <c r="C7" s="51"/>
      <c r="D7" s="42"/>
      <c r="E7" s="42"/>
      <c r="F7" s="8"/>
      <c r="G7" s="8"/>
      <c r="H7" s="8"/>
      <c r="I7" s="8"/>
      <c r="J7" s="8"/>
      <c r="K7" s="8"/>
      <c r="L7" s="8"/>
      <c r="M7" s="8"/>
      <c r="N7" s="8"/>
      <c r="O7" s="8"/>
      <c r="P7" s="8"/>
      <c r="Q7" s="8"/>
      <c r="R7" s="8"/>
      <c r="S7" s="8"/>
      <c r="T7" s="8"/>
      <c r="U7" s="8"/>
      <c r="V7" s="8"/>
      <c r="W7" s="8"/>
      <c r="X7" s="8"/>
      <c r="Y7" s="8"/>
      <c r="Z7" s="8"/>
    </row>
    <row r="8" spans="1:26" ht="12.75" customHeight="1">
      <c r="A8" s="49" t="s">
        <v>54</v>
      </c>
      <c r="B8" s="52"/>
      <c r="C8" s="42"/>
      <c r="D8" s="42"/>
      <c r="E8" s="42"/>
      <c r="F8" s="8"/>
      <c r="G8" s="8"/>
      <c r="H8" s="8"/>
      <c r="I8" s="8"/>
      <c r="J8" s="8"/>
      <c r="K8" s="8"/>
      <c r="L8" s="8"/>
      <c r="M8" s="8"/>
      <c r="N8" s="8"/>
      <c r="O8" s="8"/>
      <c r="P8" s="8"/>
      <c r="Q8" s="8"/>
      <c r="R8" s="8"/>
      <c r="S8" s="8"/>
      <c r="T8" s="8"/>
      <c r="U8" s="8"/>
      <c r="V8" s="8"/>
      <c r="W8" s="8"/>
      <c r="X8" s="8"/>
      <c r="Y8" s="8"/>
      <c r="Z8" s="8"/>
    </row>
    <row r="9" spans="1:26" ht="12.75" customHeight="1">
      <c r="A9" s="49" t="s">
        <v>14</v>
      </c>
      <c r="B9" s="52"/>
      <c r="C9" s="42"/>
      <c r="D9" s="42"/>
      <c r="E9" s="42"/>
      <c r="F9" s="8"/>
      <c r="G9" s="8"/>
      <c r="H9" s="8"/>
      <c r="I9" s="8"/>
      <c r="J9" s="8"/>
      <c r="K9" s="8"/>
      <c r="L9" s="8"/>
      <c r="M9" s="8"/>
      <c r="N9" s="8"/>
      <c r="O9" s="8"/>
      <c r="P9" s="8"/>
      <c r="Q9" s="8"/>
      <c r="R9" s="8"/>
      <c r="S9" s="8"/>
      <c r="T9" s="8"/>
      <c r="U9" s="8"/>
      <c r="V9" s="8"/>
      <c r="W9" s="8"/>
      <c r="X9" s="8"/>
      <c r="Y9" s="8"/>
      <c r="Z9" s="8"/>
    </row>
    <row r="10" spans="1:26" ht="12.75" customHeight="1">
      <c r="A10" s="49" t="s">
        <v>65</v>
      </c>
      <c r="B10" s="52"/>
      <c r="C10" s="42"/>
      <c r="D10" s="42"/>
      <c r="E10" s="42"/>
      <c r="F10" s="8"/>
      <c r="G10" s="8"/>
      <c r="H10" s="8"/>
      <c r="I10" s="8"/>
      <c r="J10" s="8"/>
      <c r="K10" s="8"/>
      <c r="L10" s="8"/>
      <c r="M10" s="8"/>
      <c r="N10" s="8"/>
      <c r="O10" s="8"/>
      <c r="P10" s="8"/>
      <c r="Q10" s="8"/>
      <c r="R10" s="8"/>
      <c r="S10" s="8"/>
      <c r="T10" s="8"/>
      <c r="U10" s="8"/>
      <c r="V10" s="8"/>
      <c r="W10" s="8"/>
      <c r="X10" s="8"/>
      <c r="Y10" s="8"/>
      <c r="Z10" s="8"/>
    </row>
    <row r="11" spans="1:26" ht="12.75" customHeight="1">
      <c r="A11" s="49" t="s">
        <v>66</v>
      </c>
      <c r="B11" s="52"/>
      <c r="C11" s="42"/>
      <c r="D11" s="42"/>
      <c r="E11" s="42"/>
      <c r="F11" s="8"/>
      <c r="G11" s="8"/>
      <c r="H11" s="8"/>
      <c r="I11" s="8"/>
      <c r="J11" s="8"/>
      <c r="K11" s="8"/>
      <c r="L11" s="8"/>
      <c r="M11" s="8"/>
      <c r="N11" s="8"/>
      <c r="O11" s="8"/>
      <c r="P11" s="8"/>
      <c r="Q11" s="8"/>
      <c r="R11" s="8"/>
      <c r="S11" s="8"/>
      <c r="T11" s="8"/>
      <c r="U11" s="8"/>
      <c r="V11" s="8"/>
      <c r="W11" s="8"/>
      <c r="X11" s="8"/>
      <c r="Y11" s="8"/>
      <c r="Z11" s="8"/>
    </row>
    <row r="12" spans="1:26" ht="12.75" customHeight="1">
      <c r="A12" s="49" t="s">
        <v>67</v>
      </c>
      <c r="B12" s="52"/>
      <c r="C12" s="42"/>
      <c r="D12" s="42"/>
      <c r="E12" s="42"/>
      <c r="F12" s="8"/>
      <c r="G12" s="8"/>
      <c r="H12" s="8"/>
      <c r="I12" s="8"/>
      <c r="J12" s="8"/>
      <c r="K12" s="8"/>
      <c r="L12" s="8"/>
      <c r="M12" s="8"/>
      <c r="N12" s="8"/>
      <c r="O12" s="8"/>
      <c r="P12" s="8"/>
      <c r="Q12" s="8"/>
      <c r="R12" s="8"/>
      <c r="S12" s="8"/>
      <c r="T12" s="8"/>
      <c r="U12" s="8"/>
      <c r="V12" s="8"/>
      <c r="W12" s="8"/>
      <c r="X12" s="8"/>
      <c r="Y12" s="8"/>
      <c r="Z12" s="8"/>
    </row>
    <row r="13" spans="1:26" ht="12.75" customHeight="1">
      <c r="A13" s="49" t="s">
        <v>68</v>
      </c>
      <c r="B13" s="52"/>
      <c r="C13" s="42"/>
      <c r="D13" s="42"/>
      <c r="E13" s="42"/>
      <c r="F13" s="8"/>
      <c r="G13" s="8"/>
      <c r="H13" s="8"/>
      <c r="I13" s="8"/>
      <c r="J13" s="8"/>
      <c r="K13" s="8"/>
      <c r="L13" s="8"/>
      <c r="M13" s="8"/>
      <c r="N13" s="8"/>
      <c r="O13" s="8"/>
      <c r="P13" s="8"/>
      <c r="Q13" s="8"/>
      <c r="R13" s="8"/>
      <c r="S13" s="8"/>
      <c r="T13" s="8"/>
      <c r="U13" s="8"/>
      <c r="V13" s="8"/>
      <c r="W13" s="8"/>
      <c r="X13" s="8"/>
      <c r="Y13" s="8"/>
      <c r="Z13" s="8"/>
    </row>
    <row r="14" spans="1:26" ht="12.75" customHeight="1">
      <c r="A14" s="49" t="s">
        <v>69</v>
      </c>
      <c r="B14" s="52"/>
      <c r="C14" s="42"/>
      <c r="D14" s="42"/>
      <c r="E14" s="42"/>
      <c r="F14" s="8"/>
      <c r="G14" s="8"/>
      <c r="H14" s="8"/>
      <c r="I14" s="8"/>
      <c r="J14" s="8"/>
      <c r="K14" s="8"/>
      <c r="L14" s="8"/>
      <c r="M14" s="8"/>
      <c r="N14" s="8"/>
      <c r="O14" s="8"/>
      <c r="P14" s="8"/>
      <c r="Q14" s="8"/>
      <c r="R14" s="8"/>
      <c r="S14" s="8"/>
      <c r="T14" s="8"/>
      <c r="U14" s="8"/>
      <c r="V14" s="8"/>
      <c r="W14" s="8"/>
      <c r="X14" s="8"/>
      <c r="Y14" s="8"/>
      <c r="Z14" s="8"/>
    </row>
    <row r="15" spans="1:26" ht="12.75" customHeight="1">
      <c r="A15" s="49" t="s">
        <v>70</v>
      </c>
      <c r="B15" s="52"/>
      <c r="C15" s="42"/>
      <c r="D15" s="42"/>
      <c r="E15" s="42"/>
      <c r="F15" s="8"/>
      <c r="G15" s="8"/>
      <c r="H15" s="8"/>
      <c r="I15" s="8"/>
      <c r="J15" s="8"/>
      <c r="K15" s="8"/>
      <c r="L15" s="8"/>
      <c r="M15" s="8"/>
      <c r="N15" s="8"/>
      <c r="O15" s="8"/>
      <c r="P15" s="8"/>
      <c r="Q15" s="8"/>
      <c r="R15" s="8"/>
      <c r="S15" s="8"/>
      <c r="T15" s="8"/>
      <c r="U15" s="8"/>
      <c r="V15" s="8"/>
      <c r="W15" s="8"/>
      <c r="X15" s="8"/>
      <c r="Y15" s="8"/>
      <c r="Z15" s="8"/>
    </row>
    <row r="16" spans="1:26" ht="12.75" customHeight="1">
      <c r="A16" s="49" t="s">
        <v>71</v>
      </c>
      <c r="B16" s="52"/>
      <c r="C16" s="42"/>
      <c r="D16" s="42"/>
      <c r="E16" s="42"/>
      <c r="F16" s="8"/>
      <c r="G16" s="8"/>
      <c r="H16" s="8"/>
      <c r="I16" s="8"/>
      <c r="J16" s="8"/>
      <c r="K16" s="8"/>
      <c r="L16" s="8"/>
      <c r="M16" s="8"/>
      <c r="N16" s="8"/>
      <c r="O16" s="8"/>
      <c r="P16" s="8"/>
      <c r="Q16" s="8"/>
      <c r="R16" s="8"/>
      <c r="S16" s="8"/>
      <c r="T16" s="8"/>
      <c r="U16" s="8"/>
      <c r="V16" s="8"/>
      <c r="W16" s="8"/>
      <c r="X16" s="8"/>
      <c r="Y16" s="8"/>
      <c r="Z16" s="8"/>
    </row>
    <row r="17" spans="1:26" ht="12.75" customHeight="1">
      <c r="A17" s="53" t="s">
        <v>72</v>
      </c>
      <c r="B17" s="52"/>
      <c r="C17" s="42"/>
      <c r="D17" s="42"/>
      <c r="E17" s="42"/>
      <c r="F17" s="8"/>
      <c r="G17" s="8"/>
      <c r="H17" s="8"/>
      <c r="I17" s="8"/>
      <c r="J17" s="8"/>
      <c r="K17" s="8"/>
      <c r="L17" s="8"/>
      <c r="M17" s="8"/>
      <c r="N17" s="8"/>
      <c r="O17" s="8"/>
      <c r="P17" s="8"/>
      <c r="Q17" s="8"/>
      <c r="R17" s="8"/>
      <c r="S17" s="8"/>
      <c r="T17" s="8"/>
      <c r="U17" s="8"/>
      <c r="V17" s="8"/>
      <c r="W17" s="8"/>
      <c r="X17" s="8"/>
      <c r="Y17" s="8"/>
      <c r="Z17" s="8"/>
    </row>
    <row r="18" spans="1:26" ht="12.75" customHeight="1">
      <c r="A18" s="53" t="s">
        <v>73</v>
      </c>
      <c r="B18" s="42"/>
      <c r="C18" s="42"/>
      <c r="D18" s="42"/>
      <c r="E18" s="42"/>
      <c r="F18" s="8"/>
      <c r="G18" s="8"/>
      <c r="H18" s="8"/>
      <c r="I18" s="8"/>
      <c r="J18" s="8"/>
      <c r="K18" s="8"/>
      <c r="L18" s="8"/>
      <c r="M18" s="8"/>
      <c r="N18" s="8"/>
      <c r="O18" s="8"/>
      <c r="P18" s="8"/>
      <c r="Q18" s="8"/>
      <c r="R18" s="8"/>
      <c r="S18" s="8"/>
      <c r="T18" s="8"/>
      <c r="U18" s="8"/>
      <c r="V18" s="8"/>
      <c r="W18" s="8"/>
      <c r="X18" s="8"/>
      <c r="Y18" s="8"/>
      <c r="Z18" s="8"/>
    </row>
    <row r="19" spans="1:26" ht="12.75" customHeight="1">
      <c r="A19" s="8"/>
      <c r="B19" s="8"/>
      <c r="C19" s="8"/>
      <c r="D19" s="8"/>
      <c r="E19" s="8"/>
      <c r="F19" s="8"/>
      <c r="G19" s="8"/>
      <c r="H19" s="8"/>
      <c r="I19" s="8"/>
      <c r="J19" s="8"/>
      <c r="K19" s="8"/>
      <c r="L19" s="8"/>
      <c r="M19" s="8"/>
      <c r="N19" s="8"/>
      <c r="O19" s="8"/>
      <c r="P19" s="8"/>
      <c r="Q19" s="8"/>
      <c r="R19" s="8"/>
      <c r="S19" s="8"/>
      <c r="T19" s="8"/>
      <c r="U19" s="8"/>
      <c r="V19" s="8"/>
      <c r="W19" s="8"/>
      <c r="X19" s="8"/>
      <c r="Y19" s="8"/>
      <c r="Z19" s="8"/>
    </row>
    <row r="20" spans="1:26" ht="12.75" customHeight="1">
      <c r="A20" s="8"/>
      <c r="B20" s="8"/>
      <c r="C20" s="8"/>
      <c r="D20" s="8"/>
      <c r="E20" s="8"/>
      <c r="F20" s="8"/>
      <c r="G20" s="8"/>
      <c r="H20" s="8"/>
      <c r="I20" s="8"/>
      <c r="J20" s="8"/>
      <c r="K20" s="8"/>
      <c r="L20" s="8"/>
      <c r="M20" s="8"/>
      <c r="N20" s="8"/>
      <c r="O20" s="8"/>
      <c r="P20" s="8"/>
      <c r="Q20" s="8"/>
      <c r="R20" s="8"/>
      <c r="S20" s="8"/>
      <c r="T20" s="8"/>
      <c r="U20" s="8"/>
      <c r="V20" s="8"/>
      <c r="W20" s="8"/>
      <c r="X20" s="8"/>
      <c r="Y20" s="8"/>
      <c r="Z20" s="8"/>
    </row>
    <row r="21" spans="1:26" ht="12.75" customHeight="1">
      <c r="A21" s="8"/>
      <c r="B21" s="8"/>
      <c r="C21" s="8"/>
      <c r="D21" s="8"/>
      <c r="E21" s="8"/>
      <c r="F21" s="8"/>
      <c r="G21" s="8"/>
      <c r="H21" s="8"/>
      <c r="I21" s="8"/>
      <c r="J21" s="8"/>
      <c r="K21" s="8"/>
      <c r="L21" s="8"/>
      <c r="M21" s="8"/>
      <c r="N21" s="8"/>
      <c r="O21" s="8"/>
      <c r="P21" s="8"/>
      <c r="Q21" s="8"/>
      <c r="R21" s="8"/>
      <c r="S21" s="8"/>
      <c r="T21" s="8"/>
      <c r="U21" s="8"/>
      <c r="V21" s="8"/>
      <c r="W21" s="8"/>
      <c r="X21" s="8"/>
      <c r="Y21" s="8"/>
      <c r="Z21" s="8"/>
    </row>
    <row r="22" spans="1:26" ht="12.75" customHeight="1">
      <c r="A22" s="8"/>
      <c r="B22" s="8"/>
      <c r="C22" s="8"/>
      <c r="D22" s="8"/>
      <c r="E22" s="8"/>
      <c r="F22" s="8"/>
      <c r="G22" s="8"/>
      <c r="H22" s="8"/>
      <c r="I22" s="8"/>
      <c r="J22" s="8"/>
      <c r="K22" s="8"/>
      <c r="L22" s="8"/>
      <c r="M22" s="8"/>
      <c r="N22" s="8"/>
      <c r="O22" s="8"/>
      <c r="P22" s="8"/>
      <c r="Q22" s="8"/>
      <c r="R22" s="8"/>
      <c r="S22" s="8"/>
      <c r="T22" s="8"/>
      <c r="U22" s="8"/>
      <c r="V22" s="8"/>
      <c r="W22" s="8"/>
      <c r="X22" s="8"/>
      <c r="Y22" s="8"/>
      <c r="Z22" s="8"/>
    </row>
    <row r="23" spans="1:26" ht="12.75" customHeight="1">
      <c r="A23" s="8"/>
      <c r="B23" s="8"/>
      <c r="C23" s="8"/>
      <c r="D23" s="8"/>
      <c r="E23" s="8"/>
      <c r="F23" s="8"/>
      <c r="G23" s="8"/>
      <c r="H23" s="8"/>
      <c r="I23" s="8"/>
      <c r="J23" s="8"/>
      <c r="K23" s="8"/>
      <c r="L23" s="8"/>
      <c r="M23" s="8"/>
      <c r="N23" s="8"/>
      <c r="O23" s="8"/>
      <c r="P23" s="8"/>
      <c r="Q23" s="8"/>
      <c r="R23" s="8"/>
      <c r="S23" s="8"/>
      <c r="T23" s="8"/>
      <c r="U23" s="8"/>
      <c r="V23" s="8"/>
      <c r="W23" s="8"/>
      <c r="X23" s="8"/>
      <c r="Y23" s="8"/>
      <c r="Z23" s="8"/>
    </row>
    <row r="24" spans="1:26" ht="12.75" customHeight="1">
      <c r="A24" s="8"/>
      <c r="B24" s="8"/>
      <c r="C24" s="8"/>
      <c r="D24" s="8"/>
      <c r="E24" s="8"/>
      <c r="F24" s="8"/>
      <c r="G24" s="8"/>
      <c r="H24" s="8"/>
      <c r="I24" s="8"/>
      <c r="J24" s="8"/>
      <c r="K24" s="8"/>
      <c r="L24" s="8"/>
      <c r="M24" s="8"/>
      <c r="N24" s="8"/>
      <c r="O24" s="8"/>
      <c r="P24" s="8"/>
      <c r="Q24" s="8"/>
      <c r="R24" s="8"/>
      <c r="S24" s="8"/>
      <c r="T24" s="8"/>
      <c r="U24" s="8"/>
      <c r="V24" s="8"/>
      <c r="W24" s="8"/>
      <c r="X24" s="8"/>
      <c r="Y24" s="8"/>
      <c r="Z24" s="8"/>
    </row>
    <row r="25" spans="1:26" ht="12.75" customHeight="1">
      <c r="A25" s="8"/>
      <c r="B25" s="8"/>
      <c r="C25" s="8"/>
      <c r="D25" s="8"/>
      <c r="E25" s="8"/>
      <c r="F25" s="8"/>
      <c r="G25" s="8"/>
      <c r="H25" s="8"/>
      <c r="I25" s="8"/>
      <c r="J25" s="8"/>
      <c r="K25" s="8"/>
      <c r="L25" s="8"/>
      <c r="M25" s="8"/>
      <c r="N25" s="8"/>
      <c r="O25" s="8"/>
      <c r="P25" s="8"/>
      <c r="Q25" s="8"/>
      <c r="R25" s="8"/>
      <c r="S25" s="8"/>
      <c r="T25" s="8"/>
      <c r="U25" s="8"/>
      <c r="V25" s="8"/>
      <c r="W25" s="8"/>
      <c r="X25" s="8"/>
      <c r="Y25" s="8"/>
      <c r="Z25" s="8"/>
    </row>
    <row r="26" spans="1:26" ht="12.75" customHeight="1">
      <c r="A26" s="8"/>
      <c r="B26" s="8"/>
      <c r="C26" s="8"/>
      <c r="D26" s="8"/>
      <c r="E26" s="8"/>
      <c r="F26" s="8"/>
      <c r="G26" s="8"/>
      <c r="H26" s="8"/>
      <c r="I26" s="8"/>
      <c r="J26" s="8"/>
      <c r="K26" s="8"/>
      <c r="L26" s="8"/>
      <c r="M26" s="8"/>
      <c r="N26" s="8"/>
      <c r="O26" s="8"/>
      <c r="P26" s="8"/>
      <c r="Q26" s="8"/>
      <c r="R26" s="8"/>
      <c r="S26" s="8"/>
      <c r="T26" s="8"/>
      <c r="U26" s="8"/>
      <c r="V26" s="8"/>
      <c r="W26" s="8"/>
      <c r="X26" s="8"/>
      <c r="Y26" s="8"/>
      <c r="Z26" s="8"/>
    </row>
    <row r="27" spans="1:26" ht="12.75" customHeight="1">
      <c r="A27" s="8"/>
      <c r="B27" s="8"/>
      <c r="C27" s="8"/>
      <c r="D27" s="8"/>
      <c r="E27" s="8"/>
      <c r="F27" s="8"/>
      <c r="G27" s="8"/>
      <c r="H27" s="8"/>
      <c r="I27" s="8"/>
      <c r="J27" s="8"/>
      <c r="K27" s="8"/>
      <c r="L27" s="8"/>
      <c r="M27" s="8"/>
      <c r="N27" s="8"/>
      <c r="O27" s="8"/>
      <c r="P27" s="8"/>
      <c r="Q27" s="8"/>
      <c r="R27" s="8"/>
      <c r="S27" s="8"/>
      <c r="T27" s="8"/>
      <c r="U27" s="8"/>
      <c r="V27" s="8"/>
      <c r="W27" s="8"/>
      <c r="X27" s="8"/>
      <c r="Y27" s="8"/>
      <c r="Z27" s="8"/>
    </row>
    <row r="28" spans="1:26" ht="12.75" customHeight="1">
      <c r="A28" s="8"/>
      <c r="B28" s="8"/>
      <c r="C28" s="8"/>
      <c r="D28" s="8"/>
      <c r="E28" s="8"/>
      <c r="F28" s="8"/>
      <c r="G28" s="8"/>
      <c r="H28" s="8"/>
      <c r="I28" s="8"/>
      <c r="J28" s="8"/>
      <c r="K28" s="8"/>
      <c r="L28" s="8"/>
      <c r="M28" s="8"/>
      <c r="N28" s="8"/>
      <c r="O28" s="8"/>
      <c r="P28" s="8"/>
      <c r="Q28" s="8"/>
      <c r="R28" s="8"/>
      <c r="S28" s="8"/>
      <c r="T28" s="8"/>
      <c r="U28" s="8"/>
      <c r="V28" s="8"/>
      <c r="W28" s="8"/>
      <c r="X28" s="8"/>
      <c r="Y28" s="8"/>
      <c r="Z28" s="8"/>
    </row>
    <row r="29" spans="1:26" ht="12.75" customHeight="1">
      <c r="A29" s="8"/>
      <c r="B29" s="8"/>
      <c r="C29" s="8"/>
      <c r="D29" s="8"/>
      <c r="E29" s="8"/>
      <c r="F29" s="8"/>
      <c r="G29" s="8"/>
      <c r="H29" s="8"/>
      <c r="I29" s="8"/>
      <c r="J29" s="8"/>
      <c r="K29" s="8"/>
      <c r="L29" s="8"/>
      <c r="M29" s="8"/>
      <c r="N29" s="8"/>
      <c r="O29" s="8"/>
      <c r="P29" s="8"/>
      <c r="Q29" s="8"/>
      <c r="R29" s="8"/>
      <c r="S29" s="8"/>
      <c r="T29" s="8"/>
      <c r="U29" s="8"/>
      <c r="V29" s="8"/>
      <c r="W29" s="8"/>
      <c r="X29" s="8"/>
      <c r="Y29" s="8"/>
      <c r="Z29" s="8"/>
    </row>
    <row r="30" spans="1:26" ht="12.75" customHeight="1">
      <c r="A30" s="8"/>
      <c r="B30" s="8"/>
      <c r="C30" s="8"/>
      <c r="D30" s="8"/>
      <c r="E30" s="8"/>
      <c r="F30" s="8"/>
      <c r="G30" s="8"/>
      <c r="H30" s="8"/>
      <c r="I30" s="8"/>
      <c r="J30" s="8"/>
      <c r="K30" s="8"/>
      <c r="L30" s="8"/>
      <c r="M30" s="8"/>
      <c r="N30" s="8"/>
      <c r="O30" s="8"/>
      <c r="P30" s="8"/>
      <c r="Q30" s="8"/>
      <c r="R30" s="8"/>
      <c r="S30" s="8"/>
      <c r="T30" s="8"/>
      <c r="U30" s="8"/>
      <c r="V30" s="8"/>
      <c r="W30" s="8"/>
      <c r="X30" s="8"/>
      <c r="Y30" s="8"/>
      <c r="Z30" s="8"/>
    </row>
    <row r="31" spans="1:26" ht="12.75" customHeight="1">
      <c r="A31" s="8"/>
      <c r="B31" s="8"/>
      <c r="C31" s="8"/>
      <c r="D31" s="8"/>
      <c r="E31" s="8"/>
      <c r="F31" s="8"/>
      <c r="G31" s="8"/>
      <c r="H31" s="8"/>
      <c r="I31" s="8"/>
      <c r="J31" s="8"/>
      <c r="K31" s="8"/>
      <c r="L31" s="8"/>
      <c r="M31" s="8"/>
      <c r="N31" s="8"/>
      <c r="O31" s="8"/>
      <c r="P31" s="8"/>
      <c r="Q31" s="8"/>
      <c r="R31" s="8"/>
      <c r="S31" s="8"/>
      <c r="T31" s="8"/>
      <c r="U31" s="8"/>
      <c r="V31" s="8"/>
      <c r="W31" s="8"/>
      <c r="X31" s="8"/>
      <c r="Y31" s="8"/>
      <c r="Z31" s="8"/>
    </row>
    <row r="32" spans="1:26" ht="12.75" customHeight="1">
      <c r="A32" s="8"/>
      <c r="B32" s="8"/>
      <c r="C32" s="8"/>
      <c r="D32" s="8"/>
      <c r="E32" s="8"/>
      <c r="F32" s="8"/>
      <c r="G32" s="8"/>
      <c r="H32" s="8"/>
      <c r="I32" s="8"/>
      <c r="J32" s="8"/>
      <c r="K32" s="8"/>
      <c r="L32" s="8"/>
      <c r="M32" s="8"/>
      <c r="N32" s="8"/>
      <c r="O32" s="8"/>
      <c r="P32" s="8"/>
      <c r="Q32" s="8"/>
      <c r="R32" s="8"/>
      <c r="S32" s="8"/>
      <c r="T32" s="8"/>
      <c r="U32" s="8"/>
      <c r="V32" s="8"/>
      <c r="W32" s="8"/>
      <c r="X32" s="8"/>
      <c r="Y32" s="8"/>
      <c r="Z32" s="8"/>
    </row>
    <row r="33" spans="1:26" ht="12.75" customHeight="1">
      <c r="A33" s="8"/>
      <c r="B33" s="8"/>
      <c r="C33" s="8"/>
      <c r="D33" s="8"/>
      <c r="E33" s="8"/>
      <c r="F33" s="8"/>
      <c r="G33" s="8"/>
      <c r="H33" s="8"/>
      <c r="I33" s="8"/>
      <c r="J33" s="8"/>
      <c r="K33" s="8"/>
      <c r="L33" s="8"/>
      <c r="M33" s="8"/>
      <c r="N33" s="8"/>
      <c r="O33" s="8"/>
      <c r="P33" s="8"/>
      <c r="Q33" s="8"/>
      <c r="R33" s="8"/>
      <c r="S33" s="8"/>
      <c r="T33" s="8"/>
      <c r="U33" s="8"/>
      <c r="V33" s="8"/>
      <c r="W33" s="8"/>
      <c r="X33" s="8"/>
      <c r="Y33" s="8"/>
      <c r="Z33" s="8"/>
    </row>
    <row r="34" spans="1:26" ht="12.75" customHeight="1">
      <c r="A34" s="8"/>
      <c r="B34" s="8"/>
      <c r="C34" s="8"/>
      <c r="D34" s="8"/>
      <c r="E34" s="8"/>
      <c r="F34" s="8"/>
      <c r="G34" s="8"/>
      <c r="H34" s="8"/>
      <c r="I34" s="8"/>
      <c r="J34" s="8"/>
      <c r="K34" s="8"/>
      <c r="L34" s="8"/>
      <c r="M34" s="8"/>
      <c r="N34" s="8"/>
      <c r="O34" s="8"/>
      <c r="P34" s="8"/>
      <c r="Q34" s="8"/>
      <c r="R34" s="8"/>
      <c r="S34" s="8"/>
      <c r="T34" s="8"/>
      <c r="U34" s="8"/>
      <c r="V34" s="8"/>
      <c r="W34" s="8"/>
      <c r="X34" s="8"/>
      <c r="Y34" s="8"/>
      <c r="Z34" s="8"/>
    </row>
    <row r="35" spans="1:26" ht="12.75" customHeight="1">
      <c r="A35" s="8"/>
      <c r="B35" s="8"/>
      <c r="C35" s="8"/>
      <c r="D35" s="8"/>
      <c r="E35" s="8"/>
      <c r="F35" s="8"/>
      <c r="G35" s="8"/>
      <c r="H35" s="8"/>
      <c r="I35" s="8"/>
      <c r="J35" s="8"/>
      <c r="K35" s="8"/>
      <c r="L35" s="8"/>
      <c r="M35" s="8"/>
      <c r="N35" s="8"/>
      <c r="O35" s="8"/>
      <c r="P35" s="8"/>
      <c r="Q35" s="8"/>
      <c r="R35" s="8"/>
      <c r="S35" s="8"/>
      <c r="T35" s="8"/>
      <c r="U35" s="8"/>
      <c r="V35" s="8"/>
      <c r="W35" s="8"/>
      <c r="X35" s="8"/>
      <c r="Y35" s="8"/>
      <c r="Z35" s="8"/>
    </row>
    <row r="36" spans="1:26" ht="12.75" customHeight="1">
      <c r="A36" s="8"/>
      <c r="B36" s="8"/>
      <c r="C36" s="8"/>
      <c r="D36" s="8"/>
      <c r="E36" s="8"/>
      <c r="F36" s="8"/>
      <c r="G36" s="8"/>
      <c r="H36" s="8"/>
      <c r="I36" s="8"/>
      <c r="J36" s="8"/>
      <c r="K36" s="8"/>
      <c r="L36" s="8"/>
      <c r="M36" s="8"/>
      <c r="N36" s="8"/>
      <c r="O36" s="8"/>
      <c r="P36" s="8"/>
      <c r="Q36" s="8"/>
      <c r="R36" s="8"/>
      <c r="S36" s="8"/>
      <c r="T36" s="8"/>
      <c r="U36" s="8"/>
      <c r="V36" s="8"/>
      <c r="W36" s="8"/>
      <c r="X36" s="8"/>
      <c r="Y36" s="8"/>
      <c r="Z36" s="8"/>
    </row>
    <row r="37" spans="1:26" ht="12.75" customHeight="1">
      <c r="A37" s="8"/>
      <c r="B37" s="8"/>
      <c r="C37" s="8"/>
      <c r="D37" s="8"/>
      <c r="E37" s="8"/>
      <c r="F37" s="8"/>
      <c r="G37" s="8"/>
      <c r="H37" s="8"/>
      <c r="I37" s="8"/>
      <c r="J37" s="8"/>
      <c r="K37" s="8"/>
      <c r="L37" s="8"/>
      <c r="M37" s="8"/>
      <c r="N37" s="8"/>
      <c r="O37" s="8"/>
      <c r="P37" s="8"/>
      <c r="Q37" s="8"/>
      <c r="R37" s="8"/>
      <c r="S37" s="8"/>
      <c r="T37" s="8"/>
      <c r="U37" s="8"/>
      <c r="V37" s="8"/>
      <c r="W37" s="8"/>
      <c r="X37" s="8"/>
      <c r="Y37" s="8"/>
      <c r="Z37" s="8"/>
    </row>
    <row r="38" spans="1:26" ht="12.75" customHeight="1">
      <c r="A38" s="8"/>
      <c r="B38" s="8"/>
      <c r="C38" s="8"/>
      <c r="D38" s="8"/>
      <c r="E38" s="8"/>
      <c r="F38" s="8"/>
      <c r="G38" s="8"/>
      <c r="H38" s="8"/>
      <c r="I38" s="8"/>
      <c r="J38" s="8"/>
      <c r="K38" s="8"/>
      <c r="L38" s="8"/>
      <c r="M38" s="8"/>
      <c r="N38" s="8"/>
      <c r="O38" s="8"/>
      <c r="P38" s="8"/>
      <c r="Q38" s="8"/>
      <c r="R38" s="8"/>
      <c r="S38" s="8"/>
      <c r="T38" s="8"/>
      <c r="U38" s="8"/>
      <c r="V38" s="8"/>
      <c r="W38" s="8"/>
      <c r="X38" s="8"/>
      <c r="Y38" s="8"/>
      <c r="Z38" s="8"/>
    </row>
    <row r="39" spans="1:26" ht="12.75" customHeight="1">
      <c r="A39" s="8"/>
      <c r="B39" s="8"/>
      <c r="C39" s="8"/>
      <c r="D39" s="8"/>
      <c r="E39" s="8"/>
      <c r="F39" s="8"/>
      <c r="G39" s="8"/>
      <c r="H39" s="8"/>
      <c r="I39" s="8"/>
      <c r="J39" s="8"/>
      <c r="K39" s="8"/>
      <c r="L39" s="8"/>
      <c r="M39" s="8"/>
      <c r="N39" s="8"/>
      <c r="O39" s="8"/>
      <c r="P39" s="8"/>
      <c r="Q39" s="8"/>
      <c r="R39" s="8"/>
      <c r="S39" s="8"/>
      <c r="T39" s="8"/>
      <c r="U39" s="8"/>
      <c r="V39" s="8"/>
      <c r="W39" s="8"/>
      <c r="X39" s="8"/>
      <c r="Y39" s="8"/>
      <c r="Z39" s="8"/>
    </row>
    <row r="40" spans="1:26" ht="12.75" customHeight="1">
      <c r="A40" s="8"/>
      <c r="B40" s="8"/>
      <c r="C40" s="8"/>
      <c r="D40" s="8"/>
      <c r="E40" s="8"/>
      <c r="F40" s="8"/>
      <c r="G40" s="8"/>
      <c r="H40" s="8"/>
      <c r="I40" s="8"/>
      <c r="J40" s="8"/>
      <c r="K40" s="8"/>
      <c r="L40" s="8"/>
      <c r="M40" s="8"/>
      <c r="N40" s="8"/>
      <c r="O40" s="8"/>
      <c r="P40" s="8"/>
      <c r="Q40" s="8"/>
      <c r="R40" s="8"/>
      <c r="S40" s="8"/>
      <c r="T40" s="8"/>
      <c r="U40" s="8"/>
      <c r="V40" s="8"/>
      <c r="W40" s="8"/>
      <c r="X40" s="8"/>
      <c r="Y40" s="8"/>
      <c r="Z40" s="8"/>
    </row>
    <row r="41" spans="1:26" ht="12.75" customHeight="1">
      <c r="A41" s="8"/>
      <c r="B41" s="8"/>
      <c r="C41" s="8"/>
      <c r="D41" s="8"/>
      <c r="E41" s="8"/>
      <c r="F41" s="8"/>
      <c r="G41" s="8"/>
      <c r="H41" s="8"/>
      <c r="I41" s="8"/>
      <c r="J41" s="8"/>
      <c r="K41" s="8"/>
      <c r="L41" s="8"/>
      <c r="M41" s="8"/>
      <c r="N41" s="8"/>
      <c r="O41" s="8"/>
      <c r="P41" s="8"/>
      <c r="Q41" s="8"/>
      <c r="R41" s="8"/>
      <c r="S41" s="8"/>
      <c r="T41" s="8"/>
      <c r="U41" s="8"/>
      <c r="V41" s="8"/>
      <c r="W41" s="8"/>
      <c r="X41" s="8"/>
      <c r="Y41" s="8"/>
      <c r="Z41" s="8"/>
    </row>
    <row r="42" spans="1:26" ht="12.75" customHeight="1">
      <c r="A42" s="8"/>
      <c r="B42" s="8"/>
      <c r="C42" s="8"/>
      <c r="D42" s="8"/>
      <c r="E42" s="8"/>
      <c r="F42" s="8"/>
      <c r="G42" s="8"/>
      <c r="H42" s="8"/>
      <c r="I42" s="8"/>
      <c r="J42" s="8"/>
      <c r="K42" s="8"/>
      <c r="L42" s="8"/>
      <c r="M42" s="8"/>
      <c r="N42" s="8"/>
      <c r="O42" s="8"/>
      <c r="P42" s="8"/>
      <c r="Q42" s="8"/>
      <c r="R42" s="8"/>
      <c r="S42" s="8"/>
      <c r="T42" s="8"/>
      <c r="U42" s="8"/>
      <c r="V42" s="8"/>
      <c r="W42" s="8"/>
      <c r="X42" s="8"/>
      <c r="Y42" s="8"/>
      <c r="Z42" s="8"/>
    </row>
    <row r="43" spans="1:26" ht="12.75" customHeight="1">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ht="12.75" customHeight="1">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ht="12.75" customHeight="1">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ht="12.75" customHeight="1">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ht="12.75" customHeight="1">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2.75" customHeight="1">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2.75" customHeight="1">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2.75" customHeight="1">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2.75" customHeight="1">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2.75" customHeight="1">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2.75" customHeight="1">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2.75" customHeight="1">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2.75" customHeight="1">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2.75" customHeight="1">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2.75" customHeight="1">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2.75" customHeight="1">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2.75" customHeight="1">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2.75" customHeight="1">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2.75" customHeight="1">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2.75" customHeight="1">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2.75" customHeight="1">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2.75" customHeight="1">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2.75" customHeight="1">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2.75" customHeight="1">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2.75" customHeight="1">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2.75" customHeight="1">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2.75" customHeight="1">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2.75" customHeight="1">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2.75" customHeight="1">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2.75" customHeight="1">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2.75" customHeight="1">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2.75" customHeight="1">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2.75" customHeight="1">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2.75" customHeight="1">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2.75" customHeight="1">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2.75" customHeight="1">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2.75" customHeight="1">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2.75" customHeight="1">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2.75" customHeight="1">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2.75" customHeight="1">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2.75" customHeight="1">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2.75" customHeight="1">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2.75" customHeight="1">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2.75" customHeight="1">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2.75" customHeight="1">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2.75" customHeight="1">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2.75" customHeight="1">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2.75" customHeight="1">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2.75" customHeight="1">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2.75" customHeight="1">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2.75" customHeight="1">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2.75" customHeight="1">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2.75" customHeight="1">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2.75" customHeight="1">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2.75" customHeight="1">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2.75" customHeight="1">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2.75" customHeight="1">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2.7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2.7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2.7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2.7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2.7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2.7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2.7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2.7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2.7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2.7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2.7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2.7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2.7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2.7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2.7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2.7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2.7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2.7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2.7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2.7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2.7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2.7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2.7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2.7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2.7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2.7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2.7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2.7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2.7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2.7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2.7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2.7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2.7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2.7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2.7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2.7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2.7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2.7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2.7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2.7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2.7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2.7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2.7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2.7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2.7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2.7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2.7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2.7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2.7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2.7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2.7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2.7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2.7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2.7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2.7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2.7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2.7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2.7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2.7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2.7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2.7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2.7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2.7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2.7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2.7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2.7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2.7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2.7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2.7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2.7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2.7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2.7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2.7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2.7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2.7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2.7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2.7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2.7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2.7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2.7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2.7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2.7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2.7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2.7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2.7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2.7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2.7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2.7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2.7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2.7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2.7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2.7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2.7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2.7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2.7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2.7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2.7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2.7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2.7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2.7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2.7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2.7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2.7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2.7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2.7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2.7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2.7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2.7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2.7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2.7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2.7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2.7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2.7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2.7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2.7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2.7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2.7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2.7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2.7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2.7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2.7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2.7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2.7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2.7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2.7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2.7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2.7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2.7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2.7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2.7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2.7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2.7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2.7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2.7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2.7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2.7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2.7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2.7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2.7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2.7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2.7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2.7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2.7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2.7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2.7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2.7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2.7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2.7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2.7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2.7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2.7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2.7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2.7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2.7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2.7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2.7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2.7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2.7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2.7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2.7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2.7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2.7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2.7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2.7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2.7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2.7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2.7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2.7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2.7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2.7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2.7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2.7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2.7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2.7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2.7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2.7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2.7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2.7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2.7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2.7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2.7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2.7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2.7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2.7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2.7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2.7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2.7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2.7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2.7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2.7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2.7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2.7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2.7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2.7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2.7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2.7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2.7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2.7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2.7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2.7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2.7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2.7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2.7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2.7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2.7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2.7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2.7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2.7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2.7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2.7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2.7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2.7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2.7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2.7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2.7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2.7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2.7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2.7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2.7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2.7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2.7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2.7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2.7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2.7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2.7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2.7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2.7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2.7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2.7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2.7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2.7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2.7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2.7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2.7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2.7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2.7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2.7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2.7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2.7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2.7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2.7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2.7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2.7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2.7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2.7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2.7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2.7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2.7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2.7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2.7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2.7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2.7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2.7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2.7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2.7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2.7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2.7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2.7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2.7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2.7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2.7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2.7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2.7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2.7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2.7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2.7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2.7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2.7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2.7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2.7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2.7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2.7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2.7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2.7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2.7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2.7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2.7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2.7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2.7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2.7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2.7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2.7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2.7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2.7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2.7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2.7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2.7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2.7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2.7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2.7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2.7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2.7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2.7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2.7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2.7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2.7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2.7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2.7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2.7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2.7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2.7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2.7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2.7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2.7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2.7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2.7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2.7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2.7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2.7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2.7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2.7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2.7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2.7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2.7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2.7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2.7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2.7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2.7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2.7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2.7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2.7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2.7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2.7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2.7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2.7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2.7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2.7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2.7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2.7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2.7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2.7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2.7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2.7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2.7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2.7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2.7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2.7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2.7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2.7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2.7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2.7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2.7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2.7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2.7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2.7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2.7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2.7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2.7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2.7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2.7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2.7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2.7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2.7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2.7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2.7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2.7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2.7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2.7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2.7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2.7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2.7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2.7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2.7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2.7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2.7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2.7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2.7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2.7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2.7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2.7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2.7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2.7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2.7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2.7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2.7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2.7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2.7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2.7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2.7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2.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2.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2.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2.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2.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2.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2.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2.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2.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2.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2.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2.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2.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2.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2.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2.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2.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2.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2.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2.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2.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2.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2.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2.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2.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2.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2.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2.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2.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2.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2.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2.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2.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2.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2.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2.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2.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2.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2.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2.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2.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2.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2.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2.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2.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2.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2.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2.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2.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2.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2.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2.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2.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2.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2.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2.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2.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2.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2.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2.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2.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2.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2.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2.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2.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2.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2.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2.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2.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2.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2.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2.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2.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2.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2.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2.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2.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2.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2.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2.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2.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2.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2.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2.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2.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2.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2.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2.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2.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2.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2.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2.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2.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2.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2.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2.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2.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2.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2.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2.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2.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2.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2.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2.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2.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2.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2.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2.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2.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2.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2.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2.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2.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2.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2.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2.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2.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2.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2.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2.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2.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2.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2.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2.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2.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2.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2.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2.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2.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2.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2.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2.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2.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2.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2.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2.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2.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2.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2.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2.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2.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2.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2.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2.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2.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2.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2.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2.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2.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2.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2.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2.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2.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2.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2.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2.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2.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2.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2.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2.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2.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2.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2.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2.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2.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2.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2.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2.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2.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2.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2.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2.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2.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2.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2.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2.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2.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2.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2.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2.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2.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2.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2.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2.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2.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2.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2.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2.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2.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2.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2.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2.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2.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2.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2.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2.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2.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2.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2.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2.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2.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2.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2.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2.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2.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2.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2.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2.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2.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2.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2.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2.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2.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2.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2.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2.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2.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2.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2.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2.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2.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2.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2.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2.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2.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2.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2.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2.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2.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2.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2.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2.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2.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2.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2.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2.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2.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2.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2.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2.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2.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2.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2.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2.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2.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2.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2.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2.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2.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2.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2.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2.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2.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2.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2.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2.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2.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2.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2.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2.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2.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2.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2.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2.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2.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2.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2.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2.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2.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2.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2.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2.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2.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2.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2.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2.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2.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2.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2.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2.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2.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2.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2.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2.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2.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2.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2.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2.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2.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2.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2.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2.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2.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2.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2.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2.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2.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2.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2.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2.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2.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2.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2.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2.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2.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2.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2.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2.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2.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2.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2.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2.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2.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2.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2.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2.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2.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2.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2.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2.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2.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2.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2.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2.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2.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2.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2.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2.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2.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2.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2.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2.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2.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2.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2.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2.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2.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2.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2.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2.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2.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2.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2.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2.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2.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2.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2.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2.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2.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2.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2.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2.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2.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2.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2.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2.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2.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2.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2.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2.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2.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2.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2.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2.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2.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2.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2.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2.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2.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2.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2.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2.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2.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2.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2.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2.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2.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2.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2.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2.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2.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2.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2.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2.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2.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2.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2.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2.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2.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2.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2.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2.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2.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2.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2.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2.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2.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2.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2.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2.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2.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2.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2.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2.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2.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2.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2.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2.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2.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2.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2.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2.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2.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2.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2.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2.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2.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2.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2.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2.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2.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2.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2.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2.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2.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2.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2.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2.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2.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2.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2.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2.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2.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2.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2.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2.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2.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2.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2.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2.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2.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2.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2.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2.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2.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2.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2.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2.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2.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2.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2.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2.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2.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2.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2.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2.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2.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2.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2.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2.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2.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2.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2.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2.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2.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2.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2.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2.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2.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2.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2.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2.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2.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2.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2.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2.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2.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2.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2.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2.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2.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2.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2.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2.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2.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2.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2.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2.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2.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2.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2.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2.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2.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2.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2.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2.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2.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2.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2.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2.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2.7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2.7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2.7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2.7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2.7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2.7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2.7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2.7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2.7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2.7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2.7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2.7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2.7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2.7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2.7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2.7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2.7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2.7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2.7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2.7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2.7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2.7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hyperlinks>
    <hyperlink ref="A7" location="null!R1C1" display="Table 1--Soybeans:  Annual U.S. supply and disappearance" xr:uid="{00000000-0004-0000-0100-000000000000}"/>
    <hyperlink ref="A8" location="Table 2!R1C1" display="Table 2--Soybean meal:  U.S. supply and disappearance" xr:uid="{00000000-0004-0000-0100-000001000000}"/>
    <hyperlink ref="A9" location="Table 3!R1C1" display="Table 3--Soybean oil:  U.S. supply and disappearance" xr:uid="{00000000-0004-0000-0100-000002000000}"/>
    <hyperlink ref="A10" location="null!R1C1" display="Table 4--Cottonseed:  U.S. supply and disappearance" xr:uid="{00000000-0004-0000-0100-000003000000}"/>
    <hyperlink ref="A11" location="null!R1C1" display="Table 5--Cottonseed meal:  U.S. supply and disappearance" xr:uid="{00000000-0004-0000-0100-000004000000}"/>
    <hyperlink ref="A12" location="null!R1C1" display="Table 6--Cottonseed oil:  U.S. supply and disappearance" xr:uid="{00000000-0004-0000-0100-000005000000}"/>
    <hyperlink ref="A13" location="null!R1C1" display="Table 7--Peanuts:  U.S. supply and disappearance" xr:uid="{00000000-0004-0000-0100-000006000000}"/>
    <hyperlink ref="A14" location="Table 8!R1C1" display="Table 8--Oilseed prices received by U.S. farmers" xr:uid="{00000000-0004-0000-0100-000007000000}"/>
    <hyperlink ref="A15" location="Table 9!R1C1" display="Table 9--U.S. vegetable oil and fats prices" xr:uid="{00000000-0004-0000-0100-000008000000}"/>
    <hyperlink ref="A16" location="Table 10!R1C1" display="Table 10--U.S. oilseed meal prices " xr:uid="{00000000-0004-0000-0100-000009000000}"/>
  </hyperlinks>
  <pageMargins left="0.75" right="0.75" top="1" bottom="1" header="0" footer="0"/>
  <pageSetup orientation="portrait"/>
  <headerFooter>
    <oddFooter>&amp;C000000&amp;P</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Z1000"/>
  <sheetViews>
    <sheetView showGridLines="0" workbookViewId="0">
      <selection activeCell="M13" sqref="M13"/>
    </sheetView>
  </sheetViews>
  <sheetFormatPr defaultColWidth="14.44140625" defaultRowHeight="15" customHeight="1"/>
  <cols>
    <col min="1" max="1" width="14.6640625" customWidth="1"/>
    <col min="2" max="2" width="11.6640625" customWidth="1"/>
    <col min="3" max="3" width="10.6640625" customWidth="1"/>
    <col min="4" max="4" width="7.6640625" customWidth="1"/>
    <col min="5" max="5" width="10.6640625" customWidth="1"/>
    <col min="6" max="6" width="1.6640625" customWidth="1"/>
    <col min="7" max="10" width="10.6640625" customWidth="1"/>
    <col min="11" max="11" width="7.6640625" customWidth="1"/>
    <col min="12" max="26" width="8.88671875" customWidth="1"/>
  </cols>
  <sheetData>
    <row r="1" spans="1:26" ht="14.25" customHeight="1">
      <c r="A1" s="5" t="s">
        <v>54</v>
      </c>
      <c r="B1" s="6"/>
      <c r="C1" s="6"/>
      <c r="D1" s="6"/>
      <c r="E1" s="6"/>
      <c r="F1" s="6"/>
      <c r="G1" s="6"/>
      <c r="H1" s="6"/>
      <c r="I1" s="6"/>
      <c r="J1" s="6"/>
      <c r="K1" s="36"/>
      <c r="L1" s="7"/>
      <c r="M1" s="8"/>
      <c r="N1" s="8"/>
      <c r="O1" s="8"/>
      <c r="P1" s="8"/>
      <c r="Q1" s="8"/>
      <c r="R1" s="8"/>
      <c r="S1" s="8"/>
      <c r="T1" s="8"/>
      <c r="U1" s="8"/>
      <c r="V1" s="8"/>
      <c r="W1" s="8"/>
      <c r="X1" s="8"/>
      <c r="Y1" s="8"/>
      <c r="Z1" s="8"/>
    </row>
    <row r="2" spans="1:26" ht="14.25" customHeight="1">
      <c r="A2" s="9"/>
      <c r="B2" s="133" t="s">
        <v>15</v>
      </c>
      <c r="C2" s="134"/>
      <c r="D2" s="134"/>
      <c r="E2" s="134"/>
      <c r="F2" s="11"/>
      <c r="G2" s="133" t="s">
        <v>16</v>
      </c>
      <c r="H2" s="134"/>
      <c r="I2" s="134"/>
      <c r="J2" s="11"/>
      <c r="K2" s="8"/>
      <c r="L2" s="13"/>
      <c r="M2" s="8"/>
      <c r="N2" s="8"/>
      <c r="O2" s="8"/>
      <c r="P2" s="8"/>
      <c r="Q2" s="8"/>
      <c r="R2" s="8"/>
      <c r="S2" s="8"/>
      <c r="T2" s="8"/>
      <c r="U2" s="8"/>
      <c r="V2" s="8"/>
      <c r="W2" s="8"/>
      <c r="X2" s="8"/>
      <c r="Y2" s="8"/>
      <c r="Z2" s="8"/>
    </row>
    <row r="3" spans="1:26" ht="14.25" customHeight="1">
      <c r="A3" s="14" t="s">
        <v>17</v>
      </c>
      <c r="B3" s="15" t="s">
        <v>55</v>
      </c>
      <c r="C3" s="37"/>
      <c r="D3" s="37"/>
      <c r="E3" s="37"/>
      <c r="F3" s="38"/>
      <c r="G3" s="37"/>
      <c r="H3" s="37"/>
      <c r="I3" s="37"/>
      <c r="J3" s="17" t="s">
        <v>24</v>
      </c>
      <c r="K3" s="8"/>
      <c r="L3" s="13"/>
      <c r="M3" s="8"/>
      <c r="N3" s="8"/>
      <c r="O3" s="8"/>
      <c r="P3" s="8"/>
      <c r="Q3" s="8"/>
      <c r="R3" s="8"/>
      <c r="S3" s="8"/>
      <c r="T3" s="8"/>
      <c r="U3" s="8"/>
      <c r="V3" s="8"/>
      <c r="W3" s="8"/>
      <c r="X3" s="8"/>
      <c r="Y3" s="8"/>
      <c r="Z3" s="8"/>
    </row>
    <row r="4" spans="1:26" ht="14.25" customHeight="1">
      <c r="A4" s="18" t="s">
        <v>25</v>
      </c>
      <c r="B4" s="19" t="s">
        <v>26</v>
      </c>
      <c r="C4" s="19" t="s">
        <v>19</v>
      </c>
      <c r="D4" s="19" t="s">
        <v>56</v>
      </c>
      <c r="E4" s="39" t="s">
        <v>21</v>
      </c>
      <c r="F4" s="20"/>
      <c r="G4" s="19" t="s">
        <v>22</v>
      </c>
      <c r="H4" s="19" t="s">
        <v>57</v>
      </c>
      <c r="I4" s="19" t="s">
        <v>21</v>
      </c>
      <c r="J4" s="19" t="s">
        <v>30</v>
      </c>
      <c r="K4" s="8"/>
      <c r="L4" s="13"/>
      <c r="M4" s="8"/>
      <c r="N4" s="8"/>
      <c r="O4" s="8"/>
      <c r="P4" s="8"/>
      <c r="Q4" s="8"/>
      <c r="R4" s="8"/>
      <c r="S4" s="8"/>
      <c r="T4" s="8"/>
      <c r="U4" s="8"/>
      <c r="V4" s="8"/>
      <c r="W4" s="8"/>
      <c r="X4" s="8"/>
      <c r="Y4" s="8"/>
      <c r="Z4" s="8"/>
    </row>
    <row r="5" spans="1:26" ht="14.25" customHeight="1">
      <c r="A5" s="9"/>
      <c r="B5" s="135" t="s">
        <v>58</v>
      </c>
      <c r="C5" s="136"/>
      <c r="D5" s="136"/>
      <c r="E5" s="136"/>
      <c r="F5" s="136"/>
      <c r="G5" s="136"/>
      <c r="H5" s="136"/>
      <c r="I5" s="136"/>
      <c r="J5" s="136"/>
      <c r="K5" s="8"/>
      <c r="L5" s="13"/>
      <c r="M5" s="8"/>
      <c r="N5" s="8"/>
      <c r="O5" s="8"/>
      <c r="P5" s="8"/>
      <c r="Q5" s="8"/>
      <c r="R5" s="8"/>
      <c r="S5" s="8"/>
      <c r="T5" s="8"/>
      <c r="U5" s="8"/>
      <c r="V5" s="8"/>
      <c r="W5" s="8"/>
      <c r="X5" s="8"/>
      <c r="Y5" s="8"/>
      <c r="Z5" s="8"/>
    </row>
    <row r="6" spans="1:26" ht="16.5" customHeight="1">
      <c r="A6" s="14" t="s">
        <v>59</v>
      </c>
      <c r="B6" s="40">
        <v>400.63</v>
      </c>
      <c r="C6" s="40">
        <f t="shared" ref="C6:D6" si="0">C23</f>
        <v>49225.606000000007</v>
      </c>
      <c r="D6" s="40">
        <f t="shared" si="0"/>
        <v>482.79358673947797</v>
      </c>
      <c r="E6" s="40">
        <f t="shared" ref="E6:E8" si="1">SUM(B6:D6)</f>
        <v>50109.029586739482</v>
      </c>
      <c r="F6" s="40"/>
      <c r="G6" s="40">
        <f t="shared" ref="G6:G8" si="2">I6-H6</f>
        <v>35496.563356288287</v>
      </c>
      <c r="H6" s="40">
        <v>14057.042230451199</v>
      </c>
      <c r="I6" s="40">
        <f t="shared" ref="I6:I8" si="3">E6-J6</f>
        <v>49553.605586739483</v>
      </c>
      <c r="J6" s="40">
        <v>555.42399999999998</v>
      </c>
      <c r="K6" s="8"/>
      <c r="L6" s="13"/>
      <c r="M6" s="8"/>
      <c r="N6" s="8"/>
      <c r="O6" s="8"/>
      <c r="P6" s="8"/>
      <c r="Q6" s="8"/>
      <c r="R6" s="8"/>
      <c r="S6" s="8"/>
      <c r="T6" s="8"/>
      <c r="U6" s="8"/>
      <c r="V6" s="8"/>
      <c r="W6" s="8"/>
      <c r="X6" s="8"/>
      <c r="Y6" s="8"/>
      <c r="Z6" s="8"/>
    </row>
    <row r="7" spans="1:26" ht="16.5" customHeight="1">
      <c r="A7" s="14" t="s">
        <v>60</v>
      </c>
      <c r="B7" s="40">
        <v>555.42399999999998</v>
      </c>
      <c r="C7" s="40">
        <v>48420</v>
      </c>
      <c r="D7" s="40">
        <v>725</v>
      </c>
      <c r="E7" s="40">
        <f t="shared" si="1"/>
        <v>49700.423999999999</v>
      </c>
      <c r="F7" s="40"/>
      <c r="G7" s="40">
        <f t="shared" si="2"/>
        <v>35700.423999999999</v>
      </c>
      <c r="H7" s="40">
        <v>13550</v>
      </c>
      <c r="I7" s="40">
        <f t="shared" si="3"/>
        <v>49250.423999999999</v>
      </c>
      <c r="J7" s="40">
        <v>450</v>
      </c>
      <c r="K7" s="8"/>
      <c r="L7" s="13"/>
      <c r="M7" s="8"/>
      <c r="N7" s="8"/>
      <c r="O7" s="8"/>
      <c r="P7" s="8"/>
      <c r="Q7" s="8"/>
      <c r="R7" s="8"/>
      <c r="S7" s="8"/>
      <c r="T7" s="8"/>
      <c r="U7" s="8"/>
      <c r="V7" s="8"/>
      <c r="W7" s="8"/>
      <c r="X7" s="8"/>
      <c r="Y7" s="8"/>
      <c r="Z7" s="8"/>
    </row>
    <row r="8" spans="1:26" ht="16.5" customHeight="1">
      <c r="A8" s="14" t="s">
        <v>61</v>
      </c>
      <c r="B8" s="40">
        <v>450</v>
      </c>
      <c r="C8" s="40">
        <v>49650</v>
      </c>
      <c r="D8" s="40">
        <v>500</v>
      </c>
      <c r="E8" s="40">
        <f t="shared" si="1"/>
        <v>50600</v>
      </c>
      <c r="F8" s="40"/>
      <c r="G8" s="40">
        <f t="shared" si="2"/>
        <v>36500</v>
      </c>
      <c r="H8" s="40">
        <v>13700</v>
      </c>
      <c r="I8" s="40">
        <f t="shared" si="3"/>
        <v>50200</v>
      </c>
      <c r="J8" s="40">
        <v>400</v>
      </c>
      <c r="K8" s="8"/>
      <c r="L8" s="13"/>
      <c r="M8" s="8"/>
      <c r="N8" s="8"/>
      <c r="O8" s="8"/>
      <c r="P8" s="8"/>
      <c r="Q8" s="8"/>
      <c r="R8" s="8"/>
      <c r="S8" s="8"/>
      <c r="T8" s="8"/>
      <c r="U8" s="8"/>
      <c r="V8" s="8"/>
      <c r="W8" s="8"/>
      <c r="X8" s="8"/>
      <c r="Y8" s="8"/>
      <c r="Z8" s="8"/>
    </row>
    <row r="9" spans="1:26" ht="14.25" customHeight="1">
      <c r="A9" s="22"/>
      <c r="B9" s="24"/>
      <c r="C9" s="24"/>
      <c r="D9" s="24"/>
      <c r="E9" s="24"/>
      <c r="F9" s="24"/>
      <c r="G9" s="24"/>
      <c r="H9" s="24"/>
      <c r="I9" s="24"/>
      <c r="J9" s="24"/>
      <c r="K9" s="8"/>
      <c r="L9" s="13"/>
      <c r="M9" s="8"/>
      <c r="N9" s="8"/>
      <c r="O9" s="8"/>
      <c r="P9" s="8"/>
      <c r="Q9" s="8"/>
      <c r="R9" s="8"/>
      <c r="S9" s="8"/>
      <c r="T9" s="8"/>
      <c r="U9" s="8"/>
      <c r="V9" s="8"/>
      <c r="W9" s="8"/>
      <c r="X9" s="8"/>
      <c r="Y9" s="8"/>
      <c r="Z9" s="8"/>
    </row>
    <row r="10" spans="1:26" ht="15.75" customHeight="1">
      <c r="A10" s="14" t="s">
        <v>35</v>
      </c>
      <c r="B10" s="24"/>
      <c r="C10" s="27"/>
      <c r="D10" s="27"/>
      <c r="E10" s="27"/>
      <c r="F10" s="26"/>
      <c r="G10" s="27"/>
      <c r="H10" s="27"/>
      <c r="I10" s="27"/>
      <c r="J10" s="26"/>
      <c r="K10" s="43"/>
      <c r="L10" s="44"/>
      <c r="M10" s="8"/>
      <c r="N10" s="8"/>
      <c r="O10" s="8"/>
      <c r="P10" s="8"/>
      <c r="Q10" s="8"/>
      <c r="R10" s="8"/>
      <c r="S10" s="8"/>
      <c r="T10" s="8"/>
      <c r="U10" s="8"/>
      <c r="V10" s="8"/>
      <c r="W10" s="8"/>
      <c r="X10" s="8"/>
      <c r="Y10" s="8"/>
      <c r="Z10" s="8"/>
    </row>
    <row r="11" spans="1:26" ht="15.75" customHeight="1">
      <c r="A11" s="14" t="s">
        <v>36</v>
      </c>
      <c r="B11" s="27">
        <v>400.63</v>
      </c>
      <c r="C11" s="27">
        <f>3847.77+276.055</f>
        <v>4123.8249999999998</v>
      </c>
      <c r="D11" s="27">
        <f>(22847.236+3583+112.237+227.84)*2.204622/2000</f>
        <v>29.509210493343002</v>
      </c>
      <c r="E11" s="27">
        <f t="shared" ref="E11:E22" si="4">SUM(B11:D11)</f>
        <v>4553.9642104933428</v>
      </c>
      <c r="F11" s="26"/>
      <c r="G11" s="27">
        <f t="shared" ref="G11:G22" si="5">I11-H11</f>
        <v>3378.2291726851877</v>
      </c>
      <c r="H11" s="27">
        <f>((600.609231+9.196+100.005374))*(2.204622/2)</f>
        <v>782.43203780815509</v>
      </c>
      <c r="I11" s="26">
        <f t="shared" ref="I11:I22" si="6">E11-J11</f>
        <v>4160.6612104933429</v>
      </c>
      <c r="J11" s="27">
        <f>350.935+42.368</f>
        <v>393.303</v>
      </c>
      <c r="K11" s="43"/>
      <c r="L11" s="44"/>
      <c r="M11" s="8"/>
      <c r="N11" s="8"/>
      <c r="O11" s="8"/>
      <c r="P11" s="8"/>
      <c r="Q11" s="8"/>
      <c r="R11" s="8"/>
      <c r="S11" s="8"/>
      <c r="T11" s="8"/>
      <c r="U11" s="8"/>
      <c r="V11" s="8"/>
      <c r="W11" s="8"/>
      <c r="X11" s="8"/>
      <c r="Y11" s="8"/>
      <c r="Z11" s="8"/>
    </row>
    <row r="12" spans="1:26" ht="15.75" customHeight="1">
      <c r="A12" s="14" t="s">
        <v>37</v>
      </c>
      <c r="B12" s="27">
        <f t="shared" ref="B12:B22" si="7">J11</f>
        <v>393.303</v>
      </c>
      <c r="C12" s="27">
        <f>3829.14+272.552</f>
        <v>4101.692</v>
      </c>
      <c r="D12" s="27">
        <f>(24089.253+4366+138.856+88.687)*2.204622/2000</f>
        <v>31.617361541556004</v>
      </c>
      <c r="E12" s="27">
        <f t="shared" si="4"/>
        <v>4526.6123615415563</v>
      </c>
      <c r="F12" s="26"/>
      <c r="G12" s="27">
        <f t="shared" si="5"/>
        <v>3025.3476751154071</v>
      </c>
      <c r="H12" s="27">
        <f>((803.813698+9.59+195.528161))*(2.204622/2)</f>
        <v>1112.156686426149</v>
      </c>
      <c r="I12" s="26">
        <f t="shared" si="6"/>
        <v>4137.5043615415561</v>
      </c>
      <c r="J12" s="27">
        <f>354.998+34.11</f>
        <v>389.108</v>
      </c>
      <c r="K12" s="43"/>
      <c r="L12" s="44"/>
      <c r="M12" s="8"/>
      <c r="N12" s="8"/>
      <c r="O12" s="8"/>
      <c r="P12" s="8"/>
      <c r="Q12" s="8"/>
      <c r="R12" s="8"/>
      <c r="S12" s="8"/>
      <c r="T12" s="8"/>
      <c r="U12" s="8"/>
      <c r="V12" s="8"/>
      <c r="W12" s="8"/>
      <c r="X12" s="8"/>
      <c r="Y12" s="8"/>
      <c r="Z12" s="8"/>
    </row>
    <row r="13" spans="1:26" ht="15.75" customHeight="1">
      <c r="A13" s="14" t="s">
        <v>38</v>
      </c>
      <c r="B13" s="27">
        <f t="shared" si="7"/>
        <v>389.108</v>
      </c>
      <c r="C13" s="27">
        <f>3904.161+268.856</f>
        <v>4173.0169999999998</v>
      </c>
      <c r="D13" s="27">
        <f>(24386.897+4370+327.365+22.939)*2.204622/2000</f>
        <v>32.085187841511001</v>
      </c>
      <c r="E13" s="27">
        <f t="shared" si="4"/>
        <v>4594.2101878415106</v>
      </c>
      <c r="F13" s="26"/>
      <c r="G13" s="27">
        <f t="shared" si="5"/>
        <v>2858.1368113752765</v>
      </c>
      <c r="H13" s="27">
        <f>((823.191747+4.499+243.868347))*(2.204622/2)</f>
        <v>1181.191376466234</v>
      </c>
      <c r="I13" s="26">
        <f t="shared" si="6"/>
        <v>4039.3281878415105</v>
      </c>
      <c r="J13" s="27">
        <f>506.203+48.679</f>
        <v>554.88199999999995</v>
      </c>
      <c r="K13" s="43"/>
      <c r="L13" s="44"/>
      <c r="M13" s="8"/>
      <c r="N13" s="8"/>
      <c r="O13" s="8"/>
      <c r="P13" s="8"/>
      <c r="Q13" s="8"/>
      <c r="R13" s="8"/>
      <c r="S13" s="8"/>
      <c r="T13" s="8"/>
      <c r="U13" s="8"/>
      <c r="V13" s="8"/>
      <c r="W13" s="8"/>
      <c r="X13" s="8"/>
      <c r="Y13" s="8"/>
      <c r="Z13" s="8"/>
    </row>
    <row r="14" spans="1:26" ht="15.75" customHeight="1">
      <c r="A14" s="14" t="s">
        <v>39</v>
      </c>
      <c r="B14" s="27">
        <f t="shared" si="7"/>
        <v>554.88199999999995</v>
      </c>
      <c r="C14" s="27">
        <f>3859.849+268.466</f>
        <v>4128.3150000000005</v>
      </c>
      <c r="D14" s="27">
        <f>(36957.472+5397+529.766+155.003)*2.204622/2000</f>
        <v>47.442628785951008</v>
      </c>
      <c r="E14" s="27">
        <f t="shared" si="4"/>
        <v>4730.6396287859516</v>
      </c>
      <c r="F14" s="26"/>
      <c r="G14" s="27">
        <f t="shared" si="5"/>
        <v>3142.7943669256811</v>
      </c>
      <c r="H14" s="27">
        <f>((962.901815+8.332+97.279755))*(2.204622/2)</f>
        <v>1177.8342618602701</v>
      </c>
      <c r="I14" s="26">
        <f t="shared" si="6"/>
        <v>4320.6286287859512</v>
      </c>
      <c r="J14" s="27">
        <f>379.359+30.652</f>
        <v>410.01099999999997</v>
      </c>
      <c r="K14" s="43"/>
      <c r="L14" s="44"/>
      <c r="M14" s="8"/>
      <c r="N14" s="8"/>
      <c r="O14" s="8"/>
      <c r="P14" s="8"/>
      <c r="Q14" s="8"/>
      <c r="R14" s="8"/>
      <c r="S14" s="8"/>
      <c r="T14" s="8"/>
      <c r="U14" s="8"/>
      <c r="V14" s="8"/>
      <c r="W14" s="8"/>
      <c r="X14" s="8"/>
      <c r="Y14" s="8"/>
      <c r="Z14" s="8"/>
    </row>
    <row r="15" spans="1:26" ht="15.75" customHeight="1">
      <c r="A15" s="14" t="s">
        <v>40</v>
      </c>
      <c r="B15" s="27">
        <f t="shared" si="7"/>
        <v>410.01099999999997</v>
      </c>
      <c r="C15" s="27">
        <f>3651.786+247.786</f>
        <v>3899.5720000000001</v>
      </c>
      <c r="D15" s="27">
        <f>(38674.078+4680+268.165+52.191)*2.204622/2000</f>
        <v>48.142809016974006</v>
      </c>
      <c r="E15" s="27">
        <f t="shared" si="4"/>
        <v>4357.7258090169744</v>
      </c>
      <c r="F15" s="26"/>
      <c r="G15" s="27">
        <f t="shared" si="5"/>
        <v>2661.1986865177173</v>
      </c>
      <c r="H15" s="27">
        <f>((925.512124+11.234+188.830163))*(2.204622/2)</f>
        <v>1240.7351224992572</v>
      </c>
      <c r="I15" s="26">
        <f t="shared" si="6"/>
        <v>3901.9338090169745</v>
      </c>
      <c r="J15" s="27">
        <f>415.077+40.715</f>
        <v>455.79200000000003</v>
      </c>
      <c r="K15" s="43"/>
      <c r="L15" s="44"/>
      <c r="M15" s="8"/>
      <c r="N15" s="8"/>
      <c r="O15" s="8"/>
      <c r="P15" s="8"/>
      <c r="Q15" s="8"/>
      <c r="R15" s="8"/>
      <c r="S15" s="8"/>
      <c r="T15" s="8"/>
      <c r="U15" s="8"/>
      <c r="V15" s="8"/>
      <c r="W15" s="8"/>
      <c r="X15" s="8"/>
      <c r="Y15" s="8"/>
      <c r="Z15" s="8"/>
    </row>
    <row r="16" spans="1:26" ht="15.75" customHeight="1">
      <c r="A16" s="14" t="s">
        <v>41</v>
      </c>
      <c r="B16" s="27">
        <f t="shared" si="7"/>
        <v>455.79200000000003</v>
      </c>
      <c r="C16" s="27">
        <f>4029.272+277.277</f>
        <v>4306.549</v>
      </c>
      <c r="D16" s="27">
        <f>(44281.365+4613+552.284+45.659)*2.204622/2000</f>
        <v>54.555915523787995</v>
      </c>
      <c r="E16" s="27">
        <f t="shared" si="4"/>
        <v>4816.8969155237883</v>
      </c>
      <c r="F16" s="26"/>
      <c r="G16" s="27">
        <f t="shared" si="5"/>
        <v>2941.8087154208074</v>
      </c>
      <c r="H16" s="27">
        <f>((1012.284931+8.669+186.41604))*(2.204622/2)</f>
        <v>1330.8972001029811</v>
      </c>
      <c r="I16" s="26">
        <f t="shared" si="6"/>
        <v>4272.7059155237885</v>
      </c>
      <c r="J16" s="27">
        <f>492.224+51.967</f>
        <v>544.19100000000003</v>
      </c>
      <c r="K16" s="43"/>
      <c r="L16" s="44"/>
      <c r="M16" s="8"/>
      <c r="N16" s="8"/>
      <c r="O16" s="8"/>
      <c r="P16" s="8"/>
      <c r="Q16" s="8"/>
      <c r="R16" s="8"/>
      <c r="S16" s="8"/>
      <c r="T16" s="8"/>
      <c r="U16" s="8"/>
      <c r="V16" s="8"/>
      <c r="W16" s="8"/>
      <c r="X16" s="8"/>
      <c r="Y16" s="8"/>
      <c r="Z16" s="8"/>
    </row>
    <row r="17" spans="1:26" ht="15.75" customHeight="1">
      <c r="A17" s="14" t="s">
        <v>42</v>
      </c>
      <c r="B17" s="27">
        <f t="shared" si="7"/>
        <v>544.19100000000003</v>
      </c>
      <c r="C17" s="27">
        <f>3822.338+257.585</f>
        <v>4079.9230000000002</v>
      </c>
      <c r="D17" s="27">
        <f>(28037.557+5480+746.07+92.753)*2.204622/2000</f>
        <v>37.87141559418</v>
      </c>
      <c r="E17" s="27">
        <f t="shared" si="4"/>
        <v>4661.9854155941803</v>
      </c>
      <c r="F17" s="26"/>
      <c r="G17" s="27">
        <f t="shared" si="5"/>
        <v>2991.2704254616519</v>
      </c>
      <c r="H17" s="27">
        <f>((841.816034+12.376+251.293614))*(2.204622/2)</f>
        <v>1218.5889901325279</v>
      </c>
      <c r="I17" s="26">
        <f t="shared" si="6"/>
        <v>4209.8594155941801</v>
      </c>
      <c r="J17" s="27">
        <f>404.468+47.658</f>
        <v>452.12600000000003</v>
      </c>
      <c r="K17" s="43"/>
      <c r="L17" s="44"/>
      <c r="M17" s="8"/>
      <c r="N17" s="8"/>
      <c r="O17" s="8"/>
      <c r="P17" s="8"/>
      <c r="Q17" s="8"/>
      <c r="R17" s="8"/>
      <c r="S17" s="8"/>
      <c r="T17" s="8"/>
      <c r="U17" s="8"/>
      <c r="V17" s="8"/>
      <c r="W17" s="8"/>
      <c r="X17" s="8"/>
      <c r="Y17" s="8"/>
      <c r="Z17" s="8"/>
    </row>
    <row r="18" spans="1:26" ht="15.75" customHeight="1">
      <c r="A18" s="14" t="s">
        <v>43</v>
      </c>
      <c r="B18" s="27">
        <f t="shared" si="7"/>
        <v>452.12600000000003</v>
      </c>
      <c r="C18" s="27">
        <f>3846.687+262.574</f>
        <v>4109.2609999999995</v>
      </c>
      <c r="D18" s="27">
        <f>(30309.76+5213+999.903+277.738)*2.204622/2000</f>
        <v>40.565486826710995</v>
      </c>
      <c r="E18" s="27">
        <f t="shared" si="4"/>
        <v>4601.9524868267108</v>
      </c>
      <c r="F18" s="26"/>
      <c r="G18" s="27">
        <f t="shared" si="5"/>
        <v>2889.4588105000275</v>
      </c>
      <c r="H18" s="27">
        <f>((881.446902+14.35+264.825351))*(2.204622/2)</f>
        <v>1279.3666763266831</v>
      </c>
      <c r="I18" s="26">
        <f t="shared" si="6"/>
        <v>4168.8254868267104</v>
      </c>
      <c r="J18" s="27">
        <f>391.812+41.315</f>
        <v>433.12700000000001</v>
      </c>
      <c r="K18" s="43"/>
      <c r="L18" s="44"/>
      <c r="M18" s="8"/>
      <c r="N18" s="8"/>
      <c r="O18" s="8"/>
      <c r="P18" s="8"/>
      <c r="Q18" s="8"/>
      <c r="R18" s="8"/>
      <c r="S18" s="8"/>
      <c r="T18" s="8"/>
      <c r="U18" s="8"/>
      <c r="V18" s="8"/>
      <c r="W18" s="8"/>
      <c r="X18" s="8"/>
      <c r="Y18" s="8"/>
      <c r="Z18" s="8"/>
    </row>
    <row r="19" spans="1:26" ht="15.75" customHeight="1">
      <c r="A19" s="14" t="s">
        <v>44</v>
      </c>
      <c r="B19" s="27">
        <f t="shared" si="7"/>
        <v>433.12700000000001</v>
      </c>
      <c r="C19" s="27">
        <f>3778.127+254.192</f>
        <v>4032.319</v>
      </c>
      <c r="D19" s="27">
        <f>(32262.637+4424+601.309+347.659)*2.204622/2000</f>
        <v>41.486141383155001</v>
      </c>
      <c r="E19" s="27">
        <f t="shared" si="4"/>
        <v>4506.9321413831549</v>
      </c>
      <c r="F19" s="26"/>
      <c r="G19" s="27">
        <f t="shared" si="5"/>
        <v>2726.1042038049382</v>
      </c>
      <c r="H19" s="27">
        <f>((943.672871+13.178+297.149985))*(2.204622/2)</f>
        <v>1382.2989375782163</v>
      </c>
      <c r="I19" s="26">
        <f t="shared" si="6"/>
        <v>4108.4031413831544</v>
      </c>
      <c r="J19" s="27">
        <f>359.823+38.706</f>
        <v>398.529</v>
      </c>
      <c r="K19" s="43"/>
      <c r="L19" s="44"/>
      <c r="M19" s="8"/>
      <c r="N19" s="8"/>
      <c r="O19" s="8"/>
      <c r="P19" s="8"/>
      <c r="Q19" s="8"/>
      <c r="R19" s="8"/>
      <c r="S19" s="8"/>
      <c r="T19" s="8"/>
      <c r="U19" s="8"/>
      <c r="V19" s="8"/>
      <c r="W19" s="8"/>
      <c r="X19" s="8"/>
      <c r="Y19" s="8"/>
      <c r="Z19" s="8"/>
    </row>
    <row r="20" spans="1:26" ht="15.75" customHeight="1">
      <c r="A20" s="14" t="s">
        <v>45</v>
      </c>
      <c r="B20" s="27">
        <f t="shared" si="7"/>
        <v>398.529</v>
      </c>
      <c r="C20" s="27">
        <f>3979.12+265.562</f>
        <v>4244.6819999999998</v>
      </c>
      <c r="D20" s="27">
        <f>(25855.193+9513+404.699+474.826)*2.204622/2000</f>
        <v>39.956258276298001</v>
      </c>
      <c r="E20" s="27">
        <f t="shared" si="4"/>
        <v>4683.1672582762976</v>
      </c>
      <c r="F20" s="26"/>
      <c r="G20" s="27">
        <f t="shared" si="5"/>
        <v>3100.3295650067312</v>
      </c>
      <c r="H20" s="27">
        <f>((706.045243+16.308+248.705463))*(2.204622/2)</f>
        <v>1070.4086932695661</v>
      </c>
      <c r="I20" s="26">
        <f t="shared" si="6"/>
        <v>4170.7382582762975</v>
      </c>
      <c r="J20" s="27">
        <f>462.35+50.079</f>
        <v>512.42899999999997</v>
      </c>
      <c r="K20" s="43"/>
      <c r="L20" s="44"/>
      <c r="M20" s="8"/>
      <c r="N20" s="8"/>
      <c r="O20" s="8"/>
      <c r="P20" s="8"/>
      <c r="Q20" s="8"/>
      <c r="R20" s="8"/>
      <c r="S20" s="8"/>
      <c r="T20" s="8"/>
      <c r="U20" s="8"/>
      <c r="V20" s="8"/>
      <c r="W20" s="8"/>
      <c r="X20" s="8"/>
      <c r="Y20" s="8"/>
      <c r="Z20" s="8"/>
    </row>
    <row r="21" spans="1:26" ht="15.75" customHeight="1">
      <c r="A21" s="14" t="s">
        <v>46</v>
      </c>
      <c r="B21" s="27">
        <f t="shared" si="7"/>
        <v>512.42899999999997</v>
      </c>
      <c r="C21" s="27">
        <f>3771.727+259.078</f>
        <v>4030.8049999999998</v>
      </c>
      <c r="D21" s="27">
        <f>(30866.896+9793+380.962+375.799)*2.204622/2000</f>
        <v>45.654036594327003</v>
      </c>
      <c r="E21" s="27">
        <f t="shared" si="4"/>
        <v>4588.8880365943269</v>
      </c>
      <c r="F21" s="26"/>
      <c r="G21" s="27">
        <f t="shared" si="5"/>
        <v>2985.600190398573</v>
      </c>
      <c r="H21" s="27">
        <f>((861.810146+14.552+214.287268))*(2.204622/2)</f>
        <v>1202.234846195754</v>
      </c>
      <c r="I21" s="26">
        <f t="shared" si="6"/>
        <v>4187.835036594327</v>
      </c>
      <c r="J21" s="27">
        <f>359.936+41.117</f>
        <v>401.053</v>
      </c>
      <c r="K21" s="43"/>
      <c r="L21" s="44"/>
      <c r="M21" s="8"/>
      <c r="N21" s="8"/>
      <c r="O21" s="8"/>
      <c r="P21" s="8"/>
      <c r="Q21" s="8"/>
      <c r="R21" s="8"/>
      <c r="S21" s="8"/>
      <c r="T21" s="8"/>
      <c r="U21" s="8"/>
      <c r="V21" s="8"/>
      <c r="W21" s="8"/>
      <c r="X21" s="8"/>
      <c r="Y21" s="8"/>
      <c r="Z21" s="8"/>
    </row>
    <row r="22" spans="1:26" ht="15.75" customHeight="1">
      <c r="A22" s="14" t="s">
        <v>47</v>
      </c>
      <c r="B22" s="27">
        <f t="shared" si="7"/>
        <v>401.053</v>
      </c>
      <c r="C22" s="27">
        <f>3740.681+254.965</f>
        <v>3995.6460000000002</v>
      </c>
      <c r="D22" s="27">
        <f>(21495.643+7904+984.314+376.087)*2.204622/2000</f>
        <v>33.907134861684</v>
      </c>
      <c r="E22" s="27">
        <f t="shared" si="4"/>
        <v>4430.606134861685</v>
      </c>
      <c r="F22" s="26"/>
      <c r="G22" s="27">
        <f t="shared" si="5"/>
        <v>2837.1878709900429</v>
      </c>
      <c r="H22" s="27">
        <f>((712.205638+16.362+213.085184))*(2.204622/2)</f>
        <v>1037.994263871642</v>
      </c>
      <c r="I22" s="26">
        <f t="shared" si="6"/>
        <v>3875.182134861685</v>
      </c>
      <c r="J22" s="27">
        <f>501.299+54.125</f>
        <v>555.42399999999998</v>
      </c>
      <c r="K22" s="43"/>
      <c r="L22" s="44"/>
      <c r="M22" s="8"/>
      <c r="N22" s="8"/>
      <c r="O22" s="8"/>
      <c r="P22" s="8"/>
      <c r="Q22" s="8"/>
      <c r="R22" s="8"/>
      <c r="S22" s="8"/>
      <c r="T22" s="8"/>
      <c r="U22" s="8"/>
      <c r="V22" s="8"/>
      <c r="W22" s="8"/>
      <c r="X22" s="8"/>
      <c r="Y22" s="8"/>
      <c r="Z22" s="8"/>
    </row>
    <row r="23" spans="1:26" ht="15.75" customHeight="1">
      <c r="A23" s="14" t="s">
        <v>27</v>
      </c>
      <c r="B23" s="27"/>
      <c r="C23" s="27">
        <f t="shared" ref="C23:D23" si="8">SUM(C11:C22)</f>
        <v>49225.606000000007</v>
      </c>
      <c r="D23" s="27">
        <f t="shared" si="8"/>
        <v>482.79358673947797</v>
      </c>
      <c r="E23" s="27">
        <f>B11+C23+D23</f>
        <v>50109.029586739482</v>
      </c>
      <c r="F23" s="27"/>
      <c r="G23" s="27">
        <f t="shared" ref="G23:I23" si="9">SUM(G11:G22)</f>
        <v>35537.466494202046</v>
      </c>
      <c r="H23" s="27">
        <f t="shared" si="9"/>
        <v>14016.139092537436</v>
      </c>
      <c r="I23" s="27">
        <f t="shared" si="9"/>
        <v>49553.605586739475</v>
      </c>
      <c r="J23" s="27"/>
      <c r="K23" s="43"/>
      <c r="L23" s="44"/>
      <c r="M23" s="8"/>
      <c r="N23" s="8"/>
      <c r="O23" s="8"/>
      <c r="P23" s="8"/>
      <c r="Q23" s="8"/>
      <c r="R23" s="8"/>
      <c r="S23" s="8"/>
      <c r="T23" s="8"/>
      <c r="U23" s="8"/>
      <c r="V23" s="8"/>
      <c r="W23" s="8"/>
      <c r="X23" s="8"/>
      <c r="Y23" s="8"/>
      <c r="Z23" s="8"/>
    </row>
    <row r="24" spans="1:26" ht="14.25" customHeight="1">
      <c r="A24" s="22"/>
      <c r="B24" s="27"/>
      <c r="C24" s="27"/>
      <c r="D24" s="27"/>
      <c r="E24" s="27"/>
      <c r="F24" s="27"/>
      <c r="G24" s="27"/>
      <c r="H24" s="27"/>
      <c r="I24" s="27"/>
      <c r="J24" s="27"/>
      <c r="K24" s="8"/>
      <c r="L24" s="13"/>
      <c r="M24" s="8"/>
      <c r="N24" s="8"/>
      <c r="O24" s="8"/>
      <c r="P24" s="8"/>
      <c r="Q24" s="8"/>
      <c r="R24" s="8"/>
      <c r="S24" s="8"/>
      <c r="T24" s="8"/>
      <c r="U24" s="8"/>
      <c r="V24" s="8"/>
      <c r="W24" s="8"/>
      <c r="X24" s="8"/>
      <c r="Y24" s="8"/>
      <c r="Z24" s="8"/>
    </row>
    <row r="25" spans="1:26" ht="15.75" customHeight="1">
      <c r="A25" s="14" t="s">
        <v>48</v>
      </c>
      <c r="B25" s="27"/>
      <c r="C25" s="27"/>
      <c r="D25" s="27"/>
      <c r="E25" s="27"/>
      <c r="F25" s="27"/>
      <c r="G25" s="27"/>
      <c r="H25" s="27"/>
      <c r="I25" s="27"/>
      <c r="J25" s="27"/>
      <c r="K25" s="43"/>
      <c r="L25" s="44"/>
      <c r="M25" s="8"/>
      <c r="N25" s="8"/>
      <c r="O25" s="8"/>
      <c r="P25" s="8"/>
      <c r="Q25" s="8"/>
      <c r="R25" s="8"/>
      <c r="S25" s="8"/>
      <c r="T25" s="8"/>
      <c r="U25" s="8"/>
      <c r="V25" s="8"/>
      <c r="W25" s="8"/>
      <c r="X25" s="8"/>
      <c r="Y25" s="8"/>
      <c r="Z25" s="8"/>
    </row>
    <row r="26" spans="1:26" ht="15.75" customHeight="1">
      <c r="A26" s="14" t="s">
        <v>36</v>
      </c>
      <c r="B26" s="27">
        <f>J22</f>
        <v>555.42399999999998</v>
      </c>
      <c r="C26" s="27">
        <f>4020.038+270.986</f>
        <v>4291.0240000000003</v>
      </c>
      <c r="D26" s="27">
        <f>(38895.341+8534+588.568+342.761)*2.204622/2000</f>
        <v>53.30849850837</v>
      </c>
      <c r="E26" s="27">
        <f t="shared" ref="E26:E34" si="10">SUM(B26:D26)</f>
        <v>4899.75649850837</v>
      </c>
      <c r="F26" s="26"/>
      <c r="G26" s="27">
        <f t="shared" ref="G26:G34" si="11">I26-H26</f>
        <v>3348.3661517904311</v>
      </c>
      <c r="H26" s="27">
        <f>((776.408731+6.862+220.547018))*(2.204622/2)</f>
        <v>1106.519346717939</v>
      </c>
      <c r="I26" s="26">
        <f t="shared" ref="I26:I34" si="12">E26-J26</f>
        <v>4454.8854985083699</v>
      </c>
      <c r="J26" s="27">
        <f>399.414+45.457</f>
        <v>444.87099999999998</v>
      </c>
      <c r="K26" s="43"/>
      <c r="L26" s="44"/>
      <c r="M26" s="8"/>
      <c r="N26" s="8"/>
      <c r="O26" s="8"/>
      <c r="P26" s="8"/>
      <c r="Q26" s="8"/>
      <c r="R26" s="8"/>
      <c r="S26" s="8"/>
      <c r="T26" s="8"/>
      <c r="U26" s="8"/>
      <c r="V26" s="8"/>
      <c r="W26" s="8"/>
      <c r="X26" s="8"/>
      <c r="Y26" s="8"/>
      <c r="Z26" s="8"/>
    </row>
    <row r="27" spans="1:26" ht="15.75" customHeight="1">
      <c r="A27" s="14" t="s">
        <v>37</v>
      </c>
      <c r="B27" s="27">
        <f t="shared" ref="B27:B34" si="13">J26</f>
        <v>444.87099999999998</v>
      </c>
      <c r="C27" s="27">
        <f>3889.342+265.758</f>
        <v>4155.1000000000004</v>
      </c>
      <c r="D27" s="27">
        <f>(29367.714+4604+554.38+256.525)*2.204622/2000</f>
        <v>38.341263532509004</v>
      </c>
      <c r="E27" s="27">
        <f t="shared" si="10"/>
        <v>4638.3122635325099</v>
      </c>
      <c r="F27" s="27"/>
      <c r="G27" s="27">
        <f t="shared" si="11"/>
        <v>3149.3935899207918</v>
      </c>
      <c r="H27" s="27">
        <f>((785.170511+14.219+247.015427))*(2.204622/2)</f>
        <v>1153.4636736117181</v>
      </c>
      <c r="I27" s="26">
        <f t="shared" si="12"/>
        <v>4302.8572635325099</v>
      </c>
      <c r="J27" s="27">
        <f>294.996+40.459</f>
        <v>335.45499999999998</v>
      </c>
      <c r="K27" s="43"/>
      <c r="L27" s="44"/>
      <c r="M27" s="8"/>
      <c r="N27" s="8"/>
      <c r="O27" s="8"/>
      <c r="P27" s="8"/>
      <c r="Q27" s="8"/>
      <c r="R27" s="8"/>
      <c r="S27" s="8"/>
      <c r="T27" s="8"/>
      <c r="U27" s="8"/>
      <c r="V27" s="8"/>
      <c r="W27" s="8"/>
      <c r="X27" s="8"/>
      <c r="Y27" s="8"/>
      <c r="Z27" s="8"/>
    </row>
    <row r="28" spans="1:26" ht="15.75" customHeight="1">
      <c r="A28" s="14" t="s">
        <v>38</v>
      </c>
      <c r="B28" s="27">
        <f t="shared" si="13"/>
        <v>335.45499999999998</v>
      </c>
      <c r="C28" s="27">
        <f>4016.547+279.141</f>
        <v>4295.6880000000001</v>
      </c>
      <c r="D28" s="27">
        <f>(42910.147+10294+518.4+271.062)*2.204622/2000</f>
        <v>59.517749130398997</v>
      </c>
      <c r="E28" s="27">
        <f t="shared" si="10"/>
        <v>4690.6607491303994</v>
      </c>
      <c r="F28" s="27"/>
      <c r="G28" s="27">
        <f t="shared" si="11"/>
        <v>3107.3150045094517</v>
      </c>
      <c r="H28" s="27">
        <f>((818.064035+20.76+202.841833))*(2.204622/2)</f>
        <v>1148.2397446209482</v>
      </c>
      <c r="I28" s="26">
        <f t="shared" si="12"/>
        <v>4255.5547491303996</v>
      </c>
      <c r="J28" s="27">
        <f>394.444+40.662</f>
        <v>435.10599999999999</v>
      </c>
      <c r="K28" s="43"/>
      <c r="L28" s="44"/>
      <c r="M28" s="8"/>
      <c r="N28" s="8"/>
      <c r="O28" s="8"/>
      <c r="P28" s="8"/>
      <c r="Q28" s="8"/>
      <c r="R28" s="8"/>
      <c r="S28" s="8"/>
      <c r="T28" s="8"/>
      <c r="U28" s="8"/>
      <c r="V28" s="8"/>
      <c r="W28" s="8"/>
      <c r="X28" s="8"/>
      <c r="Y28" s="8"/>
      <c r="Z28" s="8"/>
    </row>
    <row r="29" spans="1:26" ht="15.75" customHeight="1">
      <c r="A29" s="14" t="s">
        <v>39</v>
      </c>
      <c r="B29" s="27">
        <f t="shared" si="13"/>
        <v>435.10599999999999</v>
      </c>
      <c r="C29" s="27">
        <f>3988.737+280.766</f>
        <v>4269.5029999999997</v>
      </c>
      <c r="D29" s="27">
        <f>(51173.6+5010+707.464+348.119)*2.204622/2000</f>
        <v>63.095381051913002</v>
      </c>
      <c r="E29" s="27">
        <f t="shared" si="10"/>
        <v>4767.7043810519126</v>
      </c>
      <c r="F29" s="27"/>
      <c r="G29" s="27">
        <f t="shared" si="11"/>
        <v>2820.1101323920802</v>
      </c>
      <c r="H29" s="27">
        <f>((1043.006958+38.887+304.097154))*(2.204622/2)</f>
        <v>1527.793248659832</v>
      </c>
      <c r="I29" s="26">
        <f t="shared" si="12"/>
        <v>4347.9033810519122</v>
      </c>
      <c r="J29" s="27">
        <f>380.224+39.577</f>
        <v>419.80099999999999</v>
      </c>
      <c r="K29" s="43"/>
      <c r="L29" s="44"/>
      <c r="M29" s="8"/>
      <c r="N29" s="8"/>
      <c r="O29" s="8"/>
      <c r="P29" s="8"/>
      <c r="Q29" s="8"/>
      <c r="R29" s="8"/>
      <c r="S29" s="8"/>
      <c r="T29" s="8"/>
      <c r="U29" s="8"/>
      <c r="V29" s="8"/>
      <c r="W29" s="8"/>
      <c r="X29" s="8"/>
      <c r="Y29" s="8"/>
      <c r="Z29" s="8"/>
    </row>
    <row r="30" spans="1:26" ht="15.75" customHeight="1">
      <c r="A30" s="14" t="s">
        <v>40</v>
      </c>
      <c r="B30" s="27">
        <f t="shared" si="13"/>
        <v>419.80099999999999</v>
      </c>
      <c r="C30" s="27">
        <f>3583.222+253.395</f>
        <v>3836.6170000000002</v>
      </c>
      <c r="D30" s="27">
        <f>(47749.769+5105+263.079+425.819)*2.204622/2000</f>
        <v>59.021773114437003</v>
      </c>
      <c r="E30" s="27">
        <f t="shared" si="10"/>
        <v>4315.4397731144372</v>
      </c>
      <c r="F30" s="27"/>
      <c r="G30" s="27">
        <f t="shared" si="11"/>
        <v>2922.4511532268561</v>
      </c>
      <c r="H30" s="27">
        <f>((787.403738+7.924+200.860833))*(2.204622/2)</f>
        <v>1098.1096198875809</v>
      </c>
      <c r="I30" s="26">
        <f t="shared" si="12"/>
        <v>4020.5607731144373</v>
      </c>
      <c r="J30" s="27">
        <f>263.515+31.364</f>
        <v>294.87899999999996</v>
      </c>
      <c r="K30" s="43"/>
      <c r="L30" s="44"/>
      <c r="M30" s="8"/>
      <c r="N30" s="8"/>
      <c r="O30" s="8"/>
      <c r="P30" s="8"/>
      <c r="Q30" s="8"/>
      <c r="R30" s="8"/>
      <c r="S30" s="8"/>
      <c r="T30" s="8"/>
      <c r="U30" s="8"/>
      <c r="V30" s="8"/>
      <c r="W30" s="8"/>
      <c r="X30" s="8"/>
      <c r="Y30" s="8"/>
      <c r="Z30" s="8"/>
    </row>
    <row r="31" spans="1:26" ht="15.75" customHeight="1">
      <c r="A31" s="14" t="s">
        <v>41</v>
      </c>
      <c r="B31" s="27">
        <f t="shared" si="13"/>
        <v>294.87899999999996</v>
      </c>
      <c r="C31" s="27">
        <f>3926.558+274.26</f>
        <v>4200.8180000000002</v>
      </c>
      <c r="D31" s="27">
        <f>(61699.469+4364+411.923+224.341)*2.204622/2000</f>
        <v>73.523849382962993</v>
      </c>
      <c r="E31" s="27">
        <f t="shared" si="10"/>
        <v>4569.220849382963</v>
      </c>
      <c r="F31" s="26"/>
      <c r="G31" s="27">
        <f t="shared" si="11"/>
        <v>2881.8443252468242</v>
      </c>
      <c r="H31" s="27">
        <f>((763.932135+5.972+298.109814))*(2.204622/2)</f>
        <v>1177.283524136139</v>
      </c>
      <c r="I31" s="26">
        <f t="shared" si="12"/>
        <v>4059.1278493829632</v>
      </c>
      <c r="J31" s="27">
        <f>465.159+44.934</f>
        <v>510.09299999999996</v>
      </c>
      <c r="K31" s="43"/>
      <c r="L31" s="44"/>
      <c r="M31" s="8"/>
      <c r="N31" s="8"/>
      <c r="O31" s="8"/>
      <c r="P31" s="8"/>
      <c r="Q31" s="8"/>
      <c r="R31" s="8"/>
      <c r="S31" s="8"/>
      <c r="T31" s="8"/>
      <c r="U31" s="8"/>
      <c r="V31" s="8"/>
      <c r="W31" s="8"/>
      <c r="X31" s="8"/>
      <c r="Y31" s="8"/>
      <c r="Z31" s="8"/>
    </row>
    <row r="32" spans="1:26" ht="15.75" customHeight="1">
      <c r="A32" s="14" t="s">
        <v>42</v>
      </c>
      <c r="B32" s="27">
        <f t="shared" si="13"/>
        <v>510.09299999999996</v>
      </c>
      <c r="C32" s="27">
        <f>3763.527+259.021</f>
        <v>4022.5480000000002</v>
      </c>
      <c r="D32" s="27">
        <f>(62488.686+4677+258.217+254.463)*2.204622/2000</f>
        <v>74.602607303826005</v>
      </c>
      <c r="E32" s="27">
        <f t="shared" si="10"/>
        <v>4607.2436073038261</v>
      </c>
      <c r="F32" s="26"/>
      <c r="G32" s="27">
        <f t="shared" si="11"/>
        <v>2821.810765308217</v>
      </c>
      <c r="H32" s="27">
        <f>((1007.701411+13.354+249.239308))*(2.204622/2)</f>
        <v>1400.2598419956091</v>
      </c>
      <c r="I32" s="26">
        <f t="shared" si="12"/>
        <v>4222.0706073038264</v>
      </c>
      <c r="J32" s="27">
        <f>337.326+47.847</f>
        <v>385.173</v>
      </c>
      <c r="K32" s="43"/>
      <c r="L32" s="44"/>
      <c r="M32" s="8"/>
      <c r="N32" s="8"/>
      <c r="O32" s="8"/>
      <c r="P32" s="8"/>
      <c r="Q32" s="8"/>
      <c r="R32" s="8"/>
      <c r="S32" s="8"/>
      <c r="T32" s="8"/>
      <c r="U32" s="8"/>
      <c r="V32" s="8"/>
      <c r="W32" s="8"/>
      <c r="X32" s="8"/>
      <c r="Y32" s="8"/>
      <c r="Z32" s="8"/>
    </row>
    <row r="33" spans="1:26" ht="15.75" customHeight="1">
      <c r="A33" s="14" t="s">
        <v>43</v>
      </c>
      <c r="B33" s="27">
        <f t="shared" si="13"/>
        <v>385.173</v>
      </c>
      <c r="C33" s="27">
        <f>3660.325+249.227</f>
        <v>3909.5519999999997</v>
      </c>
      <c r="D33" s="27">
        <f>(57739.395+3870+130.583+721.919)*2.204622/2000</f>
        <v>68.852436143966997</v>
      </c>
      <c r="E33" s="27">
        <f t="shared" si="10"/>
        <v>4363.5774361439662</v>
      </c>
      <c r="F33" s="26"/>
      <c r="G33" s="27">
        <f t="shared" si="11"/>
        <v>2930.8773870523009</v>
      </c>
      <c r="H33" s="27">
        <f>((819.428144+11.935+185.223871))*(2.204622/2)</f>
        <v>1120.595049091665</v>
      </c>
      <c r="I33" s="26">
        <f t="shared" si="12"/>
        <v>4051.4724361439662</v>
      </c>
      <c r="J33" s="27">
        <f>276.276+35.829</f>
        <v>312.10500000000002</v>
      </c>
      <c r="K33" s="43"/>
      <c r="L33" s="44"/>
      <c r="M33" s="8"/>
      <c r="N33" s="8"/>
      <c r="O33" s="8"/>
      <c r="P33" s="8"/>
      <c r="Q33" s="8"/>
      <c r="R33" s="8"/>
      <c r="S33" s="8"/>
      <c r="T33" s="8"/>
      <c r="U33" s="8"/>
      <c r="V33" s="8"/>
      <c r="W33" s="8"/>
      <c r="X33" s="8"/>
      <c r="Y33" s="8"/>
      <c r="Z33" s="8"/>
    </row>
    <row r="34" spans="1:26" ht="15.75" customHeight="1">
      <c r="A34" s="14" t="s">
        <v>44</v>
      </c>
      <c r="B34" s="27">
        <f t="shared" si="13"/>
        <v>312.10500000000002</v>
      </c>
      <c r="C34" s="27">
        <f>3453.178+243.145</f>
        <v>3696.3229999999999</v>
      </c>
      <c r="D34" s="27">
        <f>(35949.489+2516+112.11+336.226)*2.204622/2000</f>
        <v>42.895137349575009</v>
      </c>
      <c r="E34" s="27">
        <f t="shared" si="10"/>
        <v>4051.3231373495751</v>
      </c>
      <c r="F34" s="26"/>
      <c r="G34" s="27">
        <f t="shared" si="11"/>
        <v>2720.5046007899409</v>
      </c>
      <c r="H34" s="27">
        <f>((593.573569+8.497+220.167925))*(2.204622/2)</f>
        <v>906.36253655963401</v>
      </c>
      <c r="I34" s="26">
        <f t="shared" si="12"/>
        <v>3626.8671373495749</v>
      </c>
      <c r="J34" s="27">
        <f>376.025+48.431</f>
        <v>424.45599999999996</v>
      </c>
      <c r="K34" s="43"/>
      <c r="L34" s="44"/>
      <c r="M34" s="8"/>
      <c r="N34" s="8"/>
      <c r="O34" s="8"/>
      <c r="P34" s="8"/>
      <c r="Q34" s="8"/>
      <c r="R34" s="8"/>
      <c r="S34" s="8"/>
      <c r="T34" s="8"/>
      <c r="U34" s="8"/>
      <c r="V34" s="8"/>
      <c r="W34" s="8"/>
      <c r="X34" s="8"/>
      <c r="Y34" s="8"/>
      <c r="Z34" s="8"/>
    </row>
    <row r="35" spans="1:26" ht="15.75" customHeight="1">
      <c r="A35" s="18" t="s">
        <v>50</v>
      </c>
      <c r="B35" s="29"/>
      <c r="C35" s="29">
        <f t="shared" ref="C35:E35" si="14">SUM(C26:C34)</f>
        <v>36677.172999999995</v>
      </c>
      <c r="D35" s="29">
        <f t="shared" si="14"/>
        <v>533.15869551795902</v>
      </c>
      <c r="E35" s="29">
        <f t="shared" si="14"/>
        <v>40903.238695517961</v>
      </c>
      <c r="F35" s="29"/>
      <c r="G35" s="29">
        <f>SUM(G26:G33)</f>
        <v>23982.16850944695</v>
      </c>
      <c r="H35" s="29">
        <f t="shared" ref="H35:I35" si="15">SUM(H26:H34)</f>
        <v>10638.626585281067</v>
      </c>
      <c r="I35" s="29">
        <f t="shared" si="15"/>
        <v>37341.299695517962</v>
      </c>
      <c r="J35" s="29"/>
      <c r="K35" s="43"/>
      <c r="L35" s="44"/>
      <c r="M35" s="8"/>
      <c r="N35" s="8"/>
      <c r="O35" s="8"/>
      <c r="P35" s="8"/>
      <c r="Q35" s="8"/>
      <c r="R35" s="8"/>
      <c r="S35" s="8"/>
      <c r="T35" s="8"/>
      <c r="U35" s="8"/>
      <c r="V35" s="8"/>
      <c r="W35" s="8"/>
      <c r="X35" s="8"/>
      <c r="Y35" s="8"/>
      <c r="Z35" s="8"/>
    </row>
    <row r="36" spans="1:26" ht="17.25" customHeight="1">
      <c r="A36" s="31" t="s">
        <v>74</v>
      </c>
      <c r="B36" s="11"/>
      <c r="C36" s="11"/>
      <c r="D36" s="11"/>
      <c r="E36" s="11"/>
      <c r="F36" s="11"/>
      <c r="G36" s="11"/>
      <c r="H36" s="11"/>
      <c r="I36" s="11"/>
      <c r="J36" s="11"/>
      <c r="K36" s="43"/>
      <c r="L36" s="44"/>
      <c r="M36" s="8"/>
      <c r="N36" s="8"/>
      <c r="O36" s="8"/>
      <c r="P36" s="8"/>
      <c r="Q36" s="8"/>
      <c r="R36" s="8"/>
      <c r="S36" s="8"/>
      <c r="T36" s="8"/>
      <c r="U36" s="8"/>
      <c r="V36" s="8"/>
      <c r="W36" s="8"/>
      <c r="X36" s="8"/>
      <c r="Y36" s="8"/>
      <c r="Z36" s="8"/>
    </row>
    <row r="37" spans="1:26" ht="15.75" customHeight="1">
      <c r="A37" s="14" t="s">
        <v>75</v>
      </c>
      <c r="B37" s="23"/>
      <c r="C37" s="23"/>
      <c r="D37" s="23"/>
      <c r="E37" s="23"/>
      <c r="F37" s="23"/>
      <c r="G37" s="23"/>
      <c r="H37" s="23"/>
      <c r="I37" s="23"/>
      <c r="J37" s="23"/>
      <c r="K37" s="43"/>
      <c r="L37" s="44"/>
      <c r="M37" s="8"/>
      <c r="N37" s="8"/>
      <c r="O37" s="8"/>
      <c r="P37" s="8"/>
      <c r="Q37" s="8"/>
      <c r="R37" s="8"/>
      <c r="S37" s="8"/>
      <c r="T37" s="8"/>
      <c r="U37" s="8"/>
      <c r="V37" s="8"/>
      <c r="W37" s="8"/>
      <c r="X37" s="8"/>
      <c r="Y37" s="8"/>
      <c r="Z37" s="8"/>
    </row>
    <row r="38" spans="1:26" ht="15.75" customHeight="1">
      <c r="A38" s="14" t="s">
        <v>53</v>
      </c>
      <c r="B38" s="54">
        <f ca="1">NOW()</f>
        <v>43747.834772916663</v>
      </c>
      <c r="C38" s="55"/>
      <c r="D38" s="56"/>
      <c r="E38" s="56"/>
      <c r="F38" s="56"/>
      <c r="G38" s="56"/>
      <c r="H38" s="56"/>
      <c r="I38" s="56"/>
      <c r="J38" s="56"/>
      <c r="K38" s="43"/>
      <c r="L38" s="44"/>
      <c r="M38" s="8"/>
      <c r="N38" s="8"/>
      <c r="O38" s="8"/>
      <c r="P38" s="8"/>
      <c r="Q38" s="8"/>
      <c r="R38" s="8"/>
      <c r="S38" s="8"/>
      <c r="T38" s="8"/>
      <c r="U38" s="8"/>
      <c r="V38" s="8"/>
      <c r="W38" s="8"/>
      <c r="X38" s="8"/>
      <c r="Y38" s="8"/>
      <c r="Z38" s="8"/>
    </row>
    <row r="39" spans="1:26" ht="15.75" customHeight="1">
      <c r="A39" s="57"/>
      <c r="B39" s="58"/>
      <c r="C39" s="59"/>
      <c r="D39" s="58"/>
      <c r="E39" s="58"/>
      <c r="F39" s="58"/>
      <c r="G39" s="58"/>
      <c r="H39" s="58"/>
      <c r="I39" s="58"/>
      <c r="J39" s="58"/>
      <c r="K39" s="43"/>
      <c r="L39" s="44"/>
      <c r="M39" s="8"/>
      <c r="N39" s="8"/>
      <c r="O39" s="8"/>
      <c r="P39" s="8"/>
      <c r="Q39" s="8"/>
      <c r="R39" s="8"/>
      <c r="S39" s="8"/>
      <c r="T39" s="8"/>
      <c r="U39" s="8"/>
      <c r="V39" s="8"/>
      <c r="W39" s="8"/>
      <c r="X39" s="8"/>
      <c r="Y39" s="8"/>
      <c r="Z39" s="8"/>
    </row>
    <row r="40" spans="1:26" ht="15.75" customHeight="1">
      <c r="A40" s="57"/>
      <c r="B40" s="58"/>
      <c r="C40" s="58"/>
      <c r="D40" s="58"/>
      <c r="E40" s="58"/>
      <c r="F40" s="58"/>
      <c r="G40" s="58"/>
      <c r="H40" s="58"/>
      <c r="I40" s="58"/>
      <c r="J40" s="58"/>
      <c r="K40" s="43"/>
      <c r="L40" s="44"/>
      <c r="M40" s="8"/>
      <c r="N40" s="8"/>
      <c r="O40" s="8"/>
      <c r="P40" s="8"/>
      <c r="Q40" s="8"/>
      <c r="R40" s="8"/>
      <c r="S40" s="8"/>
      <c r="T40" s="8"/>
      <c r="U40" s="8"/>
      <c r="V40" s="8"/>
      <c r="W40" s="8"/>
      <c r="X40" s="8"/>
      <c r="Y40" s="8"/>
      <c r="Z40" s="8"/>
    </row>
    <row r="41" spans="1:26" ht="15.75" customHeight="1">
      <c r="A41" s="57"/>
      <c r="B41" s="8"/>
      <c r="C41" s="8"/>
      <c r="D41" s="8"/>
      <c r="E41" s="8"/>
      <c r="F41" s="8"/>
      <c r="G41" s="8"/>
      <c r="H41" s="8"/>
      <c r="I41" s="8"/>
      <c r="J41" s="8"/>
      <c r="K41" s="43"/>
      <c r="L41" s="44"/>
      <c r="M41" s="8"/>
      <c r="N41" s="8"/>
      <c r="O41" s="8"/>
      <c r="P41" s="8"/>
      <c r="Q41" s="8"/>
      <c r="R41" s="8"/>
      <c r="S41" s="8"/>
      <c r="T41" s="8"/>
      <c r="U41" s="8"/>
      <c r="V41" s="8"/>
      <c r="W41" s="8"/>
      <c r="X41" s="8"/>
      <c r="Y41" s="8"/>
      <c r="Z41" s="8"/>
    </row>
    <row r="42" spans="1:26" ht="15.75" customHeight="1">
      <c r="A42" s="57"/>
      <c r="B42" s="8"/>
      <c r="C42" s="8"/>
      <c r="D42" s="8"/>
      <c r="E42" s="8"/>
      <c r="F42" s="8"/>
      <c r="G42" s="8"/>
      <c r="H42" s="8"/>
      <c r="I42" s="8"/>
      <c r="J42" s="8"/>
      <c r="K42" s="43"/>
      <c r="L42" s="44"/>
      <c r="M42" s="8"/>
      <c r="N42" s="8"/>
      <c r="O42" s="8"/>
      <c r="P42" s="8"/>
      <c r="Q42" s="8"/>
      <c r="R42" s="8"/>
      <c r="S42" s="8"/>
      <c r="T42" s="8"/>
      <c r="U42" s="8"/>
      <c r="V42" s="8"/>
      <c r="W42" s="8"/>
      <c r="X42" s="8"/>
      <c r="Y42" s="8"/>
      <c r="Z42" s="8"/>
    </row>
    <row r="43" spans="1:26" ht="15.75" customHeight="1">
      <c r="A43" s="57"/>
      <c r="B43" s="8"/>
      <c r="C43" s="8"/>
      <c r="D43" s="8"/>
      <c r="E43" s="8"/>
      <c r="F43" s="8"/>
      <c r="G43" s="8"/>
      <c r="H43" s="8"/>
      <c r="I43" s="8"/>
      <c r="J43" s="8"/>
      <c r="K43" s="43"/>
      <c r="L43" s="44"/>
      <c r="M43" s="8"/>
      <c r="N43" s="8"/>
      <c r="O43" s="8"/>
      <c r="P43" s="8"/>
      <c r="Q43" s="8"/>
      <c r="R43" s="8"/>
      <c r="S43" s="8"/>
      <c r="T43" s="8"/>
      <c r="U43" s="8"/>
      <c r="V43" s="8"/>
      <c r="W43" s="8"/>
      <c r="X43" s="8"/>
      <c r="Y43" s="8"/>
      <c r="Z43" s="8"/>
    </row>
    <row r="44" spans="1:26" ht="15.75" customHeight="1">
      <c r="A44" s="60"/>
      <c r="B44" s="61"/>
      <c r="C44" s="61"/>
      <c r="D44" s="61"/>
      <c r="E44" s="61"/>
      <c r="F44" s="61"/>
      <c r="G44" s="61"/>
      <c r="H44" s="61"/>
      <c r="I44" s="61"/>
      <c r="J44" s="61"/>
      <c r="K44" s="62"/>
      <c r="L44" s="63"/>
      <c r="M44" s="8"/>
      <c r="N44" s="8"/>
      <c r="O44" s="8"/>
      <c r="P44" s="8"/>
      <c r="Q44" s="8"/>
      <c r="R44" s="8"/>
      <c r="S44" s="8"/>
      <c r="T44" s="8"/>
      <c r="U44" s="8"/>
      <c r="V44" s="8"/>
      <c r="W44" s="8"/>
      <c r="X44" s="8"/>
      <c r="Y44" s="8"/>
      <c r="Z44" s="8"/>
    </row>
    <row r="45" spans="1:26" ht="12.75" customHeight="1">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ht="12.75" customHeight="1">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ht="12.75" customHeight="1">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2.75" customHeight="1">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2.75" customHeight="1">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2.75" customHeight="1">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2.75" customHeight="1">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2.75" customHeight="1">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2.75" customHeight="1">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2.75" customHeight="1">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2.75" customHeight="1">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2.75" customHeight="1">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2.75" customHeight="1">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2.75" customHeight="1">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2.75" customHeight="1">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2.75" customHeight="1">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2.75" customHeight="1">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2.75" customHeight="1">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2.75" customHeight="1">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2.75" customHeight="1">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2.75" customHeight="1">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2.75" customHeight="1">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2.75" customHeight="1">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2.75" customHeight="1">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2.75" customHeight="1">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2.75" customHeight="1">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2.75" customHeight="1">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2.75" customHeight="1">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2.75" customHeight="1">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2.75" customHeight="1">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2.75" customHeight="1">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2.75" customHeight="1">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2.75" customHeight="1">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2.75" customHeight="1">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2.75" customHeight="1">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2.75" customHeight="1">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2.75" customHeight="1">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2.75" customHeight="1">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2.75" customHeight="1">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2.75" customHeight="1">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2.75" customHeight="1">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2.75" customHeight="1">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2.75" customHeight="1">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2.75" customHeight="1">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2.75" customHeight="1">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2.75" customHeight="1">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2.75" customHeight="1">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2.75" customHeight="1">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2.75" customHeight="1">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2.75" customHeight="1">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2.75" customHeight="1">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2.75" customHeight="1">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2.75" customHeight="1">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2.75" customHeight="1">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2.75" customHeight="1">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2.7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2.7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2.7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2.7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2.7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2.7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2.7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2.7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2.7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2.7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2.7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2.7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2.7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2.7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2.7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2.7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2.7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2.7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2.7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2.7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2.7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2.7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2.7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2.7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2.7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2.7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2.7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2.7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2.7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2.7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2.7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2.7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2.7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2.7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2.7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2.7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2.7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2.7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2.7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2.7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2.7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2.7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2.7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2.7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2.7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2.7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2.7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2.7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2.7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2.7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2.7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2.7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2.7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2.7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2.7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2.7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2.7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2.7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2.7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2.7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2.7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2.7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2.7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2.7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2.7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2.7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2.7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2.7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2.7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2.7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2.7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2.7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2.7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2.7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2.7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2.7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2.7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2.7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2.7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2.7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2.7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2.7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2.7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2.7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2.7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2.7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2.7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2.7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2.7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2.7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2.7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2.7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2.7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2.7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2.7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2.7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2.7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2.7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2.7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2.7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2.7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2.7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2.7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2.7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2.7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2.7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2.7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2.7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2.7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2.7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2.7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2.7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2.7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2.7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2.7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2.7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2.7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2.7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2.7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2.7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2.7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2.7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2.7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2.7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2.7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2.7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2.7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2.7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2.7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2.7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2.7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2.7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2.7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2.7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2.7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2.7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2.7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2.7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2.7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2.7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2.7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2.7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2.7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2.7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2.7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2.7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2.7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2.7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2.7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2.7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2.7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2.7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2.7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2.7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2.7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2.7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2.7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2.7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2.7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2.7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2.7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2.7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2.7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2.7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2.7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2.7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2.7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2.7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2.7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2.7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2.7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2.7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2.7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2.7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2.7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2.7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2.7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2.7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2.7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2.7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2.7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2.7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2.7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2.7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2.7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2.7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2.7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2.7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2.7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2.7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2.7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2.7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2.7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2.7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2.7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2.7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2.7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2.7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2.7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2.7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2.7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2.7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2.7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2.7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2.7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2.7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2.7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2.7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2.7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2.7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2.7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2.7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2.7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2.7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2.7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2.7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2.7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2.7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2.7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2.7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2.7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2.7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2.7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2.7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2.7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2.7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2.7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2.7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2.7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2.7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2.7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2.7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2.7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2.7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2.7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2.7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2.7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2.7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2.7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2.7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2.7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2.7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2.7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2.7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2.7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2.7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2.7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2.7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2.7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2.7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2.7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2.7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2.7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2.7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2.7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2.7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2.7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2.7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2.7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2.7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2.7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2.7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2.7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2.7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2.7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2.7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2.7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2.7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2.7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2.7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2.7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2.7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2.7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2.7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2.7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2.7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2.7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2.7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2.7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2.7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2.7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2.7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2.7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2.7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2.7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2.7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2.7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2.7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2.7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2.7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2.7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2.7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2.7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2.7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2.7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2.7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2.7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2.7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2.7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2.7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2.7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2.7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2.7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2.7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2.7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2.7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2.7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2.7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2.7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2.7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2.7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2.7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2.7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2.7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2.7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2.7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2.7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2.7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2.7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2.7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2.7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2.7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2.7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2.7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2.7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2.7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2.7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2.7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2.7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2.7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2.7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2.7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2.7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2.7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2.7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2.7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2.7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2.7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2.7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2.7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2.7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2.7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2.7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2.7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2.7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2.7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2.7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2.7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2.7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2.7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2.7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2.7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2.7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2.7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2.7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2.7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2.7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2.7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2.7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2.7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2.7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2.7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2.7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2.7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2.7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2.7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2.7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2.7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2.7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2.7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2.7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2.7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2.7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2.7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2.7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2.7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2.7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2.7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2.7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2.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2.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2.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2.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2.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2.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2.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2.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2.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2.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2.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2.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2.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2.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2.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2.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2.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2.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2.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2.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2.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2.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2.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2.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2.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2.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2.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2.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2.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2.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2.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2.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2.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2.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2.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2.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2.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2.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2.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2.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2.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2.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2.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2.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2.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2.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2.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2.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2.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2.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2.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2.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2.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2.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2.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2.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2.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2.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2.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2.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2.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2.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2.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2.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2.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2.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2.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2.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2.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2.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2.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2.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2.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2.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2.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2.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2.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2.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2.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2.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2.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2.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2.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2.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2.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2.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2.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2.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2.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2.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2.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2.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2.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2.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2.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2.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2.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2.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2.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2.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2.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2.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2.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2.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2.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2.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2.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2.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2.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2.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2.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2.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2.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2.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2.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2.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2.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2.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2.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2.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2.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2.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2.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2.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2.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2.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2.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2.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2.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2.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2.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2.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2.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2.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2.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2.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2.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2.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2.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2.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2.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2.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2.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2.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2.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2.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2.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2.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2.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2.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2.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2.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2.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2.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2.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2.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2.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2.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2.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2.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2.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2.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2.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2.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2.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2.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2.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2.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2.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2.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2.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2.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2.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2.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2.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2.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2.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2.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2.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2.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2.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2.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2.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2.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2.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2.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2.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2.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2.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2.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2.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2.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2.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2.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2.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2.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2.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2.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2.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2.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2.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2.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2.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2.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2.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2.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2.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2.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2.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2.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2.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2.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2.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2.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2.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2.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2.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2.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2.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2.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2.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2.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2.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2.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2.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2.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2.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2.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2.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2.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2.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2.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2.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2.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2.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2.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2.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2.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2.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2.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2.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2.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2.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2.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2.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2.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2.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2.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2.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2.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2.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2.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2.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2.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2.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2.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2.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2.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2.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2.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2.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2.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2.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2.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2.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2.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2.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2.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2.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2.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2.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2.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2.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2.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2.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2.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2.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2.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2.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2.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2.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2.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2.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2.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2.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2.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2.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2.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2.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2.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2.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2.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2.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2.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2.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2.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2.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2.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2.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2.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2.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2.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2.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2.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2.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2.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2.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2.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2.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2.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2.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2.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2.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2.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2.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2.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2.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2.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2.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2.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2.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2.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2.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2.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2.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2.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2.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2.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2.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2.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2.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2.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2.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2.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2.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2.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2.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2.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2.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2.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2.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2.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2.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2.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2.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2.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2.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2.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2.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2.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2.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2.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2.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2.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2.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2.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2.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2.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2.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2.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2.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2.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2.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2.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2.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2.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2.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2.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2.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2.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2.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2.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2.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2.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2.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2.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2.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2.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2.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2.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2.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2.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2.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2.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2.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2.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2.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2.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2.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2.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2.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2.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2.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2.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2.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2.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2.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2.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2.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2.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2.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2.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2.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2.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2.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2.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2.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2.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2.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2.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2.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2.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2.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2.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2.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2.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2.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2.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2.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2.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2.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2.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2.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2.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2.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2.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2.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2.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2.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2.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2.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2.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2.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2.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2.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2.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2.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2.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2.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2.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2.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2.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2.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2.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2.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2.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2.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2.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2.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2.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2.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2.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2.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2.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2.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2.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2.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2.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2.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2.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2.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2.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2.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2.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2.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2.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2.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2.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2.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2.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2.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2.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2.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2.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2.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2.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2.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2.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2.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2.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2.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2.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2.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2.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2.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2.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2.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2.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2.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2.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2.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2.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2.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2.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2.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2.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2.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2.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2.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2.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2.7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2.7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2.7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2.7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2.7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2.7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2.7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2.7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2.7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2.7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2.7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2.7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2.7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2.7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2.7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2.7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2.7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2.7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2.7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2.7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2.7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2.7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mergeCells count="3">
    <mergeCell ref="G2:I2"/>
    <mergeCell ref="B5:J5"/>
    <mergeCell ref="B2:E2"/>
  </mergeCells>
  <pageMargins left="0.75" right="0.75" top="1" bottom="1" header="0" footer="0"/>
  <pageSetup orientation="portrait"/>
  <headerFooter>
    <oddFooter>&amp;C000000&amp;P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Z1000"/>
  <sheetViews>
    <sheetView showGridLines="0" workbookViewId="0"/>
  </sheetViews>
  <sheetFormatPr defaultColWidth="14.44140625" defaultRowHeight="15" customHeight="1"/>
  <cols>
    <col min="1" max="1" width="14.44140625" customWidth="1"/>
    <col min="2" max="2" width="11.6640625" customWidth="1"/>
    <col min="3" max="3" width="10.6640625" customWidth="1"/>
    <col min="4" max="4" width="9.44140625" customWidth="1"/>
    <col min="5" max="5" width="11.33203125" customWidth="1"/>
    <col min="6" max="6" width="3.6640625" customWidth="1"/>
    <col min="7" max="8" width="10.6640625" customWidth="1"/>
    <col min="9" max="9" width="12.6640625" customWidth="1"/>
    <col min="10" max="10" width="9.6640625" customWidth="1"/>
    <col min="11" max="11" width="10.6640625" customWidth="1"/>
    <col min="12" max="12" width="10.109375" customWidth="1"/>
    <col min="13" max="26" width="8.88671875" customWidth="1"/>
  </cols>
  <sheetData>
    <row r="1" spans="1:26" ht="14.25" customHeight="1">
      <c r="A1" s="5" t="s">
        <v>14</v>
      </c>
      <c r="B1" s="6"/>
      <c r="C1" s="6"/>
      <c r="D1" s="6"/>
      <c r="E1" s="6"/>
      <c r="F1" s="6"/>
      <c r="G1" s="6"/>
      <c r="H1" s="6"/>
      <c r="I1" s="6"/>
      <c r="J1" s="6"/>
      <c r="K1" s="6"/>
      <c r="L1" s="6"/>
      <c r="M1" s="7"/>
      <c r="N1" s="8"/>
      <c r="O1" s="8"/>
      <c r="P1" s="8"/>
      <c r="Q1" s="8"/>
      <c r="R1" s="8"/>
      <c r="S1" s="8"/>
      <c r="T1" s="8"/>
      <c r="U1" s="8"/>
      <c r="V1" s="8"/>
      <c r="W1" s="8"/>
      <c r="X1" s="8"/>
      <c r="Y1" s="8"/>
      <c r="Z1" s="8"/>
    </row>
    <row r="2" spans="1:26" ht="14.25" customHeight="1">
      <c r="A2" s="9"/>
      <c r="B2" s="133" t="s">
        <v>15</v>
      </c>
      <c r="C2" s="134"/>
      <c r="D2" s="134"/>
      <c r="E2" s="134"/>
      <c r="F2" s="11"/>
      <c r="G2" s="133" t="s">
        <v>16</v>
      </c>
      <c r="H2" s="134"/>
      <c r="I2" s="134"/>
      <c r="J2" s="12"/>
      <c r="K2" s="12"/>
      <c r="L2" s="11"/>
      <c r="M2" s="13"/>
      <c r="N2" s="8"/>
      <c r="O2" s="8"/>
      <c r="P2" s="8"/>
      <c r="Q2" s="8"/>
      <c r="R2" s="8"/>
      <c r="S2" s="8"/>
      <c r="T2" s="8"/>
      <c r="U2" s="8"/>
      <c r="V2" s="8"/>
      <c r="W2" s="8"/>
      <c r="X2" s="8"/>
      <c r="Y2" s="8"/>
      <c r="Z2" s="8"/>
    </row>
    <row r="3" spans="1:26" ht="14.25" customHeight="1">
      <c r="A3" s="14" t="s">
        <v>17</v>
      </c>
      <c r="B3" s="15" t="s">
        <v>18</v>
      </c>
      <c r="C3" s="15" t="s">
        <v>19</v>
      </c>
      <c r="D3" s="15" t="s">
        <v>20</v>
      </c>
      <c r="E3" s="15" t="s">
        <v>21</v>
      </c>
      <c r="F3" s="16"/>
      <c r="G3" s="10" t="s">
        <v>22</v>
      </c>
      <c r="H3" s="12"/>
      <c r="I3" s="12"/>
      <c r="J3" s="15" t="s">
        <v>23</v>
      </c>
      <c r="K3" s="15" t="s">
        <v>21</v>
      </c>
      <c r="L3" s="17" t="s">
        <v>24</v>
      </c>
      <c r="M3" s="13"/>
      <c r="N3" s="8"/>
      <c r="O3" s="8"/>
      <c r="P3" s="8"/>
      <c r="Q3" s="8"/>
      <c r="R3" s="8"/>
      <c r="S3" s="8"/>
      <c r="T3" s="8"/>
      <c r="U3" s="8"/>
      <c r="V3" s="8"/>
      <c r="W3" s="8"/>
      <c r="X3" s="8"/>
      <c r="Y3" s="8"/>
      <c r="Z3" s="8"/>
    </row>
    <row r="4" spans="1:26" ht="14.25" customHeight="1">
      <c r="A4" s="18" t="s">
        <v>25</v>
      </c>
      <c r="B4" s="19" t="s">
        <v>26</v>
      </c>
      <c r="C4" s="20"/>
      <c r="D4" s="20"/>
      <c r="E4" s="20"/>
      <c r="F4" s="20"/>
      <c r="G4" s="10" t="s">
        <v>27</v>
      </c>
      <c r="H4" s="10" t="s">
        <v>28</v>
      </c>
      <c r="I4" s="10" t="s">
        <v>29</v>
      </c>
      <c r="J4" s="20"/>
      <c r="K4" s="20"/>
      <c r="L4" s="19" t="s">
        <v>30</v>
      </c>
      <c r="M4" s="13"/>
      <c r="N4" s="8"/>
      <c r="O4" s="8"/>
      <c r="P4" s="8"/>
      <c r="Q4" s="8"/>
      <c r="R4" s="8"/>
      <c r="S4" s="8"/>
      <c r="T4" s="8"/>
      <c r="U4" s="8"/>
      <c r="V4" s="8"/>
      <c r="W4" s="8"/>
      <c r="X4" s="8"/>
      <c r="Y4" s="8"/>
      <c r="Z4" s="8"/>
    </row>
    <row r="5" spans="1:26" ht="14.25" customHeight="1">
      <c r="A5" s="9"/>
      <c r="B5" s="135" t="s">
        <v>31</v>
      </c>
      <c r="C5" s="136"/>
      <c r="D5" s="136"/>
      <c r="E5" s="136"/>
      <c r="F5" s="136"/>
      <c r="G5" s="136"/>
      <c r="H5" s="136"/>
      <c r="I5" s="136"/>
      <c r="J5" s="136"/>
      <c r="K5" s="136"/>
      <c r="L5" s="136"/>
      <c r="M5" s="13"/>
      <c r="N5" s="8"/>
      <c r="O5" s="8"/>
      <c r="P5" s="8"/>
      <c r="Q5" s="8"/>
      <c r="R5" s="8"/>
      <c r="S5" s="8"/>
      <c r="T5" s="8"/>
      <c r="U5" s="8"/>
      <c r="V5" s="8"/>
      <c r="W5" s="8"/>
      <c r="X5" s="8"/>
      <c r="Y5" s="8"/>
      <c r="Z5" s="8"/>
    </row>
    <row r="6" spans="1:26" ht="14.25" customHeight="1">
      <c r="A6" s="22"/>
      <c r="B6" s="23"/>
      <c r="C6" s="23"/>
      <c r="D6" s="23"/>
      <c r="E6" s="23"/>
      <c r="F6" s="23"/>
      <c r="G6" s="23"/>
      <c r="H6" s="23"/>
      <c r="I6" s="23"/>
      <c r="J6" s="23"/>
      <c r="K6" s="23"/>
      <c r="L6" s="23"/>
      <c r="M6" s="13"/>
      <c r="N6" s="8"/>
      <c r="O6" s="8"/>
      <c r="P6" s="8"/>
      <c r="Q6" s="8"/>
      <c r="R6" s="8"/>
      <c r="S6" s="8"/>
      <c r="T6" s="8"/>
      <c r="U6" s="8"/>
      <c r="V6" s="8"/>
      <c r="W6" s="8"/>
      <c r="X6" s="8"/>
      <c r="Y6" s="8"/>
      <c r="Z6" s="8"/>
    </row>
    <row r="7" spans="1:26" ht="16.5" customHeight="1">
      <c r="A7" s="14" t="s">
        <v>32</v>
      </c>
      <c r="B7" s="24">
        <v>1710.954</v>
      </c>
      <c r="C7" s="24">
        <f t="shared" ref="C7:D7" si="0">C25</f>
        <v>23772.428000000004</v>
      </c>
      <c r="D7" s="24">
        <f t="shared" si="0"/>
        <v>335.31611675625004</v>
      </c>
      <c r="E7" s="24">
        <f t="shared" ref="E7:E9" si="1">SUM(B7:D7)</f>
        <v>25818.698116756255</v>
      </c>
      <c r="F7" s="24"/>
      <c r="G7" s="24">
        <f t="shared" ref="G7:G9" si="2">K7-J7</f>
        <v>21380.23059872978</v>
      </c>
      <c r="H7" s="24">
        <f>H25</f>
        <v>7133.6900000000005</v>
      </c>
      <c r="I7" s="24">
        <f t="shared" ref="I7:I9" si="3">G7-H7</f>
        <v>14246.54059872978</v>
      </c>
      <c r="J7" s="24">
        <f>J25</f>
        <v>2443.0335180264719</v>
      </c>
      <c r="K7" s="24">
        <f t="shared" ref="K7:K9" si="4">E7-L7</f>
        <v>23823.264116756254</v>
      </c>
      <c r="L7" s="24">
        <f>L24</f>
        <v>1995.434</v>
      </c>
      <c r="M7" s="25"/>
      <c r="N7" s="8"/>
      <c r="O7" s="8"/>
      <c r="P7" s="8"/>
      <c r="Q7" s="8"/>
      <c r="R7" s="8"/>
      <c r="S7" s="8"/>
      <c r="T7" s="8"/>
      <c r="U7" s="8"/>
      <c r="V7" s="8"/>
      <c r="W7" s="8"/>
      <c r="X7" s="8"/>
      <c r="Y7" s="8"/>
      <c r="Z7" s="8"/>
    </row>
    <row r="8" spans="1:26" ht="16.5" customHeight="1">
      <c r="A8" s="14" t="s">
        <v>33</v>
      </c>
      <c r="B8" s="24">
        <f t="shared" ref="B8:B9" si="5">L7</f>
        <v>1995.434</v>
      </c>
      <c r="C8" s="24">
        <v>23995</v>
      </c>
      <c r="D8" s="24">
        <v>400</v>
      </c>
      <c r="E8" s="24">
        <f t="shared" si="1"/>
        <v>26390.434000000001</v>
      </c>
      <c r="F8" s="24"/>
      <c r="G8" s="24">
        <f t="shared" si="2"/>
        <v>22600.434000000001</v>
      </c>
      <c r="H8" s="24">
        <v>8100</v>
      </c>
      <c r="I8" s="24">
        <f t="shared" si="3"/>
        <v>14500.434000000001</v>
      </c>
      <c r="J8" s="24">
        <v>2050</v>
      </c>
      <c r="K8" s="24">
        <f t="shared" si="4"/>
        <v>24650.434000000001</v>
      </c>
      <c r="L8" s="24">
        <v>1740</v>
      </c>
      <c r="M8" s="25"/>
      <c r="N8" s="8"/>
      <c r="O8" s="8"/>
      <c r="P8" s="8"/>
      <c r="Q8" s="8"/>
      <c r="R8" s="8"/>
      <c r="S8" s="8"/>
      <c r="T8" s="8"/>
      <c r="U8" s="8"/>
      <c r="V8" s="8"/>
      <c r="W8" s="8"/>
      <c r="X8" s="8"/>
      <c r="Y8" s="8"/>
      <c r="Z8" s="8"/>
    </row>
    <row r="9" spans="1:26" ht="16.5" customHeight="1">
      <c r="A9" s="14" t="s">
        <v>34</v>
      </c>
      <c r="B9" s="24">
        <f t="shared" si="5"/>
        <v>1740</v>
      </c>
      <c r="C9" s="24">
        <v>24535</v>
      </c>
      <c r="D9" s="24">
        <v>450</v>
      </c>
      <c r="E9" s="24">
        <f t="shared" si="1"/>
        <v>26725</v>
      </c>
      <c r="F9" s="24"/>
      <c r="G9" s="24">
        <f t="shared" si="2"/>
        <v>23500</v>
      </c>
      <c r="H9" s="24">
        <v>8600</v>
      </c>
      <c r="I9" s="24">
        <f t="shared" si="3"/>
        <v>14900</v>
      </c>
      <c r="J9" s="24">
        <v>1725</v>
      </c>
      <c r="K9" s="24">
        <f t="shared" si="4"/>
        <v>25225</v>
      </c>
      <c r="L9" s="24">
        <v>1500</v>
      </c>
      <c r="M9" s="25"/>
      <c r="N9" s="8"/>
      <c r="O9" s="8"/>
      <c r="P9" s="8"/>
      <c r="Q9" s="8"/>
      <c r="R9" s="8"/>
      <c r="S9" s="8"/>
      <c r="T9" s="8"/>
      <c r="U9" s="8"/>
      <c r="V9" s="8"/>
      <c r="W9" s="8"/>
      <c r="X9" s="8"/>
      <c r="Y9" s="8"/>
      <c r="Z9" s="8"/>
    </row>
    <row r="10" spans="1:26" ht="14.25" customHeight="1">
      <c r="A10" s="22"/>
      <c r="B10" s="24"/>
      <c r="C10" s="24"/>
      <c r="D10" s="24"/>
      <c r="E10" s="24"/>
      <c r="F10" s="24"/>
      <c r="G10" s="24"/>
      <c r="H10" s="24"/>
      <c r="I10" s="24"/>
      <c r="J10" s="24"/>
      <c r="K10" s="24"/>
      <c r="L10" s="24"/>
      <c r="M10" s="25"/>
      <c r="N10" s="8"/>
      <c r="O10" s="8"/>
      <c r="P10" s="8"/>
      <c r="Q10" s="8"/>
      <c r="R10" s="8"/>
      <c r="S10" s="8"/>
      <c r="T10" s="8"/>
      <c r="U10" s="8"/>
      <c r="V10" s="8"/>
      <c r="W10" s="8"/>
      <c r="X10" s="8"/>
      <c r="Y10" s="8"/>
      <c r="Z10" s="8"/>
    </row>
    <row r="11" spans="1:26" ht="14.25" customHeight="1">
      <c r="A11" s="22"/>
      <c r="B11" s="26"/>
      <c r="C11" s="26"/>
      <c r="D11" s="26"/>
      <c r="E11" s="26"/>
      <c r="F11" s="26"/>
      <c r="G11" s="26"/>
      <c r="H11" s="26"/>
      <c r="I11" s="26"/>
      <c r="J11" s="26"/>
      <c r="K11" s="26"/>
      <c r="L11" s="26"/>
      <c r="M11" s="13"/>
      <c r="N11" s="8"/>
      <c r="O11" s="8"/>
      <c r="P11" s="8"/>
      <c r="Q11" s="8"/>
      <c r="R11" s="8"/>
      <c r="S11" s="8"/>
      <c r="T11" s="8"/>
      <c r="U11" s="8"/>
      <c r="V11" s="8"/>
      <c r="W11" s="8"/>
      <c r="X11" s="8"/>
      <c r="Y11" s="8"/>
      <c r="Z11" s="8"/>
    </row>
    <row r="12" spans="1:26" ht="14.25" customHeight="1">
      <c r="A12" s="14" t="s">
        <v>35</v>
      </c>
      <c r="B12" s="24"/>
      <c r="C12" s="27"/>
      <c r="D12" s="27"/>
      <c r="E12" s="27"/>
      <c r="F12" s="26"/>
      <c r="G12" s="27"/>
      <c r="H12" s="27"/>
      <c r="I12" s="27"/>
      <c r="J12" s="27"/>
      <c r="K12" s="27"/>
      <c r="L12" s="26"/>
      <c r="M12" s="13"/>
      <c r="N12" s="8"/>
      <c r="O12" s="8"/>
      <c r="P12" s="8"/>
      <c r="Q12" s="8"/>
      <c r="R12" s="8"/>
      <c r="S12" s="8"/>
      <c r="T12" s="8"/>
      <c r="U12" s="8"/>
      <c r="V12" s="8"/>
      <c r="W12" s="8"/>
      <c r="X12" s="8"/>
      <c r="Y12" s="8"/>
      <c r="Z12" s="8"/>
    </row>
    <row r="13" spans="1:26" ht="14.25" customHeight="1">
      <c r="A13" s="14" t="s">
        <v>36</v>
      </c>
      <c r="B13" s="26">
        <v>1710.954</v>
      </c>
      <c r="C13" s="26">
        <v>2016.8879999999999</v>
      </c>
      <c r="D13" s="26">
        <f>(0.663115+0+13.934702+0)*2.204622</f>
        <v>32.182668510173997</v>
      </c>
      <c r="E13" s="26">
        <f t="shared" ref="E13:E24" si="6">SUM(B13:D13)</f>
        <v>3760.0246685101738</v>
      </c>
      <c r="F13" s="26"/>
      <c r="G13" s="26">
        <f t="shared" ref="G13:G24" si="7">K13-J13</f>
        <v>1921.1603915106377</v>
      </c>
      <c r="H13" s="26">
        <v>577.42999999999995</v>
      </c>
      <c r="I13" s="27">
        <f t="shared" ref="I13:I24" si="8">G13-H13</f>
        <v>1343.7303915106377</v>
      </c>
      <c r="J13" s="26">
        <f>(80.225792+0.085525+15.875468+0.265703)*2.204622</f>
        <v>212.64127699953602</v>
      </c>
      <c r="K13" s="26">
        <f t="shared" ref="K13:K24" si="9">E13-L13</f>
        <v>2133.8016685101738</v>
      </c>
      <c r="L13" s="26">
        <f>1300.36+325.863</f>
        <v>1626.223</v>
      </c>
      <c r="M13" s="13"/>
      <c r="N13" s="8"/>
      <c r="O13" s="8"/>
      <c r="P13" s="8"/>
      <c r="Q13" s="8"/>
      <c r="R13" s="8"/>
      <c r="S13" s="8"/>
      <c r="T13" s="8"/>
      <c r="U13" s="8"/>
      <c r="V13" s="8"/>
      <c r="W13" s="8"/>
      <c r="X13" s="8"/>
      <c r="Y13" s="8"/>
      <c r="Z13" s="8"/>
    </row>
    <row r="14" spans="1:26" ht="14.25" customHeight="1">
      <c r="A14" s="14" t="s">
        <v>37</v>
      </c>
      <c r="B14" s="26">
        <f t="shared" ref="B14:B24" si="10">L13</f>
        <v>1626.223</v>
      </c>
      <c r="C14" s="27">
        <v>1977.0050000000001</v>
      </c>
      <c r="D14" s="26">
        <f>(0.66927+0+9.3206+0.0008)*2.204622</f>
        <v>22.025650876739999</v>
      </c>
      <c r="E14" s="26">
        <f t="shared" si="6"/>
        <v>3625.2536508767403</v>
      </c>
      <c r="F14" s="26"/>
      <c r="G14" s="26">
        <f t="shared" si="7"/>
        <v>1802.5265698197784</v>
      </c>
      <c r="H14" s="26">
        <v>590.79999999999995</v>
      </c>
      <c r="I14" s="27">
        <f t="shared" si="8"/>
        <v>1211.7265698197784</v>
      </c>
      <c r="J14" s="26">
        <f>(41.937459+0.208519+17.592338+0.202155)*2.204622</f>
        <v>132.146081056962</v>
      </c>
      <c r="K14" s="26">
        <f t="shared" si="9"/>
        <v>1934.6726508767404</v>
      </c>
      <c r="L14" s="26">
        <f>1379.223+311.358</f>
        <v>1690.5809999999999</v>
      </c>
      <c r="M14" s="13"/>
      <c r="N14" s="8"/>
      <c r="O14" s="8"/>
      <c r="P14" s="8"/>
      <c r="Q14" s="8"/>
      <c r="R14" s="8"/>
      <c r="S14" s="8"/>
      <c r="T14" s="8"/>
      <c r="U14" s="8"/>
      <c r="V14" s="8"/>
      <c r="W14" s="8"/>
      <c r="X14" s="8"/>
      <c r="Y14" s="8"/>
      <c r="Z14" s="8"/>
    </row>
    <row r="15" spans="1:26" ht="14.25" customHeight="1">
      <c r="A15" s="14" t="s">
        <v>38</v>
      </c>
      <c r="B15" s="26">
        <f t="shared" si="10"/>
        <v>1690.5809999999999</v>
      </c>
      <c r="C15" s="27">
        <v>2015.2560000000001</v>
      </c>
      <c r="D15" s="26">
        <f>(0.611691+0+13.538281+0.0008)*2.204622</f>
        <v>31.197103268184001</v>
      </c>
      <c r="E15" s="26">
        <f t="shared" si="6"/>
        <v>3737.034103268184</v>
      </c>
      <c r="F15" s="26"/>
      <c r="G15" s="26">
        <f t="shared" si="7"/>
        <v>1613.4431539013021</v>
      </c>
      <c r="H15" s="26">
        <v>593.99</v>
      </c>
      <c r="I15" s="27">
        <f t="shared" si="8"/>
        <v>1019.4531539013021</v>
      </c>
      <c r="J15" s="26">
        <f>(60.89152+0.230156+17.166633+0.145522)*2.204622</f>
        <v>172.91694936688199</v>
      </c>
      <c r="K15" s="26">
        <f t="shared" si="9"/>
        <v>1786.360103268184</v>
      </c>
      <c r="L15" s="26">
        <f>1583.544+367.13</f>
        <v>1950.674</v>
      </c>
      <c r="M15" s="13"/>
      <c r="N15" s="8"/>
      <c r="O15" s="8"/>
      <c r="P15" s="8"/>
      <c r="Q15" s="8"/>
      <c r="R15" s="8"/>
      <c r="S15" s="8"/>
      <c r="T15" s="8"/>
      <c r="U15" s="8"/>
      <c r="V15" s="8"/>
      <c r="W15" s="8"/>
      <c r="X15" s="8"/>
      <c r="Y15" s="8"/>
      <c r="Z15" s="8"/>
    </row>
    <row r="16" spans="1:26" ht="14.25" customHeight="1">
      <c r="A16" s="14" t="s">
        <v>39</v>
      </c>
      <c r="B16" s="26">
        <f t="shared" si="10"/>
        <v>1950.674</v>
      </c>
      <c r="C16" s="27">
        <v>1995.5889999999999</v>
      </c>
      <c r="D16" s="26">
        <f>(0.672527+0.001728+9.360229+0)*2.204622</f>
        <v>22.122244185048004</v>
      </c>
      <c r="E16" s="26">
        <f t="shared" si="6"/>
        <v>3968.3852441850481</v>
      </c>
      <c r="F16" s="26"/>
      <c r="G16" s="26">
        <f t="shared" si="7"/>
        <v>1547.88008064784</v>
      </c>
      <c r="H16" s="26">
        <v>462.12</v>
      </c>
      <c r="I16" s="27">
        <f t="shared" si="8"/>
        <v>1085.7600806478399</v>
      </c>
      <c r="J16" s="26">
        <f>(67.939406+0.153133+13.668131+0.213094)*2.204622</f>
        <v>180.72116353720801</v>
      </c>
      <c r="K16" s="26">
        <f t="shared" si="9"/>
        <v>1728.601244185048</v>
      </c>
      <c r="L16" s="26">
        <f>1886.728+353.056</f>
        <v>2239.7840000000001</v>
      </c>
      <c r="M16" s="13"/>
      <c r="N16" s="8"/>
      <c r="O16" s="8"/>
      <c r="P16" s="8"/>
      <c r="Q16" s="8"/>
      <c r="R16" s="8"/>
      <c r="S16" s="8"/>
      <c r="T16" s="8"/>
      <c r="U16" s="8"/>
      <c r="V16" s="8"/>
      <c r="W16" s="8"/>
      <c r="X16" s="8"/>
      <c r="Y16" s="8"/>
      <c r="Z16" s="8"/>
    </row>
    <row r="17" spans="1:26" ht="14.25" customHeight="1">
      <c r="A17" s="14" t="s">
        <v>40</v>
      </c>
      <c r="B17" s="26">
        <f t="shared" si="10"/>
        <v>2239.7840000000001</v>
      </c>
      <c r="C17" s="27">
        <v>1889.8409999999999</v>
      </c>
      <c r="D17" s="26">
        <f>(10.974745+0+7.629912+0.0008)*2.204622</f>
        <v>41.017999822254005</v>
      </c>
      <c r="E17" s="26">
        <f t="shared" si="6"/>
        <v>4170.6429998222538</v>
      </c>
      <c r="F17" s="26"/>
      <c r="G17" s="26">
        <f t="shared" si="7"/>
        <v>1565.8113762743883</v>
      </c>
      <c r="H17" s="26">
        <v>495.59</v>
      </c>
      <c r="I17" s="27">
        <f t="shared" si="8"/>
        <v>1070.2213762743884</v>
      </c>
      <c r="J17" s="26">
        <f>(68.12744+0.142344+12.90994+0.217279)*2.204622</f>
        <v>179.44962354786603</v>
      </c>
      <c r="K17" s="26">
        <f t="shared" si="9"/>
        <v>1745.2609998222542</v>
      </c>
      <c r="L17" s="26">
        <f>2049.644+375.738</f>
        <v>2425.3819999999996</v>
      </c>
      <c r="M17" s="13"/>
      <c r="N17" s="8"/>
      <c r="O17" s="8"/>
      <c r="P17" s="8"/>
      <c r="Q17" s="8"/>
      <c r="R17" s="8"/>
      <c r="S17" s="8"/>
      <c r="T17" s="8"/>
      <c r="U17" s="8"/>
      <c r="V17" s="8"/>
      <c r="W17" s="8"/>
      <c r="X17" s="8"/>
      <c r="Y17" s="8"/>
      <c r="Z17" s="8"/>
    </row>
    <row r="18" spans="1:26" ht="14.25" customHeight="1">
      <c r="A18" s="14" t="s">
        <v>41</v>
      </c>
      <c r="B18" s="26">
        <f t="shared" si="10"/>
        <v>2425.3819999999996</v>
      </c>
      <c r="C18" s="27">
        <v>2079.123</v>
      </c>
      <c r="D18" s="26">
        <f>(1.613442+0+7.97635+0.0008)*2.204622</f>
        <v>21.143630116223999</v>
      </c>
      <c r="E18" s="26">
        <f t="shared" si="6"/>
        <v>4525.6486301162231</v>
      </c>
      <c r="F18" s="26"/>
      <c r="G18" s="26">
        <f t="shared" si="7"/>
        <v>1877.9403104172752</v>
      </c>
      <c r="H18" s="26">
        <v>624.15</v>
      </c>
      <c r="I18" s="27">
        <f t="shared" si="8"/>
        <v>1253.7903104172751</v>
      </c>
      <c r="J18" s="26">
        <f>(63.26355+0.255788+28.408661+0.253935)*2.204622</f>
        <v>203.226319698948</v>
      </c>
      <c r="K18" s="26">
        <f t="shared" si="9"/>
        <v>2081.1666301162231</v>
      </c>
      <c r="L18" s="26">
        <f>2080.138+364.344</f>
        <v>2444.482</v>
      </c>
      <c r="M18" s="13"/>
      <c r="N18" s="8"/>
      <c r="O18" s="8"/>
      <c r="P18" s="8"/>
      <c r="Q18" s="8"/>
      <c r="R18" s="8"/>
      <c r="S18" s="8"/>
      <c r="T18" s="8"/>
      <c r="U18" s="8"/>
      <c r="V18" s="8"/>
      <c r="W18" s="8"/>
      <c r="X18" s="8"/>
      <c r="Y18" s="8"/>
      <c r="Z18" s="8"/>
    </row>
    <row r="19" spans="1:26" ht="14.25" customHeight="1">
      <c r="A19" s="14" t="s">
        <v>42</v>
      </c>
      <c r="B19" s="26">
        <f t="shared" si="10"/>
        <v>2444.482</v>
      </c>
      <c r="C19" s="27">
        <v>1964.922</v>
      </c>
      <c r="D19" s="26">
        <f>(0.56331+0.103249+12.3464+0)*2.204622</f>
        <v>28.688655696498</v>
      </c>
      <c r="E19" s="26">
        <f t="shared" si="6"/>
        <v>4438.0926556964987</v>
      </c>
      <c r="F19" s="26"/>
      <c r="G19" s="26">
        <f t="shared" si="7"/>
        <v>1536.9962173366227</v>
      </c>
      <c r="H19" s="26">
        <v>519.55999999999995</v>
      </c>
      <c r="I19" s="27">
        <f t="shared" si="8"/>
        <v>1017.4362173366228</v>
      </c>
      <c r="J19" s="26">
        <f>(74.547873+0.133339+21.342471+0.283275)*2.204622</f>
        <v>212.32043835987602</v>
      </c>
      <c r="K19" s="26">
        <f t="shared" si="9"/>
        <v>1749.3166556964989</v>
      </c>
      <c r="L19" s="26">
        <f>2316.192+372.584</f>
        <v>2688.7759999999998</v>
      </c>
      <c r="M19" s="13"/>
      <c r="N19" s="8"/>
      <c r="O19" s="8"/>
      <c r="P19" s="8"/>
      <c r="Q19" s="8"/>
      <c r="R19" s="8"/>
      <c r="S19" s="8"/>
      <c r="T19" s="8"/>
      <c r="U19" s="8"/>
      <c r="V19" s="8"/>
      <c r="W19" s="8"/>
      <c r="X19" s="8"/>
      <c r="Y19" s="8"/>
      <c r="Z19" s="8"/>
    </row>
    <row r="20" spans="1:26" ht="14.25" customHeight="1">
      <c r="A20" s="14" t="s">
        <v>43</v>
      </c>
      <c r="B20" s="26">
        <f t="shared" si="10"/>
        <v>2688.7759999999998</v>
      </c>
      <c r="C20" s="27">
        <v>1966.511</v>
      </c>
      <c r="D20" s="26">
        <f>(0.754842+0+14.709869+0.00128)*2.204622</f>
        <v>34.096664010402002</v>
      </c>
      <c r="E20" s="26">
        <f t="shared" si="6"/>
        <v>4689.3836640104018</v>
      </c>
      <c r="F20" s="26"/>
      <c r="G20" s="26">
        <f t="shared" si="7"/>
        <v>1883.9005750484957</v>
      </c>
      <c r="H20" s="26">
        <v>581.33000000000004</v>
      </c>
      <c r="I20" s="27">
        <f t="shared" si="8"/>
        <v>1302.5705750484958</v>
      </c>
      <c r="J20" s="26">
        <f>(171.049084+0.572188+23.792737+0.275814)*2.204622</f>
        <v>431.42208896190601</v>
      </c>
      <c r="K20" s="26">
        <f t="shared" si="9"/>
        <v>2315.3226640104017</v>
      </c>
      <c r="L20" s="26">
        <f>2002.934+371.127</f>
        <v>2374.0610000000001</v>
      </c>
      <c r="M20" s="13"/>
      <c r="N20" s="8"/>
      <c r="O20" s="8"/>
      <c r="P20" s="8"/>
      <c r="Q20" s="8"/>
      <c r="R20" s="8"/>
      <c r="S20" s="8"/>
      <c r="T20" s="8"/>
      <c r="U20" s="8"/>
      <c r="V20" s="8"/>
      <c r="W20" s="8"/>
      <c r="X20" s="8"/>
      <c r="Y20" s="8"/>
      <c r="Z20" s="8"/>
    </row>
    <row r="21" spans="1:26" ht="14.25" customHeight="1">
      <c r="A21" s="14" t="s">
        <v>44</v>
      </c>
      <c r="B21" s="26">
        <f t="shared" si="10"/>
        <v>2374.0610000000001</v>
      </c>
      <c r="C21" s="27">
        <v>1936.9069999999999</v>
      </c>
      <c r="D21" s="26">
        <f>(2.305083+0+12.102798+0.0008)*2.204622</f>
        <v>31.765695123581999</v>
      </c>
      <c r="E21" s="26">
        <f t="shared" si="6"/>
        <v>4342.733695123582</v>
      </c>
      <c r="F21" s="26"/>
      <c r="G21" s="26">
        <f t="shared" si="7"/>
        <v>1809.8430295830899</v>
      </c>
      <c r="H21" s="26">
        <v>623.61</v>
      </c>
      <c r="I21" s="27">
        <f t="shared" si="8"/>
        <v>1186.2330295830898</v>
      </c>
      <c r="J21" s="26">
        <f>(86.616031+0.094936+16.408293+0.337326)*2.204622</f>
        <v>228.08266554049203</v>
      </c>
      <c r="K21" s="26">
        <f t="shared" si="9"/>
        <v>2037.925695123582</v>
      </c>
      <c r="L21" s="26">
        <f>1933.152+371.656</f>
        <v>2304.808</v>
      </c>
      <c r="M21" s="13"/>
      <c r="N21" s="8"/>
      <c r="O21" s="8"/>
      <c r="P21" s="8"/>
      <c r="Q21" s="8"/>
      <c r="R21" s="8"/>
      <c r="S21" s="8"/>
      <c r="T21" s="8"/>
      <c r="U21" s="8"/>
      <c r="V21" s="8"/>
      <c r="W21" s="8"/>
      <c r="X21" s="8"/>
      <c r="Y21" s="8"/>
      <c r="Z21" s="8"/>
    </row>
    <row r="22" spans="1:26" ht="14.25" customHeight="1">
      <c r="A22" s="14" t="s">
        <v>45</v>
      </c>
      <c r="B22" s="26">
        <f t="shared" si="10"/>
        <v>2304.808</v>
      </c>
      <c r="C22" s="27">
        <v>2043.3230000000001</v>
      </c>
      <c r="D22" s="26">
        <f>(2.90045+0+11.937917+0.0018)*2.204622</f>
        <v>32.716958651874002</v>
      </c>
      <c r="E22" s="26">
        <f t="shared" si="6"/>
        <v>4380.8479586518743</v>
      </c>
      <c r="F22" s="26"/>
      <c r="G22" s="26">
        <f t="shared" si="7"/>
        <v>1822.4984100716565</v>
      </c>
      <c r="H22" s="26">
        <v>671.27</v>
      </c>
      <c r="I22" s="27">
        <f t="shared" si="8"/>
        <v>1151.2284100716565</v>
      </c>
      <c r="J22" s="26">
        <f>(61.467766+0.164409+17.26546+0.346584)*2.204622</f>
        <v>174.70354858021798</v>
      </c>
      <c r="K22" s="26">
        <f t="shared" si="9"/>
        <v>1997.2019586518745</v>
      </c>
      <c r="L22" s="26">
        <f>1983.666+399.98</f>
        <v>2383.6459999999997</v>
      </c>
      <c r="M22" s="13"/>
      <c r="N22" s="8"/>
      <c r="O22" s="8"/>
      <c r="P22" s="8"/>
      <c r="Q22" s="8"/>
      <c r="R22" s="8"/>
      <c r="S22" s="8"/>
      <c r="T22" s="8"/>
      <c r="U22" s="8"/>
      <c r="V22" s="8"/>
      <c r="W22" s="8"/>
      <c r="X22" s="8"/>
      <c r="Y22" s="8"/>
      <c r="Z22" s="8"/>
    </row>
    <row r="23" spans="1:26" ht="14.25" customHeight="1">
      <c r="A23" s="14" t="s">
        <v>46</v>
      </c>
      <c r="B23" s="26">
        <f t="shared" si="10"/>
        <v>2383.6459999999997</v>
      </c>
      <c r="C23" s="27">
        <v>1944.9659999999999</v>
      </c>
      <c r="D23" s="26">
        <f>(1.713977+0+9.048481+0.0008)*2.204622</f>
        <v>23.728915378476003</v>
      </c>
      <c r="E23" s="26">
        <f t="shared" si="6"/>
        <v>4352.3409153784751</v>
      </c>
      <c r="F23" s="26"/>
      <c r="G23" s="26">
        <f t="shared" si="7"/>
        <v>1943.066683975743</v>
      </c>
      <c r="H23" s="26">
        <v>705.13</v>
      </c>
      <c r="I23" s="27">
        <f t="shared" si="8"/>
        <v>1237.9366839757431</v>
      </c>
      <c r="J23" s="26">
        <f>(71.876295+0.073925+16.05385+0.208436)*2.204622</f>
        <v>194.47523140273202</v>
      </c>
      <c r="K23" s="26">
        <f t="shared" si="9"/>
        <v>2137.5419153784751</v>
      </c>
      <c r="L23" s="26">
        <f>1843.912+370.887</f>
        <v>2214.799</v>
      </c>
      <c r="M23" s="13"/>
      <c r="N23" s="8"/>
      <c r="O23" s="8"/>
      <c r="P23" s="8"/>
      <c r="Q23" s="8"/>
      <c r="R23" s="8"/>
      <c r="S23" s="8"/>
      <c r="T23" s="8"/>
      <c r="U23" s="8"/>
      <c r="V23" s="8"/>
      <c r="W23" s="8"/>
      <c r="X23" s="8"/>
      <c r="Y23" s="8"/>
      <c r="Z23" s="8"/>
    </row>
    <row r="24" spans="1:26" ht="14.25" customHeight="1">
      <c r="A24" s="14" t="s">
        <v>47</v>
      </c>
      <c r="B24" s="26">
        <f t="shared" si="10"/>
        <v>2214.799</v>
      </c>
      <c r="C24" s="27">
        <v>1942.097</v>
      </c>
      <c r="D24" s="26">
        <f>(2.178466+0.0007+4.448861+0.008)*2.204622</f>
        <v>14.629931116793999</v>
      </c>
      <c r="E24" s="26">
        <f t="shared" si="6"/>
        <v>4171.5259311167938</v>
      </c>
      <c r="F24" s="26"/>
      <c r="G24" s="26">
        <f t="shared" si="7"/>
        <v>2055.1638001429478</v>
      </c>
      <c r="H24" s="26">
        <v>688.71</v>
      </c>
      <c r="I24" s="27">
        <f t="shared" si="8"/>
        <v>1366.4538001429478</v>
      </c>
      <c r="J24" s="26">
        <f>(41.318617+0.082871+13.182967+0.267638)*2.204622</f>
        <v>120.928130973846</v>
      </c>
      <c r="K24" s="26">
        <f t="shared" si="9"/>
        <v>2176.0919311167936</v>
      </c>
      <c r="L24" s="26">
        <f>1648.347+347.087</f>
        <v>1995.434</v>
      </c>
      <c r="M24" s="13"/>
      <c r="N24" s="8"/>
      <c r="O24" s="8"/>
      <c r="P24" s="8"/>
      <c r="Q24" s="8"/>
      <c r="R24" s="8"/>
      <c r="S24" s="8"/>
      <c r="T24" s="8"/>
      <c r="U24" s="8"/>
      <c r="V24" s="8"/>
      <c r="W24" s="8"/>
      <c r="X24" s="8"/>
      <c r="Y24" s="8"/>
      <c r="Z24" s="8"/>
    </row>
    <row r="25" spans="1:26" ht="14.25" customHeight="1">
      <c r="A25" s="14" t="s">
        <v>27</v>
      </c>
      <c r="B25" s="26"/>
      <c r="C25" s="27">
        <f t="shared" ref="C25:D25" si="11">SUM(C13:C24)</f>
        <v>23772.428000000004</v>
      </c>
      <c r="D25" s="27">
        <f t="shared" si="11"/>
        <v>335.31611675625004</v>
      </c>
      <c r="E25" s="27">
        <f>B13+C25+D25</f>
        <v>25818.698116756255</v>
      </c>
      <c r="F25" s="26"/>
      <c r="G25" s="27">
        <f t="shared" ref="G25:K25" si="12">SUM(G13:G24)</f>
        <v>21380.23059872978</v>
      </c>
      <c r="H25" s="27">
        <f t="shared" si="12"/>
        <v>7133.6900000000005</v>
      </c>
      <c r="I25" s="27">
        <f t="shared" si="12"/>
        <v>14246.540598729776</v>
      </c>
      <c r="J25" s="27">
        <f t="shared" si="12"/>
        <v>2443.0335180264719</v>
      </c>
      <c r="K25" s="27">
        <f t="shared" si="12"/>
        <v>23823.264116756243</v>
      </c>
      <c r="L25" s="26"/>
      <c r="M25" s="13"/>
      <c r="N25" s="8"/>
      <c r="O25" s="8"/>
      <c r="P25" s="8"/>
      <c r="Q25" s="8"/>
      <c r="R25" s="8"/>
      <c r="S25" s="8"/>
      <c r="T25" s="8"/>
      <c r="U25" s="8"/>
      <c r="V25" s="8"/>
      <c r="W25" s="8"/>
      <c r="X25" s="8"/>
      <c r="Y25" s="8"/>
      <c r="Z25" s="8"/>
    </row>
    <row r="26" spans="1:26" ht="14.25" customHeight="1">
      <c r="A26" s="22"/>
      <c r="B26" s="26"/>
      <c r="C26" s="27"/>
      <c r="D26" s="27"/>
      <c r="E26" s="27"/>
      <c r="F26" s="26"/>
      <c r="G26" s="27"/>
      <c r="H26" s="27"/>
      <c r="I26" s="27"/>
      <c r="J26" s="27"/>
      <c r="K26" s="27"/>
      <c r="L26" s="26"/>
      <c r="M26" s="13"/>
      <c r="N26" s="8"/>
      <c r="O26" s="8"/>
      <c r="P26" s="8"/>
      <c r="Q26" s="8"/>
      <c r="R26" s="8"/>
      <c r="S26" s="8"/>
      <c r="T26" s="8"/>
      <c r="U26" s="8"/>
      <c r="V26" s="8"/>
      <c r="W26" s="8"/>
      <c r="X26" s="8"/>
      <c r="Y26" s="8"/>
      <c r="Z26" s="8"/>
    </row>
    <row r="27" spans="1:26" ht="14.25" customHeight="1">
      <c r="A27" s="14" t="s">
        <v>48</v>
      </c>
      <c r="B27" s="26"/>
      <c r="C27" s="27"/>
      <c r="D27" s="27"/>
      <c r="E27" s="27"/>
      <c r="F27" s="26"/>
      <c r="G27" s="27"/>
      <c r="H27" s="27"/>
      <c r="I27" s="27"/>
      <c r="J27" s="27"/>
      <c r="K27" s="27"/>
      <c r="L27" s="26"/>
      <c r="M27" s="13"/>
      <c r="N27" s="8"/>
      <c r="O27" s="8"/>
      <c r="P27" s="8"/>
      <c r="Q27" s="8"/>
      <c r="R27" s="8"/>
      <c r="S27" s="8"/>
      <c r="T27" s="8"/>
      <c r="U27" s="8"/>
      <c r="V27" s="8"/>
      <c r="W27" s="8"/>
      <c r="X27" s="8"/>
      <c r="Y27" s="8"/>
      <c r="Z27" s="8"/>
    </row>
    <row r="28" spans="1:26" ht="14.25" customHeight="1">
      <c r="A28" s="14" t="s">
        <v>36</v>
      </c>
      <c r="B28" s="26">
        <f>L24</f>
        <v>1995.434</v>
      </c>
      <c r="C28" s="27">
        <v>2134.5529999999999</v>
      </c>
      <c r="D28" s="26">
        <f>(1.737942+0+14.079112+0)*2.204622</f>
        <v>34.870625223588</v>
      </c>
      <c r="E28" s="26">
        <f t="shared" ref="E28:E36" si="13">SUM(B28:D28)</f>
        <v>4164.857625223588</v>
      </c>
      <c r="F28" s="26"/>
      <c r="G28" s="26">
        <f t="shared" ref="G28:G36" si="14">K28-J28</f>
        <v>1971.1017975407021</v>
      </c>
      <c r="H28" s="26">
        <v>698.88</v>
      </c>
      <c r="I28" s="27">
        <f t="shared" ref="I28:I35" si="15">G28-H28</f>
        <v>1272.221797540702</v>
      </c>
      <c r="J28" s="26">
        <f>(55.858963+0.092113+10.135032+0.231305)*2.204622</f>
        <v>146.20482768288602</v>
      </c>
      <c r="K28" s="26">
        <f t="shared" ref="K28:K36" si="16">E28-L28</f>
        <v>2117.3066252235881</v>
      </c>
      <c r="L28" s="26">
        <f>1700.684+346.867</f>
        <v>2047.5509999999999</v>
      </c>
      <c r="M28" s="13"/>
      <c r="N28" s="8"/>
      <c r="O28" s="8"/>
      <c r="P28" s="8"/>
      <c r="Q28" s="8"/>
      <c r="R28" s="8"/>
      <c r="S28" s="8"/>
      <c r="T28" s="8"/>
      <c r="U28" s="8"/>
      <c r="V28" s="8"/>
      <c r="W28" s="8"/>
      <c r="X28" s="8"/>
      <c r="Y28" s="8"/>
      <c r="Z28" s="8"/>
    </row>
    <row r="29" spans="1:26" ht="14.25" customHeight="1">
      <c r="A29" s="14" t="s">
        <v>37</v>
      </c>
      <c r="B29" s="26">
        <f t="shared" ref="B29:B36" si="17">L28</f>
        <v>2047.5509999999999</v>
      </c>
      <c r="C29" s="27">
        <v>2060.5630000000001</v>
      </c>
      <c r="D29" s="26">
        <f>(0.859494+0.011057+14.770563+0.0008)*2.204622</f>
        <v>34.484507726507999</v>
      </c>
      <c r="E29" s="26">
        <f t="shared" si="13"/>
        <v>4142.5985077265077</v>
      </c>
      <c r="F29" s="26"/>
      <c r="G29" s="26">
        <f t="shared" si="14"/>
        <v>2027.2521314197675</v>
      </c>
      <c r="H29" s="26">
        <v>703.79</v>
      </c>
      <c r="I29" s="27">
        <f t="shared" si="15"/>
        <v>1323.4621314197675</v>
      </c>
      <c r="J29" s="26">
        <f>(87.869928+0.165614+9.139504+0.380624)*2.204622</f>
        <v>215.07337630674002</v>
      </c>
      <c r="K29" s="26">
        <f t="shared" si="16"/>
        <v>2242.3255077265076</v>
      </c>
      <c r="L29" s="26">
        <f>1582.363+317.91</f>
        <v>1900.2730000000001</v>
      </c>
      <c r="M29" s="13"/>
      <c r="N29" s="8"/>
      <c r="O29" s="8"/>
      <c r="P29" s="8"/>
      <c r="Q29" s="8"/>
      <c r="R29" s="8"/>
      <c r="S29" s="8"/>
      <c r="T29" s="8"/>
      <c r="U29" s="8"/>
      <c r="V29" s="8"/>
      <c r="W29" s="8"/>
      <c r="X29" s="8"/>
      <c r="Y29" s="8"/>
      <c r="Z29" s="8"/>
    </row>
    <row r="30" spans="1:26" ht="14.25" customHeight="1">
      <c r="A30" s="14" t="s">
        <v>38</v>
      </c>
      <c r="B30" s="26">
        <f t="shared" si="17"/>
        <v>1900.2730000000001</v>
      </c>
      <c r="C30" s="27">
        <v>2135.37</v>
      </c>
      <c r="D30" s="26">
        <f>(2.278714+0.102885+17.78989+0.0008)*2.204622</f>
        <v>44.47227211975801</v>
      </c>
      <c r="E30" s="26">
        <f t="shared" si="13"/>
        <v>4080.1152721197582</v>
      </c>
      <c r="F30" s="27"/>
      <c r="G30" s="26">
        <f t="shared" si="14"/>
        <v>1976.5384950247783</v>
      </c>
      <c r="H30" s="26">
        <v>767.76</v>
      </c>
      <c r="I30" s="27">
        <f t="shared" si="15"/>
        <v>1208.7784950247783</v>
      </c>
      <c r="J30" s="26">
        <f>(61.867102+0.216942+9.105599+0.354947)*2.204622</f>
        <v>157.72877709498002</v>
      </c>
      <c r="K30" s="26">
        <f t="shared" si="16"/>
        <v>2134.2672721197582</v>
      </c>
      <c r="L30" s="26">
        <f>1601.77+344.078</f>
        <v>1945.848</v>
      </c>
      <c r="M30" s="13"/>
      <c r="N30" s="8"/>
      <c r="O30" s="8"/>
      <c r="P30" s="8"/>
      <c r="Q30" s="8"/>
      <c r="R30" s="8"/>
      <c r="S30" s="8"/>
      <c r="T30" s="8"/>
      <c r="U30" s="8"/>
      <c r="V30" s="8"/>
      <c r="W30" s="8"/>
      <c r="X30" s="8"/>
      <c r="Y30" s="8"/>
      <c r="Z30" s="8"/>
    </row>
    <row r="31" spans="1:26" ht="14.25" customHeight="1">
      <c r="A31" s="14" t="s">
        <v>39</v>
      </c>
      <c r="B31" s="26">
        <f t="shared" si="17"/>
        <v>1945.848</v>
      </c>
      <c r="C31" s="27">
        <v>2115.799</v>
      </c>
      <c r="D31" s="26">
        <f>(1.232832+0.000565+12.844114+0.00048)*2.204622</f>
        <v>31.036648674401999</v>
      </c>
      <c r="E31" s="26">
        <f t="shared" si="13"/>
        <v>4092.6836486744019</v>
      </c>
      <c r="F31" s="27"/>
      <c r="G31" s="26">
        <f t="shared" si="14"/>
        <v>1866.8960887065257</v>
      </c>
      <c r="H31" s="26">
        <v>622.80999999999995</v>
      </c>
      <c r="I31" s="27">
        <f t="shared" si="15"/>
        <v>1244.0860887065257</v>
      </c>
      <c r="J31" s="26">
        <f>(86.321768+0.169398+13.585229+0.194563)*2.204622</f>
        <v>221.05955996787603</v>
      </c>
      <c r="K31" s="26">
        <f t="shared" si="16"/>
        <v>2087.9556486744018</v>
      </c>
      <c r="L31" s="26">
        <f>1659.501+345.227</f>
        <v>2004.7280000000001</v>
      </c>
      <c r="M31" s="13"/>
      <c r="N31" s="8"/>
      <c r="O31" s="8"/>
      <c r="P31" s="8"/>
      <c r="Q31" s="8"/>
      <c r="R31" s="8"/>
      <c r="S31" s="8"/>
      <c r="T31" s="8"/>
      <c r="U31" s="8"/>
      <c r="V31" s="8"/>
      <c r="W31" s="8"/>
      <c r="X31" s="8"/>
      <c r="Y31" s="8"/>
      <c r="Z31" s="8"/>
    </row>
    <row r="32" spans="1:26" ht="14.25" customHeight="1">
      <c r="A32" s="14" t="s">
        <v>40</v>
      </c>
      <c r="B32" s="26">
        <f t="shared" si="17"/>
        <v>2004.7280000000001</v>
      </c>
      <c r="C32" s="27">
        <v>1899.1959999999999</v>
      </c>
      <c r="D32" s="26">
        <f>(1.036189+0+12.266298+0.0008)*2.204622</f>
        <v>29.328719192514004</v>
      </c>
      <c r="E32" s="26">
        <f t="shared" si="13"/>
        <v>3933.2527191925142</v>
      </c>
      <c r="F32" s="27"/>
      <c r="G32" s="26">
        <f t="shared" si="14"/>
        <v>1692.3842773339961</v>
      </c>
      <c r="H32" s="26">
        <v>559.57000000000005</v>
      </c>
      <c r="I32" s="27">
        <f t="shared" si="15"/>
        <v>1132.814277333996</v>
      </c>
      <c r="J32" s="26">
        <f>(29.230159+0.074299+12.057246+0.250165)*2.204622</f>
        <v>91.738441858518016</v>
      </c>
      <c r="K32" s="26">
        <f t="shared" si="16"/>
        <v>1784.1227191925141</v>
      </c>
      <c r="L32" s="26">
        <f>1762.965+386.165</f>
        <v>2149.13</v>
      </c>
      <c r="M32" s="13"/>
      <c r="N32" s="8"/>
      <c r="O32" s="8"/>
      <c r="P32" s="8"/>
      <c r="Q32" s="8"/>
      <c r="R32" s="8"/>
      <c r="S32" s="8"/>
      <c r="T32" s="8"/>
      <c r="U32" s="8"/>
      <c r="V32" s="8"/>
      <c r="W32" s="8"/>
      <c r="X32" s="8"/>
      <c r="Y32" s="8"/>
      <c r="Z32" s="8"/>
    </row>
    <row r="33" spans="1:26" ht="14.25" customHeight="1">
      <c r="A33" s="14" t="s">
        <v>41</v>
      </c>
      <c r="B33" s="26">
        <f t="shared" si="17"/>
        <v>2149.13</v>
      </c>
      <c r="C33" s="27">
        <v>2094.4180000000001</v>
      </c>
      <c r="D33" s="26">
        <f>(0.61092+0.0008+13.177229+0.00082)*2.204622</f>
        <v>30.401228112318002</v>
      </c>
      <c r="E33" s="26">
        <f t="shared" si="13"/>
        <v>4273.9492281123185</v>
      </c>
      <c r="F33" s="26"/>
      <c r="G33" s="26">
        <f t="shared" si="14"/>
        <v>1769.1811510570665</v>
      </c>
      <c r="H33" s="26">
        <v>617.01</v>
      </c>
      <c r="I33" s="27">
        <f t="shared" si="15"/>
        <v>1152.1711510570665</v>
      </c>
      <c r="J33" s="26">
        <f>(105.920622+0.129031+16.580273+0.67424)*2.204622</f>
        <v>271.83907705525195</v>
      </c>
      <c r="K33" s="26">
        <f t="shared" si="16"/>
        <v>2041.0202281123184</v>
      </c>
      <c r="L33" s="26">
        <f>1893.918+339.011</f>
        <v>2232.9290000000001</v>
      </c>
      <c r="M33" s="13"/>
      <c r="N33" s="8"/>
      <c r="O33" s="8"/>
      <c r="P33" s="8"/>
      <c r="Q33" s="8"/>
      <c r="R33" s="8"/>
      <c r="S33" s="8"/>
      <c r="T33" s="8"/>
      <c r="U33" s="8"/>
      <c r="V33" s="8"/>
      <c r="W33" s="8"/>
      <c r="X33" s="8"/>
      <c r="Y33" s="8"/>
      <c r="Z33" s="8"/>
    </row>
    <row r="34" spans="1:26" ht="14.25" customHeight="1">
      <c r="A34" s="14" t="s">
        <v>42</v>
      </c>
      <c r="B34" s="26">
        <f t="shared" si="17"/>
        <v>2232.9290000000001</v>
      </c>
      <c r="C34" s="27">
        <v>1989.1010000000001</v>
      </c>
      <c r="D34" s="26">
        <f>(0.55383+0+12.611174+0.0008)*2.204622</f>
        <v>29.025621146088</v>
      </c>
      <c r="E34" s="26">
        <f t="shared" si="13"/>
        <v>4251.0556211460889</v>
      </c>
      <c r="F34" s="26"/>
      <c r="G34" s="26">
        <f t="shared" si="14"/>
        <v>1845.2466056534167</v>
      </c>
      <c r="H34" s="26">
        <v>631.84</v>
      </c>
      <c r="I34" s="27">
        <f t="shared" si="15"/>
        <v>1213.4066056534166</v>
      </c>
      <c r="J34" s="26">
        <f>(54.848471+0.2357+11.759032+0.380573)*2.204622</f>
        <v>148.20301549267199</v>
      </c>
      <c r="K34" s="26">
        <f t="shared" si="16"/>
        <v>1993.4496211460887</v>
      </c>
      <c r="L34" s="26">
        <f>1893.351+364.255</f>
        <v>2257.6060000000002</v>
      </c>
      <c r="M34" s="13"/>
      <c r="N34" s="8"/>
      <c r="O34" s="8"/>
      <c r="P34" s="8"/>
      <c r="Q34" s="8"/>
      <c r="R34" s="8"/>
      <c r="S34" s="8"/>
      <c r="T34" s="8"/>
      <c r="U34" s="8"/>
      <c r="V34" s="8"/>
      <c r="W34" s="8"/>
      <c r="X34" s="8"/>
      <c r="Y34" s="8"/>
      <c r="Z34" s="8"/>
    </row>
    <row r="35" spans="1:26" ht="14.25" customHeight="1">
      <c r="A35" s="14" t="s">
        <v>43</v>
      </c>
      <c r="B35" s="26">
        <f t="shared" si="17"/>
        <v>2257.6060000000002</v>
      </c>
      <c r="C35" s="27">
        <v>1915.9939999999999</v>
      </c>
      <c r="D35" s="26">
        <f>(0.55383087+0+15.169599+0)*2.204622</f>
        <v>34.664219406859139</v>
      </c>
      <c r="E35" s="26">
        <f t="shared" si="13"/>
        <v>4208.2642194068594</v>
      </c>
      <c r="F35" s="26"/>
      <c r="G35" s="26">
        <f t="shared" si="14"/>
        <v>1983.6632017077052</v>
      </c>
      <c r="H35" s="26">
        <v>659.05</v>
      </c>
      <c r="I35" s="27">
        <f t="shared" si="15"/>
        <v>1324.6132017077052</v>
      </c>
      <c r="J35" s="26">
        <f>(80.309787+0.081671+12.554494+0.373455)*2.204622</f>
        <v>205.73401769915404</v>
      </c>
      <c r="K35" s="26">
        <f t="shared" si="16"/>
        <v>2189.3972194068592</v>
      </c>
      <c r="L35" s="26">
        <f>1662.782+356.085</f>
        <v>2018.867</v>
      </c>
      <c r="M35" s="13"/>
      <c r="N35" s="8"/>
      <c r="O35" s="8"/>
      <c r="P35" s="8"/>
      <c r="Q35" s="8"/>
      <c r="R35" s="8"/>
      <c r="S35" s="8"/>
      <c r="T35" s="8"/>
      <c r="U35" s="8"/>
      <c r="V35" s="8"/>
      <c r="W35" s="8"/>
      <c r="X35" s="8"/>
      <c r="Y35" s="8"/>
      <c r="Z35" s="8"/>
    </row>
    <row r="36" spans="1:26" ht="14.25" customHeight="1">
      <c r="A36" s="14" t="s">
        <v>44</v>
      </c>
      <c r="B36" s="26">
        <f t="shared" si="17"/>
        <v>2018.867</v>
      </c>
      <c r="C36" s="27">
        <v>1811.481</v>
      </c>
      <c r="D36" s="26">
        <f>(0.478023+0+15.44509+0.0008)*2.204622</f>
        <v>35.106208925886001</v>
      </c>
      <c r="E36" s="26">
        <f t="shared" si="13"/>
        <v>3865.4542089258862</v>
      </c>
      <c r="F36" s="26"/>
      <c r="G36" s="26">
        <f t="shared" si="14"/>
        <v>1796.3307846767502</v>
      </c>
      <c r="H36" s="17" t="s">
        <v>49</v>
      </c>
      <c r="I36" s="17" t="s">
        <v>49</v>
      </c>
      <c r="J36" s="26">
        <f>(33.517763+0.113445+9.280684+0.357396)*2.204622</f>
        <v>95.392424249136013</v>
      </c>
      <c r="K36" s="26">
        <f t="shared" si="16"/>
        <v>1891.7232089258862</v>
      </c>
      <c r="L36" s="26">
        <f>1554.584+419.147</f>
        <v>1973.731</v>
      </c>
      <c r="M36" s="13"/>
      <c r="N36" s="8"/>
      <c r="O36" s="8"/>
      <c r="P36" s="8"/>
      <c r="Q36" s="8"/>
      <c r="R36" s="8"/>
      <c r="S36" s="8"/>
      <c r="T36" s="8"/>
      <c r="U36" s="8"/>
      <c r="V36" s="8"/>
      <c r="W36" s="8"/>
      <c r="X36" s="8"/>
      <c r="Y36" s="8"/>
      <c r="Z36" s="8"/>
    </row>
    <row r="37" spans="1:26" ht="14.25" customHeight="1">
      <c r="A37" s="18" t="s">
        <v>50</v>
      </c>
      <c r="B37" s="28"/>
      <c r="C37" s="29">
        <f>SUM(C28:C36)</f>
        <v>18156.475000000002</v>
      </c>
      <c r="D37" s="29">
        <f>SUM(D28:D35)</f>
        <v>268.28384160203512</v>
      </c>
      <c r="E37" s="29">
        <f>B28+C37+D37</f>
        <v>20420.192841602038</v>
      </c>
      <c r="F37" s="30"/>
      <c r="G37" s="29">
        <f t="shared" ref="G37:K37" si="18">SUM(G28:G35)</f>
        <v>15132.263748443957</v>
      </c>
      <c r="H37" s="29">
        <f t="shared" si="18"/>
        <v>5260.7100000000009</v>
      </c>
      <c r="I37" s="29">
        <f t="shared" si="18"/>
        <v>9871.5537484439574</v>
      </c>
      <c r="J37" s="29">
        <f t="shared" si="18"/>
        <v>1457.5810931580781</v>
      </c>
      <c r="K37" s="29">
        <f t="shared" si="18"/>
        <v>16589.844841602033</v>
      </c>
      <c r="L37" s="30"/>
      <c r="M37" s="13"/>
      <c r="N37" s="8"/>
      <c r="O37" s="8"/>
      <c r="P37" s="8"/>
      <c r="Q37" s="8"/>
      <c r="R37" s="8"/>
      <c r="S37" s="8"/>
      <c r="T37" s="8"/>
      <c r="U37" s="8"/>
      <c r="V37" s="8"/>
      <c r="W37" s="8"/>
      <c r="X37" s="8"/>
      <c r="Y37" s="8"/>
      <c r="Z37" s="8"/>
    </row>
    <row r="38" spans="1:26" ht="16.5" customHeight="1">
      <c r="A38" s="31" t="s">
        <v>51</v>
      </c>
      <c r="B38" s="11"/>
      <c r="C38" s="11"/>
      <c r="D38" s="11"/>
      <c r="E38" s="11"/>
      <c r="F38" s="11"/>
      <c r="G38" s="11"/>
      <c r="H38" s="11"/>
      <c r="I38" s="11"/>
      <c r="J38" s="11"/>
      <c r="K38" s="11"/>
      <c r="L38" s="11"/>
      <c r="M38" s="13"/>
      <c r="N38" s="8"/>
      <c r="O38" s="8"/>
      <c r="P38" s="8"/>
      <c r="Q38" s="8"/>
      <c r="R38" s="8"/>
      <c r="S38" s="8"/>
      <c r="T38" s="8"/>
      <c r="U38" s="8"/>
      <c r="V38" s="8"/>
      <c r="W38" s="8"/>
      <c r="X38" s="8"/>
      <c r="Y38" s="8"/>
      <c r="Z38" s="8"/>
    </row>
    <row r="39" spans="1:26" ht="14.25" customHeight="1">
      <c r="A39" s="14" t="s">
        <v>52</v>
      </c>
      <c r="B39" s="23"/>
      <c r="C39" s="23"/>
      <c r="D39" s="23"/>
      <c r="E39" s="23"/>
      <c r="F39" s="23"/>
      <c r="G39" s="23"/>
      <c r="H39" s="23"/>
      <c r="I39" s="23"/>
      <c r="J39" s="23"/>
      <c r="K39" s="23"/>
      <c r="L39" s="23"/>
      <c r="M39" s="13"/>
      <c r="N39" s="8"/>
      <c r="O39" s="8"/>
      <c r="P39" s="8"/>
      <c r="Q39" s="8"/>
      <c r="R39" s="8"/>
      <c r="S39" s="8"/>
      <c r="T39" s="8"/>
      <c r="U39" s="8"/>
      <c r="V39" s="8"/>
      <c r="W39" s="8"/>
      <c r="X39" s="8"/>
      <c r="Y39" s="8"/>
      <c r="Z39" s="8"/>
    </row>
    <row r="40" spans="1:26" ht="14.25" customHeight="1">
      <c r="A40" s="32" t="s">
        <v>53</v>
      </c>
      <c r="B40" s="33">
        <f ca="1">NOW()</f>
        <v>43747.834772916663</v>
      </c>
      <c r="C40" s="34"/>
      <c r="D40" s="34"/>
      <c r="E40" s="34"/>
      <c r="F40" s="34"/>
      <c r="G40" s="34"/>
      <c r="H40" s="34"/>
      <c r="I40" s="34"/>
      <c r="J40" s="34"/>
      <c r="K40" s="34"/>
      <c r="L40" s="34"/>
      <c r="M40" s="35"/>
      <c r="N40" s="8"/>
      <c r="O40" s="8"/>
      <c r="P40" s="8"/>
      <c r="Q40" s="8"/>
      <c r="R40" s="8"/>
      <c r="S40" s="8"/>
      <c r="T40" s="8"/>
      <c r="U40" s="8"/>
      <c r="V40" s="8"/>
      <c r="W40" s="8"/>
      <c r="X40" s="8"/>
      <c r="Y40" s="8"/>
      <c r="Z40" s="8"/>
    </row>
    <row r="41" spans="1:26" ht="12.75" customHeight="1">
      <c r="A41" s="8"/>
      <c r="B41" s="8"/>
      <c r="C41" s="8"/>
      <c r="D41" s="8"/>
      <c r="E41" s="8"/>
      <c r="F41" s="8"/>
      <c r="G41" s="8"/>
      <c r="H41" s="8"/>
      <c r="I41" s="8"/>
      <c r="J41" s="8"/>
      <c r="K41" s="8"/>
      <c r="L41" s="8"/>
      <c r="M41" s="8"/>
      <c r="N41" s="8"/>
      <c r="O41" s="8"/>
      <c r="P41" s="8"/>
      <c r="Q41" s="8"/>
      <c r="R41" s="8"/>
      <c r="S41" s="8"/>
      <c r="T41" s="8"/>
      <c r="U41" s="8"/>
      <c r="V41" s="8"/>
      <c r="W41" s="8"/>
      <c r="X41" s="8"/>
      <c r="Y41" s="8"/>
      <c r="Z41" s="8"/>
    </row>
    <row r="42" spans="1:26" ht="12.75" customHeight="1">
      <c r="A42" s="8"/>
      <c r="B42" s="8"/>
      <c r="C42" s="8"/>
      <c r="D42" s="8"/>
      <c r="E42" s="8"/>
      <c r="F42" s="8"/>
      <c r="G42" s="8"/>
      <c r="H42" s="8"/>
      <c r="I42" s="8"/>
      <c r="J42" s="8"/>
      <c r="K42" s="8"/>
      <c r="L42" s="8"/>
      <c r="M42" s="8"/>
      <c r="N42" s="8"/>
      <c r="O42" s="8"/>
      <c r="P42" s="8"/>
      <c r="Q42" s="8"/>
      <c r="R42" s="8"/>
      <c r="S42" s="8"/>
      <c r="T42" s="8"/>
      <c r="U42" s="8"/>
      <c r="V42" s="8"/>
      <c r="W42" s="8"/>
      <c r="X42" s="8"/>
      <c r="Y42" s="8"/>
      <c r="Z42" s="8"/>
    </row>
    <row r="43" spans="1:26" ht="12.75" customHeight="1">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ht="12.75" customHeight="1">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ht="12.75" customHeight="1">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ht="12.75" customHeight="1">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ht="12.75" customHeight="1">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2.75" customHeight="1">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2.75" customHeight="1">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2.75" customHeight="1">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2.75" customHeight="1">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2.75" customHeight="1">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2.75" customHeight="1">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2.75" customHeight="1">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2.75" customHeight="1">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2.75" customHeight="1">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2.75" customHeight="1">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2.75" customHeight="1">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2.75" customHeight="1">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2.75" customHeight="1">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2.75" customHeight="1">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2.75" customHeight="1">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2.75" customHeight="1">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2.75" customHeight="1">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2.75" customHeight="1">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2.75" customHeight="1">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2.75" customHeight="1">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2.75" customHeight="1">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2.75" customHeight="1">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2.75" customHeight="1">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2.75" customHeight="1">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2.75" customHeight="1">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2.75" customHeight="1">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2.75" customHeight="1">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2.75" customHeight="1">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2.75" customHeight="1">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2.75" customHeight="1">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2.75" customHeight="1">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2.75" customHeight="1">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2.75" customHeight="1">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2.75" customHeight="1">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2.75" customHeight="1">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2.75" customHeight="1">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2.75" customHeight="1">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2.75" customHeight="1">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2.75" customHeight="1">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2.75" customHeight="1">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2.75" customHeight="1">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2.75" customHeight="1">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2.75" customHeight="1">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2.75" customHeight="1">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2.75" customHeight="1">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2.75" customHeight="1">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2.75" customHeight="1">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2.75" customHeight="1">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2.75" customHeight="1">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2.75" customHeight="1">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2.75" customHeight="1">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2.75" customHeight="1">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2.7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2.7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2.7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2.7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2.7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2.7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2.7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2.7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2.7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2.7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2.7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2.7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2.7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2.7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2.7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2.7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2.7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2.7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2.7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2.7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2.7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2.7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2.7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2.7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2.7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2.7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2.7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2.7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2.7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2.7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2.7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2.7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2.7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2.7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2.7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2.7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2.7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2.7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2.7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2.7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2.7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2.7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2.7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2.7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2.7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2.7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2.7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2.7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2.7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2.7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2.7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2.7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2.7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2.7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2.7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2.7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2.7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2.7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2.7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2.7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2.7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2.7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2.7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2.7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2.7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2.7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2.7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2.7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2.7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2.7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2.7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2.7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2.7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2.7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2.7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2.7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2.7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2.7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2.7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2.7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2.7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2.7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2.7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2.7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2.7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2.7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2.7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2.7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2.7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2.7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2.7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2.7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2.7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2.7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2.7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2.7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2.7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2.7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2.7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2.7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2.7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2.7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2.7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2.7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2.7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2.7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2.7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2.7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2.7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2.7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2.7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2.7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2.7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2.7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2.7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2.7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2.7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2.7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2.7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2.7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2.7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2.7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2.7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2.7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2.7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2.7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2.7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2.7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2.7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2.7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2.7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2.7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2.7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2.7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2.7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2.7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2.7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2.7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2.7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2.7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2.7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2.7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2.7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2.7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2.7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2.7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2.7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2.7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2.7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2.7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2.7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2.7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2.7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2.7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2.7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2.7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2.7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2.7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2.7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2.7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2.7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2.7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2.7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2.7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2.7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2.7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2.7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2.7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2.7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2.7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2.7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2.7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2.7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2.7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2.7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2.7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2.7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2.7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2.7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2.7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2.7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2.7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2.7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2.7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2.7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2.7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2.7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2.7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2.7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2.7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2.7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2.7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2.7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2.7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2.7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2.7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2.7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2.7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2.7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2.7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2.7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2.7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2.7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2.7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2.7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2.7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2.7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2.7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2.7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2.7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2.7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2.7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2.7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2.7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2.7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2.7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2.7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2.7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2.7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2.7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2.7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2.7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2.7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2.7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2.7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2.7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2.7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2.7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2.7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2.7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2.7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2.7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2.7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2.7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2.7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2.7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2.7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2.7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2.7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2.7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2.7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2.7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2.7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2.7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2.7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2.7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2.7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2.7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2.7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2.7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2.7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2.7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2.7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2.7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2.7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2.7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2.7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2.7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2.7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2.7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2.7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2.7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2.7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2.7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2.7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2.7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2.7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2.7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2.7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2.7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2.7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2.7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2.7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2.7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2.7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2.7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2.7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2.7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2.7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2.7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2.7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2.7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2.7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2.7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2.7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2.7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2.7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2.7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2.7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2.7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2.7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2.7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2.7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2.7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2.7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2.7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2.7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2.7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2.7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2.7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2.7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2.7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2.7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2.7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2.7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2.7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2.7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2.7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2.7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2.7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2.7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2.7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2.7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2.7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2.7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2.7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2.7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2.7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2.7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2.7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2.7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2.7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2.7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2.7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2.7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2.7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2.7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2.7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2.7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2.7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2.7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2.7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2.7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2.7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2.7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2.7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2.7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2.7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2.7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2.7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2.7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2.7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2.7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2.7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2.7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2.7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2.7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2.7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2.7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2.7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2.7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2.7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2.7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2.7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2.7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2.7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2.7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2.7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2.7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2.7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2.7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2.7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2.7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2.7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2.7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2.7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2.7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2.7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2.7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2.7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2.7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2.7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2.7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2.7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2.7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2.7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2.7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2.7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2.7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2.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2.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2.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2.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2.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2.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2.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2.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2.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2.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2.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2.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2.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2.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2.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2.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2.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2.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2.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2.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2.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2.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2.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2.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2.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2.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2.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2.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2.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2.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2.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2.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2.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2.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2.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2.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2.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2.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2.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2.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2.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2.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2.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2.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2.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2.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2.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2.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2.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2.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2.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2.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2.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2.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2.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2.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2.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2.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2.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2.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2.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2.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2.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2.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2.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2.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2.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2.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2.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2.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2.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2.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2.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2.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2.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2.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2.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2.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2.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2.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2.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2.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2.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2.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2.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2.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2.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2.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2.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2.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2.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2.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2.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2.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2.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2.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2.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2.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2.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2.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2.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2.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2.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2.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2.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2.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2.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2.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2.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2.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2.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2.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2.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2.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2.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2.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2.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2.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2.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2.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2.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2.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2.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2.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2.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2.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2.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2.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2.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2.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2.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2.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2.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2.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2.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2.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2.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2.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2.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2.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2.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2.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2.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2.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2.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2.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2.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2.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2.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2.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2.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2.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2.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2.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2.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2.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2.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2.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2.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2.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2.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2.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2.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2.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2.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2.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2.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2.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2.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2.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2.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2.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2.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2.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2.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2.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2.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2.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2.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2.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2.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2.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2.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2.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2.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2.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2.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2.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2.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2.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2.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2.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2.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2.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2.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2.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2.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2.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2.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2.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2.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2.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2.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2.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2.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2.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2.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2.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2.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2.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2.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2.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2.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2.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2.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2.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2.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2.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2.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2.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2.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2.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2.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2.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2.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2.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2.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2.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2.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2.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2.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2.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2.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2.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2.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2.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2.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2.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2.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2.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2.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2.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2.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2.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2.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2.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2.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2.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2.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2.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2.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2.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2.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2.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2.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2.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2.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2.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2.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2.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2.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2.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2.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2.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2.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2.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2.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2.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2.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2.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2.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2.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2.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2.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2.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2.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2.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2.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2.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2.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2.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2.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2.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2.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2.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2.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2.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2.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2.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2.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2.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2.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2.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2.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2.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2.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2.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2.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2.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2.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2.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2.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2.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2.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2.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2.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2.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2.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2.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2.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2.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2.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2.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2.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2.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2.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2.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2.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2.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2.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2.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2.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2.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2.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2.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2.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2.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2.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2.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2.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2.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2.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2.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2.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2.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2.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2.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2.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2.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2.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2.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2.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2.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2.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2.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2.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2.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2.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2.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2.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2.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2.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2.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2.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2.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2.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2.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2.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2.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2.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2.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2.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2.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2.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2.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2.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2.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2.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2.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2.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2.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2.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2.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2.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2.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2.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2.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2.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2.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2.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2.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2.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2.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2.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2.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2.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2.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2.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2.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2.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2.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2.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2.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2.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2.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2.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2.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2.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2.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2.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2.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2.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2.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2.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2.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2.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2.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2.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2.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2.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2.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2.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2.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2.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2.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2.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2.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2.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2.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2.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2.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2.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2.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2.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2.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2.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2.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2.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2.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2.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2.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2.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2.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2.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2.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2.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2.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2.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2.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2.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2.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2.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2.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2.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2.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2.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2.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2.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2.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2.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2.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2.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2.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2.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2.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2.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2.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2.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2.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2.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2.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2.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2.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2.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2.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2.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2.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2.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2.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2.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2.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2.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2.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2.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2.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2.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2.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2.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2.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2.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2.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2.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2.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2.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2.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2.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2.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2.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2.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2.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2.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2.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2.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2.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2.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2.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2.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2.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2.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2.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2.7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2.7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2.7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2.7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2.7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2.7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2.7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2.7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2.7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2.7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2.7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2.7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2.7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2.7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2.7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2.7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2.7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2.7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2.7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2.7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2.7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2.7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mergeCells count="3">
    <mergeCell ref="B5:L5"/>
    <mergeCell ref="G2:I2"/>
    <mergeCell ref="B2:E2"/>
  </mergeCells>
  <pageMargins left="0.75" right="0.75" top="1" bottom="1" header="0" footer="0"/>
  <pageSetup orientation="portrait"/>
  <headerFooter>
    <oddFooter>&amp;C000000&amp;P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Z1000"/>
  <sheetViews>
    <sheetView showGridLines="0" workbookViewId="0"/>
  </sheetViews>
  <sheetFormatPr defaultColWidth="14.44140625" defaultRowHeight="15" customHeight="1"/>
  <cols>
    <col min="1" max="3" width="11.6640625" customWidth="1"/>
    <col min="4" max="4" width="14.6640625" customWidth="1"/>
    <col min="5" max="5" width="12.44140625" customWidth="1"/>
    <col min="6" max="7" width="11.6640625" customWidth="1"/>
    <col min="8" max="26" width="8.88671875" customWidth="1"/>
  </cols>
  <sheetData>
    <row r="1" spans="1:26" ht="15" customHeight="1">
      <c r="A1" s="5" t="s">
        <v>69</v>
      </c>
      <c r="B1" s="6"/>
      <c r="C1" s="6"/>
      <c r="D1" s="6"/>
      <c r="E1" s="6"/>
      <c r="F1" s="6"/>
      <c r="G1" s="6"/>
      <c r="H1" s="36"/>
      <c r="I1" s="36"/>
      <c r="J1" s="36"/>
      <c r="K1" s="7"/>
      <c r="L1" s="8"/>
      <c r="M1" s="8"/>
      <c r="N1" s="8"/>
      <c r="O1" s="8"/>
      <c r="P1" s="8"/>
      <c r="Q1" s="8"/>
      <c r="R1" s="8"/>
      <c r="S1" s="8"/>
      <c r="T1" s="8"/>
      <c r="U1" s="8"/>
      <c r="V1" s="8"/>
      <c r="W1" s="8"/>
      <c r="X1" s="8"/>
      <c r="Y1" s="8"/>
      <c r="Z1" s="8"/>
    </row>
    <row r="2" spans="1:26" ht="15" customHeight="1">
      <c r="A2" s="64" t="s">
        <v>76</v>
      </c>
      <c r="B2" s="15" t="s">
        <v>77</v>
      </c>
      <c r="C2" s="15" t="s">
        <v>78</v>
      </c>
      <c r="D2" s="15" t="s">
        <v>79</v>
      </c>
      <c r="E2" s="15" t="s">
        <v>80</v>
      </c>
      <c r="F2" s="15" t="s">
        <v>81</v>
      </c>
      <c r="G2" s="15" t="s">
        <v>82</v>
      </c>
      <c r="H2" s="8"/>
      <c r="I2" s="8"/>
      <c r="J2" s="8"/>
      <c r="K2" s="13"/>
      <c r="L2" s="8"/>
      <c r="M2" s="8"/>
      <c r="N2" s="8"/>
      <c r="O2" s="8"/>
      <c r="P2" s="8"/>
      <c r="Q2" s="8"/>
      <c r="R2" s="8"/>
      <c r="S2" s="8"/>
      <c r="T2" s="8"/>
      <c r="U2" s="8"/>
      <c r="V2" s="8"/>
      <c r="W2" s="8"/>
      <c r="X2" s="8"/>
      <c r="Y2" s="8"/>
      <c r="Z2" s="8"/>
    </row>
    <row r="3" spans="1:26" ht="15" customHeight="1">
      <c r="A3" s="18" t="s">
        <v>83</v>
      </c>
      <c r="B3" s="20"/>
      <c r="C3" s="65"/>
      <c r="D3" s="65"/>
      <c r="E3" s="65"/>
      <c r="F3" s="65"/>
      <c r="G3" s="65"/>
      <c r="H3" s="8"/>
      <c r="I3" s="8"/>
      <c r="J3" s="8"/>
      <c r="K3" s="66"/>
      <c r="L3" s="8"/>
      <c r="M3" s="8"/>
      <c r="N3" s="8"/>
      <c r="O3" s="8"/>
      <c r="P3" s="8"/>
      <c r="Q3" s="8"/>
      <c r="R3" s="8"/>
      <c r="S3" s="8"/>
      <c r="T3" s="8"/>
      <c r="U3" s="8"/>
      <c r="V3" s="8"/>
      <c r="W3" s="8"/>
      <c r="X3" s="8"/>
      <c r="Y3" s="8"/>
      <c r="Z3" s="8"/>
    </row>
    <row r="4" spans="1:26" ht="14.25" customHeight="1">
      <c r="A4" s="67"/>
      <c r="B4" s="21" t="s">
        <v>84</v>
      </c>
      <c r="C4" s="21" t="s">
        <v>85</v>
      </c>
      <c r="D4" s="21" t="s">
        <v>86</v>
      </c>
      <c r="E4" s="21" t="s">
        <v>87</v>
      </c>
      <c r="F4" s="21" t="s">
        <v>88</v>
      </c>
      <c r="G4" s="21" t="s">
        <v>84</v>
      </c>
      <c r="H4" s="8"/>
      <c r="I4" s="68"/>
      <c r="J4" s="68"/>
      <c r="K4" s="66"/>
      <c r="L4" s="8"/>
      <c r="M4" s="8"/>
      <c r="N4" s="8"/>
      <c r="O4" s="8"/>
      <c r="P4" s="8"/>
      <c r="Q4" s="8"/>
      <c r="R4" s="8"/>
      <c r="S4" s="8"/>
      <c r="T4" s="8"/>
      <c r="U4" s="8"/>
      <c r="V4" s="8"/>
      <c r="W4" s="8"/>
      <c r="X4" s="8"/>
      <c r="Y4" s="8"/>
      <c r="Z4" s="8"/>
    </row>
    <row r="5" spans="1:26" ht="14.25" customHeight="1">
      <c r="A5" s="22"/>
      <c r="B5" s="23"/>
      <c r="C5" s="23"/>
      <c r="D5" s="16"/>
      <c r="E5" s="23"/>
      <c r="F5" s="23"/>
      <c r="G5" s="23"/>
      <c r="H5" s="8"/>
      <c r="I5" s="8"/>
      <c r="J5" s="8"/>
      <c r="K5" s="13"/>
      <c r="L5" s="8"/>
      <c r="M5" s="8"/>
      <c r="N5" s="8"/>
      <c r="O5" s="8"/>
      <c r="P5" s="8"/>
      <c r="Q5" s="8"/>
      <c r="R5" s="8"/>
      <c r="S5" s="8"/>
      <c r="T5" s="8"/>
      <c r="U5" s="8"/>
      <c r="V5" s="8"/>
      <c r="W5" s="8"/>
      <c r="X5" s="8"/>
      <c r="Y5" s="8"/>
      <c r="Z5" s="8"/>
    </row>
    <row r="6" spans="1:26" ht="14.25" customHeight="1">
      <c r="A6" s="14" t="s">
        <v>89</v>
      </c>
      <c r="B6" s="69">
        <v>9.59</v>
      </c>
      <c r="C6" s="69">
        <v>158</v>
      </c>
      <c r="D6" s="69">
        <v>15.1</v>
      </c>
      <c r="E6" s="69">
        <v>16.2</v>
      </c>
      <c r="F6" s="69">
        <v>21.7</v>
      </c>
      <c r="G6" s="69">
        <v>8.15</v>
      </c>
      <c r="H6" s="8"/>
      <c r="I6" s="58"/>
      <c r="J6" s="58"/>
      <c r="K6" s="70"/>
      <c r="L6" s="8"/>
      <c r="M6" s="8"/>
      <c r="N6" s="8"/>
      <c r="O6" s="8"/>
      <c r="P6" s="8"/>
      <c r="Q6" s="8"/>
      <c r="R6" s="8"/>
      <c r="S6" s="8"/>
      <c r="T6" s="8"/>
      <c r="U6" s="8"/>
      <c r="V6" s="8"/>
      <c r="W6" s="8"/>
      <c r="X6" s="8"/>
      <c r="Y6" s="8"/>
      <c r="Z6" s="8"/>
    </row>
    <row r="7" spans="1:26" ht="14.25" customHeight="1">
      <c r="A7" s="14" t="s">
        <v>90</v>
      </c>
      <c r="B7" s="69">
        <v>11.3</v>
      </c>
      <c r="C7" s="69">
        <v>161</v>
      </c>
      <c r="D7" s="69">
        <v>23.3</v>
      </c>
      <c r="E7" s="69">
        <v>19.3</v>
      </c>
      <c r="F7" s="69">
        <v>22.5</v>
      </c>
      <c r="G7" s="69">
        <v>12.2</v>
      </c>
      <c r="H7" s="8"/>
      <c r="I7" s="58"/>
      <c r="J7" s="58"/>
      <c r="K7" s="70"/>
      <c r="L7" s="8"/>
      <c r="M7" s="8"/>
      <c r="N7" s="8"/>
      <c r="O7" s="8"/>
      <c r="P7" s="8"/>
      <c r="Q7" s="8"/>
      <c r="R7" s="8"/>
      <c r="S7" s="8"/>
      <c r="T7" s="8"/>
      <c r="U7" s="8"/>
      <c r="V7" s="8"/>
      <c r="W7" s="8"/>
      <c r="X7" s="8"/>
      <c r="Y7" s="8"/>
      <c r="Z7" s="8"/>
    </row>
    <row r="8" spans="1:26" ht="14.25" customHeight="1">
      <c r="A8" s="14" t="s">
        <v>91</v>
      </c>
      <c r="B8" s="69">
        <v>12.5</v>
      </c>
      <c r="C8" s="69">
        <v>260</v>
      </c>
      <c r="D8" s="69">
        <v>29.1</v>
      </c>
      <c r="E8" s="69">
        <v>24</v>
      </c>
      <c r="F8" s="69">
        <v>31.8</v>
      </c>
      <c r="G8" s="69">
        <v>13.9</v>
      </c>
      <c r="H8" s="8"/>
      <c r="I8" s="58"/>
      <c r="J8" s="58"/>
      <c r="K8" s="70"/>
      <c r="L8" s="8"/>
      <c r="M8" s="8"/>
      <c r="N8" s="8"/>
      <c r="O8" s="8"/>
      <c r="P8" s="8"/>
      <c r="Q8" s="8"/>
      <c r="R8" s="8"/>
      <c r="S8" s="8"/>
      <c r="T8" s="8"/>
      <c r="U8" s="8"/>
      <c r="V8" s="8"/>
      <c r="W8" s="8"/>
      <c r="X8" s="8"/>
      <c r="Y8" s="8"/>
      <c r="Z8" s="8"/>
    </row>
    <row r="9" spans="1:26" ht="14.25" customHeight="1">
      <c r="A9" s="14" t="s">
        <v>92</v>
      </c>
      <c r="B9" s="69">
        <v>14.4</v>
      </c>
      <c r="C9" s="69">
        <v>252</v>
      </c>
      <c r="D9" s="69">
        <v>25.4</v>
      </c>
      <c r="E9" s="69">
        <v>26.5</v>
      </c>
      <c r="F9" s="69">
        <v>30.1</v>
      </c>
      <c r="G9" s="69">
        <v>13.8</v>
      </c>
      <c r="H9" s="8"/>
      <c r="I9" s="58"/>
      <c r="J9" s="58"/>
      <c r="K9" s="70"/>
      <c r="L9" s="8"/>
      <c r="M9" s="8"/>
      <c r="N9" s="8"/>
      <c r="O9" s="8"/>
      <c r="P9" s="8"/>
      <c r="Q9" s="8"/>
      <c r="R9" s="8"/>
      <c r="S9" s="8"/>
      <c r="T9" s="8"/>
      <c r="U9" s="8"/>
      <c r="V9" s="8"/>
      <c r="W9" s="8"/>
      <c r="X9" s="8"/>
      <c r="Y9" s="8"/>
      <c r="Z9" s="8"/>
    </row>
    <row r="10" spans="1:26" ht="14.25" customHeight="1">
      <c r="A10" s="14" t="s">
        <v>93</v>
      </c>
      <c r="B10" s="69">
        <v>13</v>
      </c>
      <c r="C10" s="69">
        <v>246</v>
      </c>
      <c r="D10" s="69">
        <v>21.4</v>
      </c>
      <c r="E10" s="69">
        <v>20.6</v>
      </c>
      <c r="F10" s="69">
        <v>24.9</v>
      </c>
      <c r="G10" s="69">
        <v>13.8</v>
      </c>
      <c r="H10" s="8"/>
      <c r="I10" s="58"/>
      <c r="J10" s="58"/>
      <c r="K10" s="70"/>
      <c r="L10" s="8"/>
      <c r="M10" s="8"/>
      <c r="N10" s="8"/>
      <c r="O10" s="8"/>
      <c r="P10" s="8"/>
      <c r="Q10" s="8"/>
      <c r="R10" s="8"/>
      <c r="S10" s="8"/>
      <c r="T10" s="8"/>
      <c r="U10" s="8"/>
      <c r="V10" s="8"/>
      <c r="W10" s="8"/>
      <c r="X10" s="8"/>
      <c r="Y10" s="8"/>
      <c r="Z10" s="8"/>
    </row>
    <row r="11" spans="1:26" ht="14.25" customHeight="1">
      <c r="A11" s="14" t="s">
        <v>94</v>
      </c>
      <c r="B11" s="69">
        <v>10.1</v>
      </c>
      <c r="C11" s="69">
        <v>194</v>
      </c>
      <c r="D11" s="69">
        <v>21.7</v>
      </c>
      <c r="E11" s="69">
        <v>16.899999999999999</v>
      </c>
      <c r="F11" s="69">
        <v>22</v>
      </c>
      <c r="G11" s="69">
        <v>11.8</v>
      </c>
      <c r="H11" s="8"/>
      <c r="I11" s="58"/>
      <c r="J11" s="58"/>
      <c r="K11" s="70"/>
      <c r="L11" s="8"/>
      <c r="M11" s="8"/>
      <c r="N11" s="8"/>
      <c r="O11" s="8"/>
      <c r="P11" s="8"/>
      <c r="Q11" s="8"/>
      <c r="R11" s="8"/>
      <c r="S11" s="8"/>
      <c r="T11" s="8"/>
      <c r="U11" s="8"/>
      <c r="V11" s="8"/>
      <c r="W11" s="8"/>
      <c r="X11" s="8"/>
      <c r="Y11" s="8"/>
      <c r="Z11" s="8"/>
    </row>
    <row r="12" spans="1:26" ht="14.25" customHeight="1">
      <c r="A12" s="14" t="s">
        <v>95</v>
      </c>
      <c r="B12" s="69">
        <v>8.9499999999999993</v>
      </c>
      <c r="C12" s="69">
        <v>227</v>
      </c>
      <c r="D12" s="69">
        <v>19.600000000000001</v>
      </c>
      <c r="E12" s="69">
        <v>15.6</v>
      </c>
      <c r="F12" s="69">
        <v>19.3</v>
      </c>
      <c r="G12" s="69">
        <v>8.9499999999999993</v>
      </c>
      <c r="H12" s="8"/>
      <c r="I12" s="58"/>
      <c r="J12" s="58"/>
      <c r="K12" s="70"/>
      <c r="L12" s="8"/>
      <c r="M12" s="8"/>
      <c r="N12" s="8"/>
      <c r="O12" s="8"/>
      <c r="P12" s="8"/>
      <c r="Q12" s="8"/>
      <c r="R12" s="8"/>
      <c r="S12" s="8"/>
      <c r="T12" s="8"/>
      <c r="U12" s="8"/>
      <c r="V12" s="8"/>
      <c r="W12" s="8"/>
      <c r="X12" s="8"/>
      <c r="Y12" s="8"/>
      <c r="Z12" s="8"/>
    </row>
    <row r="13" spans="1:26" ht="14.25" customHeight="1">
      <c r="A13" s="14" t="s">
        <v>96</v>
      </c>
      <c r="B13" s="69">
        <v>9.4700000000000006</v>
      </c>
      <c r="C13" s="69">
        <v>195</v>
      </c>
      <c r="D13" s="69">
        <v>17.399999999999999</v>
      </c>
      <c r="E13" s="69">
        <v>16.600000000000001</v>
      </c>
      <c r="F13" s="69">
        <v>19.7</v>
      </c>
      <c r="G13" s="69">
        <v>8</v>
      </c>
      <c r="H13" s="8"/>
      <c r="I13" s="58"/>
      <c r="J13" s="58"/>
      <c r="K13" s="70"/>
      <c r="L13" s="8"/>
      <c r="M13" s="8"/>
      <c r="N13" s="8"/>
      <c r="O13" s="8"/>
      <c r="P13" s="8"/>
      <c r="Q13" s="8"/>
      <c r="R13" s="8"/>
      <c r="S13" s="8"/>
      <c r="T13" s="8"/>
      <c r="U13" s="8"/>
      <c r="V13" s="8"/>
      <c r="W13" s="8"/>
      <c r="X13" s="8"/>
      <c r="Y13" s="8"/>
      <c r="Z13" s="8"/>
    </row>
    <row r="14" spans="1:26" ht="14.25" customHeight="1">
      <c r="A14" s="14" t="s">
        <v>35</v>
      </c>
      <c r="B14" s="69">
        <v>9.33</v>
      </c>
      <c r="C14" s="69">
        <v>142</v>
      </c>
      <c r="D14" s="69">
        <v>17.2</v>
      </c>
      <c r="E14" s="69">
        <v>17.5</v>
      </c>
      <c r="F14" s="69">
        <v>22.9</v>
      </c>
      <c r="G14" s="69">
        <v>9.5299999999999994</v>
      </c>
      <c r="H14" s="8"/>
      <c r="I14" s="58"/>
      <c r="J14" s="58"/>
      <c r="K14" s="70"/>
      <c r="L14" s="8"/>
      <c r="M14" s="8"/>
      <c r="N14" s="8"/>
      <c r="O14" s="8"/>
      <c r="P14" s="8"/>
      <c r="Q14" s="8"/>
      <c r="R14" s="8"/>
      <c r="S14" s="8"/>
      <c r="T14" s="8"/>
      <c r="U14" s="8"/>
      <c r="V14" s="8"/>
      <c r="W14" s="8"/>
      <c r="X14" s="8"/>
      <c r="Y14" s="8"/>
      <c r="Z14" s="8"/>
    </row>
    <row r="15" spans="1:26" ht="14.25" customHeight="1">
      <c r="A15" s="14" t="s">
        <v>48</v>
      </c>
      <c r="B15" s="69">
        <v>8.5</v>
      </c>
      <c r="C15" s="69">
        <v>152</v>
      </c>
      <c r="D15" s="69">
        <v>17.2</v>
      </c>
      <c r="E15" s="69">
        <v>15.9</v>
      </c>
      <c r="F15" s="69">
        <v>21</v>
      </c>
      <c r="G15" s="69">
        <v>9.86</v>
      </c>
      <c r="H15" s="8"/>
      <c r="I15" s="71"/>
      <c r="J15" s="58"/>
      <c r="K15" s="70"/>
      <c r="L15" s="8"/>
      <c r="M15" s="8"/>
      <c r="N15" s="8"/>
      <c r="O15" s="8"/>
      <c r="P15" s="8"/>
      <c r="Q15" s="8"/>
      <c r="R15" s="8"/>
      <c r="S15" s="8"/>
      <c r="T15" s="8"/>
      <c r="U15" s="8"/>
      <c r="V15" s="8"/>
      <c r="W15" s="8"/>
      <c r="X15" s="8"/>
      <c r="Y15" s="8"/>
      <c r="Z15" s="8"/>
    </row>
    <row r="16" spans="1:26" ht="14.25" customHeight="1">
      <c r="A16" s="14" t="s">
        <v>97</v>
      </c>
      <c r="B16" s="69">
        <v>8.4</v>
      </c>
      <c r="C16" s="69">
        <v>155</v>
      </c>
      <c r="D16" s="69">
        <v>16.75</v>
      </c>
      <c r="E16" s="69">
        <v>15.35</v>
      </c>
      <c r="F16" s="69">
        <v>21</v>
      </c>
      <c r="G16" s="69">
        <v>9</v>
      </c>
      <c r="H16" s="8"/>
      <c r="I16" s="71"/>
      <c r="J16" s="58"/>
      <c r="K16" s="70"/>
      <c r="L16" s="8"/>
      <c r="M16" s="8"/>
      <c r="N16" s="8"/>
      <c r="O16" s="8"/>
      <c r="P16" s="8"/>
      <c r="Q16" s="8"/>
      <c r="R16" s="8"/>
      <c r="S16" s="8"/>
      <c r="T16" s="8"/>
      <c r="U16" s="8"/>
      <c r="V16" s="8"/>
      <c r="W16" s="8"/>
      <c r="X16" s="8"/>
      <c r="Y16" s="8"/>
      <c r="Z16" s="8"/>
    </row>
    <row r="17" spans="1:26" ht="14.25" customHeight="1">
      <c r="A17" s="22"/>
      <c r="B17" s="72"/>
      <c r="C17" s="73"/>
      <c r="D17" s="74"/>
      <c r="E17" s="74"/>
      <c r="F17" s="73"/>
      <c r="G17" s="73"/>
      <c r="H17" s="58"/>
      <c r="I17" s="71"/>
      <c r="J17" s="58"/>
      <c r="K17" s="70"/>
      <c r="L17" s="8"/>
      <c r="M17" s="8"/>
      <c r="N17" s="8"/>
      <c r="O17" s="8"/>
      <c r="P17" s="8"/>
      <c r="Q17" s="8"/>
      <c r="R17" s="8"/>
      <c r="S17" s="8"/>
      <c r="T17" s="8"/>
      <c r="U17" s="8"/>
      <c r="V17" s="8"/>
      <c r="W17" s="8"/>
      <c r="X17" s="8"/>
      <c r="Y17" s="8"/>
      <c r="Z17" s="8"/>
    </row>
    <row r="18" spans="1:26" ht="14.25" customHeight="1">
      <c r="A18" s="14" t="s">
        <v>35</v>
      </c>
      <c r="B18" s="69"/>
      <c r="C18" s="69"/>
      <c r="D18" s="69"/>
      <c r="E18" s="69"/>
      <c r="F18" s="69"/>
      <c r="G18" s="69"/>
      <c r="H18" s="8"/>
      <c r="I18" s="8"/>
      <c r="J18" s="8"/>
      <c r="K18" s="13"/>
      <c r="L18" s="8"/>
      <c r="M18" s="8"/>
      <c r="N18" s="8"/>
      <c r="O18" s="8"/>
      <c r="P18" s="8"/>
      <c r="Q18" s="8"/>
      <c r="R18" s="8"/>
      <c r="S18" s="8"/>
      <c r="T18" s="8"/>
      <c r="U18" s="8"/>
      <c r="V18" s="8"/>
      <c r="W18" s="8"/>
      <c r="X18" s="8"/>
      <c r="Y18" s="8"/>
      <c r="Z18" s="8"/>
    </row>
    <row r="19" spans="1:26" ht="14.25" customHeight="1">
      <c r="A19" s="14" t="s">
        <v>47</v>
      </c>
      <c r="B19" s="69">
        <v>9.35</v>
      </c>
      <c r="C19" s="69">
        <v>127</v>
      </c>
      <c r="D19" s="69">
        <v>17.399999999999999</v>
      </c>
      <c r="E19" s="69">
        <v>17.3</v>
      </c>
      <c r="F19" s="69">
        <v>23</v>
      </c>
      <c r="G19" s="69">
        <v>9.5500000000000007</v>
      </c>
      <c r="H19" s="8"/>
      <c r="I19" s="8"/>
      <c r="J19" s="8"/>
      <c r="K19" s="13"/>
      <c r="L19" s="8"/>
      <c r="M19" s="8"/>
      <c r="N19" s="8"/>
      <c r="O19" s="8"/>
      <c r="P19" s="8"/>
      <c r="Q19" s="8"/>
      <c r="R19" s="8"/>
      <c r="S19" s="8"/>
      <c r="T19" s="8"/>
      <c r="U19" s="8"/>
      <c r="V19" s="8"/>
      <c r="W19" s="8"/>
      <c r="X19" s="8"/>
      <c r="Y19" s="8"/>
      <c r="Z19" s="8"/>
    </row>
    <row r="20" spans="1:26" ht="14.25" customHeight="1">
      <c r="A20" s="14" t="s">
        <v>36</v>
      </c>
      <c r="B20" s="69">
        <v>9.18</v>
      </c>
      <c r="C20" s="69">
        <v>141</v>
      </c>
      <c r="D20" s="69">
        <v>16.8</v>
      </c>
      <c r="E20" s="69">
        <v>16.600000000000001</v>
      </c>
      <c r="F20" s="69">
        <v>23.2</v>
      </c>
      <c r="G20" s="69">
        <v>9.23</v>
      </c>
      <c r="H20" s="8"/>
      <c r="I20" s="8"/>
      <c r="J20" s="8"/>
      <c r="K20" s="13"/>
      <c r="L20" s="8"/>
      <c r="M20" s="8"/>
      <c r="N20" s="8"/>
      <c r="O20" s="8"/>
      <c r="P20" s="8"/>
      <c r="Q20" s="8"/>
      <c r="R20" s="8"/>
      <c r="S20" s="8"/>
      <c r="T20" s="8"/>
      <c r="U20" s="8"/>
      <c r="V20" s="8"/>
      <c r="W20" s="8"/>
      <c r="X20" s="8"/>
      <c r="Y20" s="8"/>
      <c r="Z20" s="8"/>
    </row>
    <row r="21" spans="1:26" ht="14.25" customHeight="1">
      <c r="A21" s="14" t="s">
        <v>37</v>
      </c>
      <c r="B21" s="69">
        <v>9.2200000000000006</v>
      </c>
      <c r="C21" s="69">
        <v>144</v>
      </c>
      <c r="D21" s="69">
        <v>16.600000000000001</v>
      </c>
      <c r="E21" s="69">
        <v>17.2</v>
      </c>
      <c r="F21" s="69">
        <v>22.7</v>
      </c>
      <c r="G21" s="69">
        <v>9.2100000000000009</v>
      </c>
      <c r="H21" s="8"/>
      <c r="I21" s="8"/>
      <c r="J21" s="8"/>
      <c r="K21" s="13"/>
      <c r="L21" s="8"/>
      <c r="M21" s="8"/>
      <c r="N21" s="8"/>
      <c r="O21" s="8"/>
      <c r="P21" s="8"/>
      <c r="Q21" s="8"/>
      <c r="R21" s="8"/>
      <c r="S21" s="8"/>
      <c r="T21" s="8"/>
      <c r="U21" s="8"/>
      <c r="V21" s="8"/>
      <c r="W21" s="8"/>
      <c r="X21" s="8"/>
      <c r="Y21" s="8"/>
      <c r="Z21" s="8"/>
    </row>
    <row r="22" spans="1:26" ht="14.25" customHeight="1">
      <c r="A22" s="14" t="s">
        <v>38</v>
      </c>
      <c r="B22" s="69">
        <v>9.3000000000000007</v>
      </c>
      <c r="C22" s="69">
        <v>143</v>
      </c>
      <c r="D22" s="69">
        <v>17</v>
      </c>
      <c r="E22" s="69">
        <v>16.7</v>
      </c>
      <c r="F22" s="69">
        <v>23</v>
      </c>
      <c r="G22" s="69">
        <v>9.34</v>
      </c>
      <c r="H22" s="8"/>
      <c r="I22" s="8"/>
      <c r="J22" s="8"/>
      <c r="K22" s="13"/>
      <c r="L22" s="8"/>
      <c r="M22" s="8"/>
      <c r="N22" s="8"/>
      <c r="O22" s="8"/>
      <c r="P22" s="8"/>
      <c r="Q22" s="8"/>
      <c r="R22" s="8"/>
      <c r="S22" s="8"/>
      <c r="T22" s="8"/>
      <c r="U22" s="8"/>
      <c r="V22" s="8"/>
      <c r="W22" s="8"/>
      <c r="X22" s="8"/>
      <c r="Y22" s="8"/>
      <c r="Z22" s="8"/>
    </row>
    <row r="23" spans="1:26" ht="14.25" customHeight="1">
      <c r="A23" s="14" t="s">
        <v>39</v>
      </c>
      <c r="B23" s="69">
        <v>9.3000000000000007</v>
      </c>
      <c r="C23" s="69">
        <v>139</v>
      </c>
      <c r="D23" s="69">
        <v>17.600000000000001</v>
      </c>
      <c r="E23" s="69">
        <v>17.7</v>
      </c>
      <c r="F23" s="69">
        <v>22.9</v>
      </c>
      <c r="G23" s="69">
        <v>9.39</v>
      </c>
      <c r="H23" s="8"/>
      <c r="I23" s="8"/>
      <c r="J23" s="8"/>
      <c r="K23" s="13"/>
      <c r="L23" s="8"/>
      <c r="M23" s="8"/>
      <c r="N23" s="8"/>
      <c r="O23" s="8"/>
      <c r="P23" s="8"/>
      <c r="Q23" s="8"/>
      <c r="R23" s="8"/>
      <c r="S23" s="8"/>
      <c r="T23" s="8"/>
      <c r="U23" s="8"/>
      <c r="V23" s="8"/>
      <c r="W23" s="8"/>
      <c r="X23" s="8"/>
      <c r="Y23" s="8"/>
      <c r="Z23" s="8"/>
    </row>
    <row r="24" spans="1:26" ht="14.25" customHeight="1">
      <c r="A24" s="14" t="s">
        <v>40</v>
      </c>
      <c r="B24" s="69">
        <v>9.5</v>
      </c>
      <c r="C24" s="69">
        <v>156</v>
      </c>
      <c r="D24" s="69">
        <v>17.7</v>
      </c>
      <c r="E24" s="69">
        <v>18.3</v>
      </c>
      <c r="F24" s="69">
        <v>22.7</v>
      </c>
      <c r="G24" s="69">
        <v>9.81</v>
      </c>
      <c r="H24" s="8"/>
      <c r="I24" s="8"/>
      <c r="J24" s="8"/>
      <c r="K24" s="13"/>
      <c r="L24" s="8"/>
      <c r="M24" s="8"/>
      <c r="N24" s="8"/>
      <c r="O24" s="8"/>
      <c r="P24" s="8"/>
      <c r="Q24" s="8"/>
      <c r="R24" s="8"/>
      <c r="S24" s="8"/>
      <c r="T24" s="8"/>
      <c r="U24" s="8"/>
      <c r="V24" s="8"/>
      <c r="W24" s="8"/>
      <c r="X24" s="8"/>
      <c r="Y24" s="8"/>
      <c r="Z24" s="8"/>
    </row>
    <row r="25" spans="1:26" ht="14.25" customHeight="1">
      <c r="A25" s="14" t="s">
        <v>41</v>
      </c>
      <c r="B25" s="69">
        <v>9.81</v>
      </c>
      <c r="C25" s="75" t="s">
        <v>49</v>
      </c>
      <c r="D25" s="69">
        <v>17.3</v>
      </c>
      <c r="E25" s="69">
        <v>18.2</v>
      </c>
      <c r="F25" s="69">
        <v>24.4</v>
      </c>
      <c r="G25" s="69">
        <v>9.76</v>
      </c>
      <c r="H25" s="8"/>
      <c r="I25" s="8"/>
      <c r="J25" s="8"/>
      <c r="K25" s="13"/>
      <c r="L25" s="8"/>
      <c r="M25" s="8"/>
      <c r="N25" s="8"/>
      <c r="O25" s="8"/>
      <c r="P25" s="8"/>
      <c r="Q25" s="8"/>
      <c r="R25" s="8"/>
      <c r="S25" s="8"/>
      <c r="T25" s="8"/>
      <c r="U25" s="8"/>
      <c r="V25" s="8"/>
      <c r="W25" s="8"/>
      <c r="X25" s="8"/>
      <c r="Y25" s="8"/>
      <c r="Z25" s="8"/>
    </row>
    <row r="26" spans="1:26" ht="14.25" customHeight="1">
      <c r="A26" s="14" t="s">
        <v>42</v>
      </c>
      <c r="B26" s="69">
        <v>9.85</v>
      </c>
      <c r="C26" s="75" t="s">
        <v>49</v>
      </c>
      <c r="D26" s="69">
        <v>18</v>
      </c>
      <c r="E26" s="69">
        <v>17.5</v>
      </c>
      <c r="F26" s="69">
        <v>23.3</v>
      </c>
      <c r="G26" s="69">
        <v>9.92</v>
      </c>
      <c r="H26" s="8"/>
      <c r="I26" s="8"/>
      <c r="J26" s="8"/>
      <c r="K26" s="13"/>
      <c r="L26" s="8"/>
      <c r="M26" s="8"/>
      <c r="N26" s="8"/>
      <c r="O26" s="8"/>
      <c r="P26" s="8"/>
      <c r="Q26" s="8"/>
      <c r="R26" s="8"/>
      <c r="S26" s="8"/>
      <c r="T26" s="8"/>
      <c r="U26" s="8"/>
      <c r="V26" s="8"/>
      <c r="W26" s="8"/>
      <c r="X26" s="8"/>
      <c r="Y26" s="8"/>
      <c r="Z26" s="8"/>
    </row>
    <row r="27" spans="1:26" ht="14.25" customHeight="1">
      <c r="A27" s="14" t="s">
        <v>43</v>
      </c>
      <c r="B27" s="69">
        <v>9.84</v>
      </c>
      <c r="C27" s="75" t="s">
        <v>49</v>
      </c>
      <c r="D27" s="69">
        <v>17.899999999999999</v>
      </c>
      <c r="E27" s="69">
        <v>18.5</v>
      </c>
      <c r="F27" s="69">
        <v>22.7</v>
      </c>
      <c r="G27" s="69">
        <v>10.1</v>
      </c>
      <c r="H27" s="8"/>
      <c r="I27" s="8"/>
      <c r="J27" s="8"/>
      <c r="K27" s="13"/>
      <c r="L27" s="8"/>
      <c r="M27" s="8"/>
      <c r="N27" s="8"/>
      <c r="O27" s="8"/>
      <c r="P27" s="8"/>
      <c r="Q27" s="8"/>
      <c r="R27" s="8"/>
      <c r="S27" s="8"/>
      <c r="T27" s="8"/>
      <c r="U27" s="8"/>
      <c r="V27" s="8"/>
      <c r="W27" s="8"/>
      <c r="X27" s="8"/>
      <c r="Y27" s="8"/>
      <c r="Z27" s="8"/>
    </row>
    <row r="28" spans="1:26" ht="14.25" customHeight="1">
      <c r="A28" s="14" t="s">
        <v>44</v>
      </c>
      <c r="B28" s="69">
        <v>9.5500000000000007</v>
      </c>
      <c r="C28" s="75" t="s">
        <v>49</v>
      </c>
      <c r="D28" s="69">
        <v>17.7</v>
      </c>
      <c r="E28" s="69">
        <v>17.2</v>
      </c>
      <c r="F28" s="69">
        <v>22.7</v>
      </c>
      <c r="G28" s="69">
        <v>9.98</v>
      </c>
      <c r="H28" s="8"/>
      <c r="I28" s="8"/>
      <c r="J28" s="8"/>
      <c r="K28" s="13"/>
      <c r="L28" s="8"/>
      <c r="M28" s="8"/>
      <c r="N28" s="8"/>
      <c r="O28" s="8"/>
      <c r="P28" s="8"/>
      <c r="Q28" s="8"/>
      <c r="R28" s="8"/>
      <c r="S28" s="8"/>
      <c r="T28" s="8"/>
      <c r="U28" s="8"/>
      <c r="V28" s="8"/>
      <c r="W28" s="8"/>
      <c r="X28" s="8"/>
      <c r="Y28" s="8"/>
      <c r="Z28" s="8"/>
    </row>
    <row r="29" spans="1:26" ht="14.25" customHeight="1">
      <c r="A29" s="14" t="s">
        <v>45</v>
      </c>
      <c r="B29" s="69">
        <v>9.08</v>
      </c>
      <c r="C29" s="75" t="s">
        <v>49</v>
      </c>
      <c r="D29" s="69">
        <v>17.399999999999999</v>
      </c>
      <c r="E29" s="69">
        <v>17.100000000000001</v>
      </c>
      <c r="F29" s="69">
        <v>22.4</v>
      </c>
      <c r="G29" s="69">
        <v>9.9600000000000009</v>
      </c>
      <c r="H29" s="8"/>
      <c r="I29" s="8"/>
      <c r="J29" s="8"/>
      <c r="K29" s="13"/>
      <c r="L29" s="8"/>
      <c r="M29" s="8"/>
      <c r="N29" s="8"/>
      <c r="O29" s="8"/>
      <c r="P29" s="8"/>
      <c r="Q29" s="8"/>
      <c r="R29" s="8"/>
      <c r="S29" s="8"/>
      <c r="T29" s="8"/>
      <c r="U29" s="8"/>
      <c r="V29" s="8"/>
      <c r="W29" s="8"/>
      <c r="X29" s="8"/>
      <c r="Y29" s="8"/>
      <c r="Z29" s="8"/>
    </row>
    <row r="30" spans="1:26" ht="14.25" customHeight="1">
      <c r="A30" s="14" t="s">
        <v>46</v>
      </c>
      <c r="B30" s="69">
        <v>8.59</v>
      </c>
      <c r="C30" s="69">
        <v>134</v>
      </c>
      <c r="D30" s="69">
        <v>16.899999999999999</v>
      </c>
      <c r="E30" s="69">
        <v>15.3</v>
      </c>
      <c r="F30" s="69">
        <v>22</v>
      </c>
      <c r="G30" s="69">
        <v>10.199999999999999</v>
      </c>
      <c r="H30" s="8"/>
      <c r="I30" s="8"/>
      <c r="J30" s="8"/>
      <c r="K30" s="13"/>
      <c r="L30" s="8"/>
      <c r="M30" s="8"/>
      <c r="N30" s="8"/>
      <c r="O30" s="8"/>
      <c r="P30" s="8"/>
      <c r="Q30" s="8"/>
      <c r="R30" s="8"/>
      <c r="S30" s="8"/>
      <c r="T30" s="8"/>
      <c r="U30" s="8"/>
      <c r="V30" s="8"/>
      <c r="W30" s="8"/>
      <c r="X30" s="8"/>
      <c r="Y30" s="8"/>
      <c r="Z30" s="8"/>
    </row>
    <row r="31" spans="1:26" ht="14.25" customHeight="1">
      <c r="A31" s="22"/>
      <c r="B31" s="69"/>
      <c r="C31" s="69"/>
      <c r="D31" s="69"/>
      <c r="E31" s="69"/>
      <c r="F31" s="69"/>
      <c r="G31" s="69"/>
      <c r="H31" s="8"/>
      <c r="I31" s="8"/>
      <c r="J31" s="8"/>
      <c r="K31" s="13"/>
      <c r="L31" s="8"/>
      <c r="M31" s="8"/>
      <c r="N31" s="8"/>
      <c r="O31" s="8"/>
      <c r="P31" s="8"/>
      <c r="Q31" s="8"/>
      <c r="R31" s="8"/>
      <c r="S31" s="8"/>
      <c r="T31" s="8"/>
      <c r="U31" s="8"/>
      <c r="V31" s="8"/>
      <c r="W31" s="8"/>
      <c r="X31" s="8"/>
      <c r="Y31" s="8"/>
      <c r="Z31" s="8"/>
    </row>
    <row r="32" spans="1:26" ht="14.25" customHeight="1">
      <c r="A32" s="14" t="s">
        <v>48</v>
      </c>
      <c r="B32" s="69"/>
      <c r="C32" s="69"/>
      <c r="D32" s="69"/>
      <c r="E32" s="69"/>
      <c r="F32" s="69"/>
      <c r="G32" s="69"/>
      <c r="H32" s="8"/>
      <c r="I32" s="8"/>
      <c r="J32" s="8"/>
      <c r="K32" s="13"/>
      <c r="L32" s="8"/>
      <c r="M32" s="8"/>
      <c r="N32" s="8"/>
      <c r="O32" s="8"/>
      <c r="P32" s="8"/>
      <c r="Q32" s="8"/>
      <c r="R32" s="8"/>
      <c r="S32" s="8"/>
      <c r="T32" s="8"/>
      <c r="U32" s="8"/>
      <c r="V32" s="8"/>
      <c r="W32" s="8"/>
      <c r="X32" s="8"/>
      <c r="Y32" s="8"/>
      <c r="Z32" s="8"/>
    </row>
    <row r="33" spans="1:26" ht="14.25" customHeight="1">
      <c r="A33" s="14" t="s">
        <v>47</v>
      </c>
      <c r="B33" s="69">
        <v>8.77</v>
      </c>
      <c r="C33" s="69">
        <v>141</v>
      </c>
      <c r="D33" s="69">
        <v>16.7</v>
      </c>
      <c r="E33" s="69">
        <v>15.2</v>
      </c>
      <c r="F33" s="69">
        <v>22.2</v>
      </c>
      <c r="G33" s="69">
        <v>9.7899999999999991</v>
      </c>
      <c r="H33" s="8"/>
      <c r="I33" s="8"/>
      <c r="J33" s="8"/>
      <c r="K33" s="13"/>
      <c r="L33" s="8"/>
      <c r="M33" s="8"/>
      <c r="N33" s="8"/>
      <c r="O33" s="8"/>
      <c r="P33" s="8"/>
      <c r="Q33" s="8"/>
      <c r="R33" s="8"/>
      <c r="S33" s="8"/>
      <c r="T33" s="8"/>
      <c r="U33" s="8"/>
      <c r="V33" s="8"/>
      <c r="W33" s="8"/>
      <c r="X33" s="8"/>
      <c r="Y33" s="8"/>
      <c r="Z33" s="8"/>
    </row>
    <row r="34" spans="1:26" ht="14.25" customHeight="1">
      <c r="A34" s="14" t="s">
        <v>36</v>
      </c>
      <c r="B34" s="69">
        <v>8.58</v>
      </c>
      <c r="C34" s="69">
        <v>146</v>
      </c>
      <c r="D34" s="69">
        <v>16.7</v>
      </c>
      <c r="E34" s="69">
        <v>15.6</v>
      </c>
      <c r="F34" s="69">
        <v>22.103000000000002</v>
      </c>
      <c r="G34" s="69">
        <v>9.7899999999999991</v>
      </c>
      <c r="H34" s="8"/>
      <c r="I34" s="8"/>
      <c r="J34" s="8"/>
      <c r="K34" s="13"/>
      <c r="L34" s="8"/>
      <c r="M34" s="8"/>
      <c r="N34" s="8"/>
      <c r="O34" s="8"/>
      <c r="P34" s="8"/>
      <c r="Q34" s="8"/>
      <c r="R34" s="8"/>
      <c r="S34" s="8"/>
      <c r="T34" s="8"/>
      <c r="U34" s="8"/>
      <c r="V34" s="8"/>
      <c r="W34" s="8"/>
      <c r="X34" s="8"/>
      <c r="Y34" s="8"/>
      <c r="Z34" s="8"/>
    </row>
    <row r="35" spans="1:26" ht="14.25" customHeight="1">
      <c r="A35" s="14" t="s">
        <v>37</v>
      </c>
      <c r="B35" s="69">
        <v>8.3699999999999992</v>
      </c>
      <c r="C35" s="69">
        <v>152</v>
      </c>
      <c r="D35" s="69">
        <v>17</v>
      </c>
      <c r="E35" s="69">
        <v>16</v>
      </c>
      <c r="F35" s="69">
        <v>21.2</v>
      </c>
      <c r="G35" s="69">
        <v>9.76</v>
      </c>
      <c r="H35" s="8"/>
      <c r="I35" s="8"/>
      <c r="J35" s="8"/>
      <c r="K35" s="13"/>
      <c r="L35" s="8"/>
      <c r="M35" s="8"/>
      <c r="N35" s="8"/>
      <c r="O35" s="8"/>
      <c r="P35" s="8"/>
      <c r="Q35" s="8"/>
      <c r="R35" s="8"/>
      <c r="S35" s="8"/>
      <c r="T35" s="8"/>
      <c r="U35" s="8"/>
      <c r="V35" s="8"/>
      <c r="W35" s="8"/>
      <c r="X35" s="8"/>
      <c r="Y35" s="8"/>
      <c r="Z35" s="8"/>
    </row>
    <row r="36" spans="1:26" ht="14.25" customHeight="1">
      <c r="A36" s="14" t="s">
        <v>38</v>
      </c>
      <c r="B36" s="69">
        <v>8.57</v>
      </c>
      <c r="C36" s="69">
        <v>163</v>
      </c>
      <c r="D36" s="69">
        <v>16.399999999999999</v>
      </c>
      <c r="E36" s="69">
        <v>16.3</v>
      </c>
      <c r="F36" s="69">
        <v>17.8</v>
      </c>
      <c r="G36" s="69">
        <v>9.66</v>
      </c>
      <c r="H36" s="8"/>
      <c r="I36" s="8"/>
      <c r="J36" s="8"/>
      <c r="K36" s="13"/>
      <c r="L36" s="8"/>
      <c r="M36" s="8"/>
      <c r="N36" s="8"/>
      <c r="O36" s="8"/>
      <c r="P36" s="8"/>
      <c r="Q36" s="8"/>
      <c r="R36" s="8"/>
      <c r="S36" s="8"/>
      <c r="T36" s="8"/>
      <c r="U36" s="8"/>
      <c r="V36" s="8"/>
      <c r="W36" s="8"/>
      <c r="X36" s="8"/>
      <c r="Y36" s="8"/>
      <c r="Z36" s="8"/>
    </row>
    <row r="37" spans="1:26" ht="14.25" customHeight="1">
      <c r="A37" s="14" t="s">
        <v>39</v>
      </c>
      <c r="B37" s="69">
        <v>8.6300000000000008</v>
      </c>
      <c r="C37" s="69">
        <v>165</v>
      </c>
      <c r="D37" s="69">
        <v>17.399999999999999</v>
      </c>
      <c r="E37" s="69">
        <v>16.7</v>
      </c>
      <c r="F37" s="69">
        <v>22.2</v>
      </c>
      <c r="G37" s="69">
        <v>9.75</v>
      </c>
      <c r="H37" s="8"/>
      <c r="I37" s="8"/>
      <c r="J37" s="8"/>
      <c r="K37" s="13"/>
      <c r="L37" s="8"/>
      <c r="M37" s="8"/>
      <c r="N37" s="8"/>
      <c r="O37" s="8"/>
      <c r="P37" s="8"/>
      <c r="Q37" s="8"/>
      <c r="R37" s="8"/>
      <c r="S37" s="8"/>
      <c r="T37" s="8"/>
      <c r="U37" s="8"/>
      <c r="V37" s="8"/>
      <c r="W37" s="8"/>
      <c r="X37" s="8"/>
      <c r="Y37" s="8"/>
      <c r="Z37" s="8"/>
    </row>
    <row r="38" spans="1:26" ht="14.25" customHeight="1">
      <c r="A38" s="14" t="s">
        <v>40</v>
      </c>
      <c r="B38" s="69">
        <v>8.52</v>
      </c>
      <c r="C38" s="69">
        <v>174</v>
      </c>
      <c r="D38" s="69">
        <v>18</v>
      </c>
      <c r="E38" s="69">
        <v>16.2</v>
      </c>
      <c r="F38" s="69">
        <v>21.5</v>
      </c>
      <c r="G38" s="69">
        <v>9.7899999999999991</v>
      </c>
      <c r="H38" s="8"/>
      <c r="I38" s="8"/>
      <c r="J38" s="8"/>
      <c r="K38" s="13"/>
      <c r="L38" s="8"/>
      <c r="M38" s="8"/>
      <c r="N38" s="8"/>
      <c r="O38" s="8"/>
      <c r="P38" s="8"/>
      <c r="Q38" s="8"/>
      <c r="R38" s="8"/>
      <c r="S38" s="8"/>
      <c r="T38" s="8"/>
      <c r="U38" s="8"/>
      <c r="V38" s="8"/>
      <c r="W38" s="8"/>
      <c r="X38" s="8"/>
      <c r="Y38" s="8"/>
      <c r="Z38" s="8"/>
    </row>
    <row r="39" spans="1:26" ht="14.25" customHeight="1">
      <c r="A39" s="14" t="s">
        <v>41</v>
      </c>
      <c r="B39" s="69">
        <v>8.52</v>
      </c>
      <c r="C39" s="75" t="s">
        <v>49</v>
      </c>
      <c r="D39" s="69">
        <v>17.8</v>
      </c>
      <c r="E39" s="69">
        <v>15.8</v>
      </c>
      <c r="F39" s="69">
        <v>16</v>
      </c>
      <c r="G39" s="69">
        <v>10.1</v>
      </c>
      <c r="H39" s="8"/>
      <c r="I39" s="8"/>
      <c r="J39" s="8"/>
      <c r="K39" s="13"/>
      <c r="L39" s="8"/>
      <c r="M39" s="8"/>
      <c r="N39" s="8"/>
      <c r="O39" s="8"/>
      <c r="P39" s="8"/>
      <c r="Q39" s="8"/>
      <c r="R39" s="8"/>
      <c r="S39" s="8"/>
      <c r="T39" s="8"/>
      <c r="U39" s="8"/>
      <c r="V39" s="8"/>
      <c r="W39" s="8"/>
      <c r="X39" s="8"/>
      <c r="Y39" s="8"/>
      <c r="Z39" s="8"/>
    </row>
    <row r="40" spans="1:26" ht="14.25" customHeight="1">
      <c r="A40" s="14" t="s">
        <v>42</v>
      </c>
      <c r="B40" s="69">
        <v>8.2799999999999994</v>
      </c>
      <c r="C40" s="75" t="s">
        <v>49</v>
      </c>
      <c r="D40" s="69">
        <v>17.600000000000001</v>
      </c>
      <c r="E40" s="69">
        <v>15.8</v>
      </c>
      <c r="F40" s="69">
        <v>20.5</v>
      </c>
      <c r="G40" s="69">
        <v>9.93</v>
      </c>
      <c r="H40" s="8"/>
      <c r="I40" s="8"/>
      <c r="J40" s="8"/>
      <c r="K40" s="13"/>
      <c r="L40" s="8"/>
      <c r="M40" s="8"/>
      <c r="N40" s="8"/>
      <c r="O40" s="8"/>
      <c r="P40" s="8"/>
      <c r="Q40" s="8"/>
      <c r="R40" s="8"/>
      <c r="S40" s="8"/>
      <c r="T40" s="8"/>
      <c r="U40" s="8"/>
      <c r="V40" s="8"/>
      <c r="W40" s="8"/>
      <c r="X40" s="8"/>
      <c r="Y40" s="8"/>
      <c r="Z40" s="8"/>
    </row>
    <row r="41" spans="1:26" ht="14.25" customHeight="1">
      <c r="A41" s="14" t="s">
        <v>43</v>
      </c>
      <c r="B41" s="69">
        <v>8.02</v>
      </c>
      <c r="C41" s="75" t="s">
        <v>49</v>
      </c>
      <c r="D41" s="69">
        <v>18.3</v>
      </c>
      <c r="E41" s="69">
        <v>15.2</v>
      </c>
      <c r="F41" s="69">
        <v>20.6</v>
      </c>
      <c r="G41" s="69">
        <v>9.5399999999999991</v>
      </c>
      <c r="H41" s="8"/>
      <c r="I41" s="8"/>
      <c r="J41" s="8"/>
      <c r="K41" s="13"/>
      <c r="L41" s="8"/>
      <c r="M41" s="8"/>
      <c r="N41" s="8"/>
      <c r="O41" s="8"/>
      <c r="P41" s="8"/>
      <c r="Q41" s="8"/>
      <c r="R41" s="8"/>
      <c r="S41" s="8"/>
      <c r="T41" s="8"/>
      <c r="U41" s="8"/>
      <c r="V41" s="8"/>
      <c r="W41" s="8"/>
      <c r="X41" s="8"/>
      <c r="Y41" s="8"/>
      <c r="Z41" s="8"/>
    </row>
    <row r="42" spans="1:26" ht="14.25" customHeight="1">
      <c r="A42" s="18" t="s">
        <v>44</v>
      </c>
      <c r="B42" s="76">
        <v>8.31</v>
      </c>
      <c r="C42" s="39" t="s">
        <v>49</v>
      </c>
      <c r="D42" s="76">
        <v>17.899999999999999</v>
      </c>
      <c r="E42" s="76">
        <v>14.9</v>
      </c>
      <c r="F42" s="76">
        <v>21.7</v>
      </c>
      <c r="G42" s="76">
        <v>9.07</v>
      </c>
      <c r="H42" s="8"/>
      <c r="I42" s="8"/>
      <c r="J42" s="8"/>
      <c r="K42" s="13"/>
      <c r="L42" s="8"/>
      <c r="M42" s="8"/>
      <c r="N42" s="8"/>
      <c r="O42" s="8"/>
      <c r="P42" s="8"/>
      <c r="Q42" s="8"/>
      <c r="R42" s="8"/>
      <c r="S42" s="8"/>
      <c r="T42" s="8"/>
      <c r="U42" s="8"/>
      <c r="V42" s="8"/>
      <c r="W42" s="8"/>
      <c r="X42" s="8"/>
      <c r="Y42" s="8"/>
      <c r="Z42" s="8"/>
    </row>
    <row r="43" spans="1:26" ht="16.5" customHeight="1">
      <c r="A43" s="64" t="s">
        <v>98</v>
      </c>
      <c r="B43" s="11"/>
      <c r="C43" s="11"/>
      <c r="D43" s="11"/>
      <c r="E43" s="11"/>
      <c r="F43" s="11"/>
      <c r="G43" s="11"/>
      <c r="H43" s="8"/>
      <c r="I43" s="8"/>
      <c r="J43" s="8"/>
      <c r="K43" s="13"/>
      <c r="L43" s="8"/>
      <c r="M43" s="8"/>
      <c r="N43" s="8"/>
      <c r="O43" s="8"/>
      <c r="P43" s="8"/>
      <c r="Q43" s="8"/>
      <c r="R43" s="8"/>
      <c r="S43" s="8"/>
      <c r="T43" s="8"/>
      <c r="U43" s="8"/>
      <c r="V43" s="8"/>
      <c r="W43" s="8"/>
      <c r="X43" s="8"/>
      <c r="Y43" s="8"/>
      <c r="Z43" s="8"/>
    </row>
    <row r="44" spans="1:26" ht="14.25" customHeight="1">
      <c r="A44" s="14" t="s">
        <v>99</v>
      </c>
      <c r="B44" s="77"/>
      <c r="C44" s="78" t="s">
        <v>100</v>
      </c>
      <c r="D44" s="77"/>
      <c r="E44" s="77"/>
      <c r="F44" s="77"/>
      <c r="G44" s="77"/>
      <c r="H44" s="8"/>
      <c r="I44" s="8"/>
      <c r="J44" s="8"/>
      <c r="K44" s="13"/>
      <c r="L44" s="8"/>
      <c r="M44" s="8"/>
      <c r="N44" s="8"/>
      <c r="O44" s="8"/>
      <c r="P44" s="8"/>
      <c r="Q44" s="8"/>
      <c r="R44" s="8"/>
      <c r="S44" s="8"/>
      <c r="T44" s="8"/>
      <c r="U44" s="8"/>
      <c r="V44" s="8"/>
      <c r="W44" s="8"/>
      <c r="X44" s="8"/>
      <c r="Y44" s="8"/>
      <c r="Z44" s="8"/>
    </row>
    <row r="45" spans="1:26" ht="14.25" customHeight="1">
      <c r="A45" s="14" t="s">
        <v>101</v>
      </c>
      <c r="B45" s="23"/>
      <c r="C45" s="23"/>
      <c r="D45" s="23"/>
      <c r="E45" s="23"/>
      <c r="F45" s="23"/>
      <c r="G45" s="23"/>
      <c r="H45" s="8"/>
      <c r="I45" s="8"/>
      <c r="J45" s="8"/>
      <c r="K45" s="13"/>
      <c r="L45" s="8"/>
      <c r="M45" s="8"/>
      <c r="N45" s="8"/>
      <c r="O45" s="8"/>
      <c r="P45" s="8"/>
      <c r="Q45" s="8"/>
      <c r="R45" s="8"/>
      <c r="S45" s="8"/>
      <c r="T45" s="8"/>
      <c r="U45" s="8"/>
      <c r="V45" s="8"/>
      <c r="W45" s="8"/>
      <c r="X45" s="8"/>
      <c r="Y45" s="8"/>
      <c r="Z45" s="8"/>
    </row>
    <row r="46" spans="1:26" ht="14.25" customHeight="1">
      <c r="A46" s="32" t="s">
        <v>53</v>
      </c>
      <c r="B46" s="33">
        <f ca="1">NOW()</f>
        <v>43747.834772916663</v>
      </c>
      <c r="C46" s="34"/>
      <c r="D46" s="34"/>
      <c r="E46" s="34"/>
      <c r="F46" s="34"/>
      <c r="G46" s="34"/>
      <c r="H46" s="61"/>
      <c r="I46" s="61"/>
      <c r="J46" s="61"/>
      <c r="K46" s="35"/>
      <c r="L46" s="8"/>
      <c r="M46" s="8"/>
      <c r="N46" s="8"/>
      <c r="O46" s="8"/>
      <c r="P46" s="8"/>
      <c r="Q46" s="8"/>
      <c r="R46" s="8"/>
      <c r="S46" s="8"/>
      <c r="T46" s="8"/>
      <c r="U46" s="8"/>
      <c r="V46" s="8"/>
      <c r="W46" s="8"/>
      <c r="X46" s="8"/>
      <c r="Y46" s="8"/>
      <c r="Z46" s="8"/>
    </row>
    <row r="47" spans="1:26" ht="12.75" customHeight="1">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2.75" customHeight="1">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2.75" customHeight="1">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2.75" customHeight="1">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2.75" customHeight="1">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2.75" customHeight="1">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2.75" customHeight="1">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2.75" customHeight="1">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2.75" customHeight="1">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2.75" customHeight="1">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2.75" customHeight="1">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2.75" customHeight="1">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2.75" customHeight="1">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2.75" customHeight="1">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2.75" customHeight="1">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2.75" customHeight="1">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2.75" customHeight="1">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2.75" customHeight="1">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2.75" customHeight="1">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2.75" customHeight="1">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2.75" customHeight="1">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2.75" customHeight="1">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2.75" customHeight="1">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2.75" customHeight="1">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2.75" customHeight="1">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2.75" customHeight="1">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2.75" customHeight="1">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2.75" customHeight="1">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2.75" customHeight="1">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2.75" customHeight="1">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2.75" customHeight="1">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2.75" customHeight="1">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2.75" customHeight="1">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2.75" customHeight="1">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2.75" customHeight="1">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2.75" customHeight="1">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2.75" customHeight="1">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2.75" customHeight="1">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2.75" customHeight="1">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2.75" customHeight="1">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2.75" customHeight="1">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2.75" customHeight="1">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2.75" customHeight="1">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2.75" customHeight="1">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2.75" customHeight="1">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2.75" customHeight="1">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2.75" customHeight="1">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2.75" customHeight="1">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2.75" customHeight="1">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2.75" customHeight="1">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2.75" customHeight="1">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2.75" customHeight="1">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2.75" customHeight="1">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2.7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2.7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2.7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2.7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2.7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2.7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2.7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2.7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2.7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2.7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2.7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2.7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2.7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2.7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2.7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2.7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2.7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2.7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2.7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2.7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2.7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2.7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2.7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2.7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2.7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2.7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2.7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2.7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2.7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2.7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2.7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2.7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2.7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2.7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2.7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2.7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2.7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2.7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2.7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2.7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2.7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2.7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2.7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2.7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2.7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2.7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2.7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2.7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2.7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2.7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2.7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2.7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2.7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2.7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2.7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2.7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2.7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2.7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2.7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2.7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2.7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2.7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2.7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2.7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2.7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2.7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2.7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2.7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2.7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2.7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2.7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2.7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2.7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2.7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2.7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2.7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2.7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2.7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2.7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2.7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2.7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2.7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2.7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2.7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2.7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2.7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2.7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2.7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2.7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2.7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2.7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2.7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2.7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2.7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2.7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2.7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2.7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2.7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2.7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2.7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2.7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2.7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2.7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2.7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2.7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2.7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2.7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2.7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2.7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2.7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2.7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2.7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2.7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2.7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2.7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2.7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2.7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2.7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2.7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2.7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2.7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2.7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2.7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2.7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2.7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2.7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2.7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2.7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2.7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2.7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2.7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2.7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2.7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2.7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2.7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2.7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2.7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2.7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2.7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2.7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2.7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2.7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2.7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2.7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2.7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2.7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2.7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2.7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2.7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2.7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2.7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2.7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2.7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2.7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2.7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2.7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2.7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2.7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2.7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2.7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2.7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2.7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2.7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2.7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2.7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2.7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2.7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2.7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2.7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2.7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2.7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2.7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2.7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2.7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2.7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2.7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2.7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2.7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2.7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2.7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2.7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2.7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2.7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2.7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2.7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2.7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2.7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2.7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2.7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2.7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2.7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2.7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2.7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2.7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2.7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2.7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2.7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2.7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2.7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2.7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2.7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2.7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2.7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2.7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2.7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2.7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2.7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2.7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2.7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2.7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2.7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2.7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2.7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2.7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2.7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2.7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2.7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2.7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2.7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2.7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2.7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2.7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2.7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2.7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2.7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2.7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2.7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2.7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2.7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2.7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2.7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2.7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2.7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2.7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2.7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2.7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2.7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2.7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2.7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2.7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2.7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2.7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2.7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2.7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2.7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2.7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2.7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2.7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2.7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2.7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2.7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2.7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2.7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2.7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2.7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2.7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2.7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2.7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2.7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2.7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2.7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2.7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2.7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2.7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2.7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2.7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2.7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2.7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2.7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2.7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2.7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2.7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2.7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2.7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2.7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2.7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2.7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2.7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2.7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2.7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2.7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2.7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2.7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2.7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2.7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2.7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2.7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2.7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2.7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2.7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2.7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2.7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2.7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2.7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2.7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2.7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2.7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2.7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2.7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2.7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2.7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2.7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2.7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2.7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2.7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2.7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2.7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2.7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2.7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2.7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2.7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2.7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2.7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2.7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2.7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2.7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2.7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2.7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2.7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2.7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2.7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2.7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2.7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2.7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2.7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2.7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2.7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2.7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2.7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2.7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2.7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2.7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2.7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2.7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2.7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2.7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2.7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2.7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2.7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2.7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2.7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2.7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2.7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2.7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2.7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2.7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2.7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2.7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2.7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2.7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2.7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2.7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2.7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2.7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2.7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2.7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2.7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2.7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2.7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2.7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2.7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2.7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2.7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2.7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2.7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2.7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2.7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2.7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2.7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2.7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2.7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2.7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2.7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2.7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2.7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2.7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2.7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2.7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2.7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2.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2.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2.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2.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2.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2.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2.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2.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2.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2.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2.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2.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2.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2.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2.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2.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2.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2.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2.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2.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2.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2.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2.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2.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2.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2.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2.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2.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2.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2.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2.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2.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2.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2.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2.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2.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2.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2.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2.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2.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2.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2.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2.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2.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2.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2.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2.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2.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2.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2.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2.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2.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2.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2.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2.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2.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2.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2.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2.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2.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2.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2.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2.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2.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2.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2.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2.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2.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2.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2.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2.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2.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2.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2.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2.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2.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2.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2.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2.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2.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2.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2.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2.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2.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2.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2.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2.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2.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2.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2.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2.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2.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2.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2.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2.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2.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2.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2.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2.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2.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2.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2.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2.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2.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2.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2.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2.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2.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2.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2.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2.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2.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2.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2.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2.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2.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2.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2.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2.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2.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2.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2.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2.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2.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2.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2.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2.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2.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2.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2.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2.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2.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2.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2.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2.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2.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2.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2.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2.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2.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2.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2.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2.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2.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2.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2.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2.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2.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2.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2.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2.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2.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2.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2.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2.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2.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2.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2.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2.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2.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2.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2.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2.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2.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2.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2.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2.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2.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2.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2.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2.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2.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2.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2.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2.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2.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2.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2.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2.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2.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2.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2.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2.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2.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2.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2.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2.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2.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2.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2.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2.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2.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2.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2.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2.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2.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2.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2.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2.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2.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2.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2.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2.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2.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2.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2.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2.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2.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2.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2.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2.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2.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2.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2.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2.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2.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2.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2.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2.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2.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2.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2.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2.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2.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2.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2.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2.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2.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2.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2.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2.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2.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2.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2.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2.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2.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2.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2.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2.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2.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2.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2.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2.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2.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2.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2.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2.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2.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2.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2.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2.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2.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2.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2.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2.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2.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2.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2.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2.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2.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2.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2.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2.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2.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2.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2.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2.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2.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2.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2.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2.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2.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2.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2.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2.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2.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2.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2.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2.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2.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2.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2.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2.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2.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2.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2.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2.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2.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2.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2.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2.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2.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2.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2.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2.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2.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2.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2.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2.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2.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2.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2.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2.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2.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2.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2.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2.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2.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2.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2.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2.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2.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2.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2.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2.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2.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2.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2.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2.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2.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2.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2.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2.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2.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2.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2.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2.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2.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2.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2.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2.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2.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2.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2.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2.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2.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2.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2.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2.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2.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2.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2.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2.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2.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2.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2.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2.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2.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2.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2.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2.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2.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2.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2.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2.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2.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2.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2.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2.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2.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2.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2.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2.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2.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2.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2.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2.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2.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2.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2.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2.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2.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2.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2.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2.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2.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2.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2.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2.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2.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2.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2.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2.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2.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2.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2.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2.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2.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2.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2.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2.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2.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2.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2.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2.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2.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2.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2.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2.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2.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2.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2.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2.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2.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2.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2.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2.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2.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2.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2.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2.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2.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2.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2.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2.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2.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2.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2.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2.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2.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2.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2.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2.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2.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2.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2.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2.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2.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2.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2.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2.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2.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2.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2.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2.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2.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2.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2.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2.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2.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2.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2.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2.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2.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2.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2.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2.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2.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2.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2.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2.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2.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2.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2.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2.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2.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2.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2.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2.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2.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2.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2.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2.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2.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2.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2.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2.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2.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2.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2.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2.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2.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2.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2.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2.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2.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2.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2.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2.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2.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2.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2.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2.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2.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2.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2.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2.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2.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2.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2.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2.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2.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2.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2.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2.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2.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2.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2.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2.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2.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2.7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2.7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2.7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2.7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2.7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2.7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2.7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2.7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2.7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2.7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2.7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2.7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2.7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2.7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2.7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2.7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2.7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2.7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2.7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2.7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2.7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2.7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pageMargins left="0.75" right="0.75" top="1" bottom="1" header="0" footer="0"/>
  <pageSetup orientation="portrait"/>
  <headerFooter>
    <oddFooter>&amp;C000000&amp;P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Z1000"/>
  <sheetViews>
    <sheetView showGridLines="0" workbookViewId="0"/>
  </sheetViews>
  <sheetFormatPr defaultColWidth="14.44140625" defaultRowHeight="15" customHeight="1"/>
  <cols>
    <col min="1" max="2" width="11.6640625" customWidth="1"/>
    <col min="3" max="3" width="11.44140625" customWidth="1"/>
    <col min="4" max="4" width="13.6640625" customWidth="1"/>
    <col min="5" max="5" width="10.44140625" customWidth="1"/>
    <col min="6" max="7" width="10.6640625" customWidth="1"/>
    <col min="8" max="9" width="10.44140625" customWidth="1"/>
    <col min="10" max="26" width="8.88671875" customWidth="1"/>
  </cols>
  <sheetData>
    <row r="1" spans="1:26" ht="14.25" customHeight="1">
      <c r="A1" s="5" t="s">
        <v>70</v>
      </c>
      <c r="B1" s="6"/>
      <c r="C1" s="6"/>
      <c r="D1" s="6"/>
      <c r="E1" s="6"/>
      <c r="F1" s="6"/>
      <c r="G1" s="6"/>
      <c r="H1" s="6"/>
      <c r="I1" s="6"/>
      <c r="J1" s="36"/>
      <c r="K1" s="36"/>
      <c r="L1" s="36"/>
      <c r="M1" s="36"/>
      <c r="N1" s="36"/>
      <c r="O1" s="7"/>
      <c r="P1" s="8"/>
      <c r="Q1" s="8"/>
      <c r="R1" s="8"/>
      <c r="S1" s="8"/>
      <c r="T1" s="8"/>
      <c r="U1" s="8"/>
      <c r="V1" s="8"/>
      <c r="W1" s="8"/>
      <c r="X1" s="8"/>
      <c r="Y1" s="8"/>
      <c r="Z1" s="8"/>
    </row>
    <row r="2" spans="1:26" ht="15" customHeight="1">
      <c r="A2" s="79" t="s">
        <v>76</v>
      </c>
      <c r="B2" s="15" t="s">
        <v>102</v>
      </c>
      <c r="C2" s="15" t="s">
        <v>103</v>
      </c>
      <c r="D2" s="15" t="s">
        <v>104</v>
      </c>
      <c r="E2" s="80" t="s">
        <v>105</v>
      </c>
      <c r="F2" s="80" t="s">
        <v>106</v>
      </c>
      <c r="G2" s="15" t="s">
        <v>107</v>
      </c>
      <c r="H2" s="15" t="s">
        <v>108</v>
      </c>
      <c r="I2" s="15" t="s">
        <v>109</v>
      </c>
      <c r="J2" s="8"/>
      <c r="K2" s="8"/>
      <c r="L2" s="8"/>
      <c r="M2" s="8"/>
      <c r="N2" s="8"/>
      <c r="O2" s="13"/>
      <c r="P2" s="8"/>
      <c r="Q2" s="8"/>
      <c r="R2" s="8"/>
      <c r="S2" s="8"/>
      <c r="T2" s="8"/>
      <c r="U2" s="8"/>
      <c r="V2" s="8"/>
      <c r="W2" s="8"/>
      <c r="X2" s="8"/>
      <c r="Y2" s="8"/>
      <c r="Z2" s="8"/>
    </row>
    <row r="3" spans="1:26" ht="15" customHeight="1">
      <c r="A3" s="81" t="s">
        <v>83</v>
      </c>
      <c r="B3" s="19" t="s">
        <v>110</v>
      </c>
      <c r="C3" s="19" t="s">
        <v>111</v>
      </c>
      <c r="D3" s="19" t="s">
        <v>112</v>
      </c>
      <c r="E3" s="19" t="s">
        <v>113</v>
      </c>
      <c r="F3" s="19" t="s">
        <v>114</v>
      </c>
      <c r="G3" s="19" t="s">
        <v>115</v>
      </c>
      <c r="H3" s="82"/>
      <c r="I3" s="19" t="s">
        <v>116</v>
      </c>
      <c r="J3" s="8"/>
      <c r="K3" s="8"/>
      <c r="L3" s="8"/>
      <c r="M3" s="8"/>
      <c r="N3" s="8"/>
      <c r="O3" s="13"/>
      <c r="P3" s="8"/>
      <c r="Q3" s="8"/>
      <c r="R3" s="8"/>
      <c r="S3" s="8"/>
      <c r="T3" s="8"/>
      <c r="U3" s="8"/>
      <c r="V3" s="8"/>
      <c r="W3" s="8"/>
      <c r="X3" s="8"/>
      <c r="Y3" s="8"/>
      <c r="Z3" s="8"/>
    </row>
    <row r="4" spans="1:26" ht="14.25" customHeight="1">
      <c r="A4" s="9"/>
      <c r="B4" s="83" t="s">
        <v>117</v>
      </c>
      <c r="C4" s="84"/>
      <c r="D4" s="84"/>
      <c r="E4" s="84"/>
      <c r="F4" s="84"/>
      <c r="G4" s="84"/>
      <c r="H4" s="84"/>
      <c r="I4" s="84"/>
      <c r="J4" s="8"/>
      <c r="K4" s="8"/>
      <c r="L4" s="8"/>
      <c r="M4" s="8"/>
      <c r="N4" s="8"/>
      <c r="O4" s="13"/>
      <c r="P4" s="8"/>
      <c r="Q4" s="8"/>
      <c r="R4" s="8"/>
      <c r="S4" s="8"/>
      <c r="T4" s="8"/>
      <c r="U4" s="8"/>
      <c r="V4" s="8"/>
      <c r="W4" s="8"/>
      <c r="X4" s="8"/>
      <c r="Y4" s="8"/>
      <c r="Z4" s="8"/>
    </row>
    <row r="5" spans="1:26" ht="14.25" customHeight="1">
      <c r="A5" s="22"/>
      <c r="B5" s="23"/>
      <c r="C5" s="23"/>
      <c r="D5" s="23"/>
      <c r="E5" s="23"/>
      <c r="F5" s="23"/>
      <c r="G5" s="23"/>
      <c r="H5" s="23"/>
      <c r="I5" s="23"/>
      <c r="J5" s="8"/>
      <c r="K5" s="8"/>
      <c r="L5" s="8"/>
      <c r="M5" s="8"/>
      <c r="N5" s="8"/>
      <c r="O5" s="13"/>
      <c r="P5" s="8"/>
      <c r="Q5" s="8"/>
      <c r="R5" s="8"/>
      <c r="S5" s="8"/>
      <c r="T5" s="8"/>
      <c r="U5" s="8"/>
      <c r="V5" s="8"/>
      <c r="W5" s="8"/>
      <c r="X5" s="8"/>
      <c r="Y5" s="8"/>
      <c r="Z5" s="8"/>
    </row>
    <row r="6" spans="1:26" ht="14.25" customHeight="1">
      <c r="A6" s="14" t="s">
        <v>89</v>
      </c>
      <c r="B6" s="69">
        <v>35.950000000000003</v>
      </c>
      <c r="C6" s="69">
        <v>40.270000000000003</v>
      </c>
      <c r="D6" s="69">
        <v>52.8</v>
      </c>
      <c r="E6" s="69">
        <v>42.88</v>
      </c>
      <c r="F6" s="69">
        <v>59.62</v>
      </c>
      <c r="G6" s="69">
        <v>39.29</v>
      </c>
      <c r="H6" s="69">
        <v>31.99</v>
      </c>
      <c r="I6" s="69">
        <v>32.26</v>
      </c>
      <c r="J6" s="8"/>
      <c r="K6" s="8"/>
      <c r="L6" s="8"/>
      <c r="M6" s="8"/>
      <c r="N6" s="8"/>
      <c r="O6" s="13"/>
      <c r="P6" s="8"/>
      <c r="Q6" s="8"/>
      <c r="R6" s="8"/>
      <c r="S6" s="8"/>
      <c r="T6" s="8"/>
      <c r="U6" s="8"/>
      <c r="V6" s="8"/>
      <c r="W6" s="8"/>
      <c r="X6" s="8"/>
      <c r="Y6" s="8"/>
      <c r="Z6" s="8"/>
    </row>
    <row r="7" spans="1:26" ht="14.25" customHeight="1">
      <c r="A7" s="14" t="s">
        <v>90</v>
      </c>
      <c r="B7" s="69">
        <v>53.2</v>
      </c>
      <c r="C7" s="69">
        <v>54.5</v>
      </c>
      <c r="D7" s="69">
        <v>86.12</v>
      </c>
      <c r="E7" s="69">
        <v>58.68</v>
      </c>
      <c r="F7" s="69">
        <v>77.239999999999995</v>
      </c>
      <c r="G7" s="69">
        <v>60.76</v>
      </c>
      <c r="H7" s="69">
        <v>51.52</v>
      </c>
      <c r="I7" s="69">
        <v>51.34</v>
      </c>
      <c r="J7" s="8"/>
      <c r="K7" s="8"/>
      <c r="L7" s="8"/>
      <c r="M7" s="8"/>
      <c r="N7" s="8"/>
      <c r="O7" s="13"/>
      <c r="P7" s="8"/>
      <c r="Q7" s="8"/>
      <c r="R7" s="8"/>
      <c r="S7" s="8"/>
      <c r="T7" s="8"/>
      <c r="U7" s="8"/>
      <c r="V7" s="8"/>
      <c r="W7" s="8"/>
      <c r="X7" s="8"/>
      <c r="Y7" s="8"/>
      <c r="Z7" s="8"/>
    </row>
    <row r="8" spans="1:26" ht="14.25" customHeight="1">
      <c r="A8" s="14" t="s">
        <v>91</v>
      </c>
      <c r="B8" s="69">
        <v>51.9</v>
      </c>
      <c r="C8" s="69">
        <v>53.22</v>
      </c>
      <c r="D8" s="69">
        <v>83.2</v>
      </c>
      <c r="E8" s="69">
        <v>57.19</v>
      </c>
      <c r="F8" s="69">
        <v>100.15</v>
      </c>
      <c r="G8" s="69">
        <v>56.09</v>
      </c>
      <c r="H8" s="69">
        <v>48.11</v>
      </c>
      <c r="I8" s="69">
        <v>50.33</v>
      </c>
      <c r="J8" s="8"/>
      <c r="K8" s="8"/>
      <c r="L8" s="8"/>
      <c r="M8" s="8"/>
      <c r="N8" s="8"/>
      <c r="O8" s="13"/>
      <c r="P8" s="8"/>
      <c r="Q8" s="8"/>
      <c r="R8" s="8"/>
      <c r="S8" s="8"/>
      <c r="T8" s="8"/>
      <c r="U8" s="8"/>
      <c r="V8" s="8"/>
      <c r="W8" s="8"/>
      <c r="X8" s="8"/>
      <c r="Y8" s="8"/>
      <c r="Z8" s="8"/>
    </row>
    <row r="9" spans="1:26" ht="14.25" customHeight="1">
      <c r="A9" s="14" t="s">
        <v>92</v>
      </c>
      <c r="B9" s="69">
        <v>47.13</v>
      </c>
      <c r="C9" s="69">
        <v>48.6</v>
      </c>
      <c r="D9" s="69">
        <v>65.87</v>
      </c>
      <c r="E9" s="69">
        <v>56.17</v>
      </c>
      <c r="F9" s="69">
        <v>91.83</v>
      </c>
      <c r="G9" s="69">
        <v>46.66</v>
      </c>
      <c r="H9" s="69">
        <v>51.8</v>
      </c>
      <c r="I9" s="69">
        <v>43.24</v>
      </c>
      <c r="J9" s="8"/>
      <c r="K9" s="8"/>
      <c r="L9" s="8"/>
      <c r="M9" s="8"/>
      <c r="N9" s="8"/>
      <c r="O9" s="13"/>
      <c r="P9" s="8"/>
      <c r="Q9" s="8"/>
      <c r="R9" s="8"/>
      <c r="S9" s="8"/>
      <c r="T9" s="8"/>
      <c r="U9" s="8"/>
      <c r="V9" s="8"/>
      <c r="W9" s="8"/>
      <c r="X9" s="8"/>
      <c r="Y9" s="8"/>
      <c r="Z9" s="8"/>
    </row>
    <row r="10" spans="1:26" ht="14.25" customHeight="1">
      <c r="A10" s="14" t="s">
        <v>93</v>
      </c>
      <c r="B10" s="69">
        <v>38.229999999999997</v>
      </c>
      <c r="C10" s="69">
        <v>60.66</v>
      </c>
      <c r="D10" s="69">
        <v>59.12</v>
      </c>
      <c r="E10" s="69">
        <v>43.7</v>
      </c>
      <c r="F10" s="69">
        <v>68.23</v>
      </c>
      <c r="G10" s="69">
        <v>39.43</v>
      </c>
      <c r="H10" s="69">
        <v>43.93</v>
      </c>
      <c r="I10" s="69">
        <v>39.76</v>
      </c>
      <c r="J10" s="8"/>
      <c r="K10" s="8"/>
      <c r="L10" s="8"/>
      <c r="M10" s="8"/>
      <c r="N10" s="8"/>
      <c r="O10" s="13"/>
      <c r="P10" s="8"/>
      <c r="Q10" s="8"/>
      <c r="R10" s="8"/>
      <c r="S10" s="8"/>
      <c r="T10" s="8"/>
      <c r="U10" s="8"/>
      <c r="V10" s="8"/>
      <c r="W10" s="8"/>
      <c r="X10" s="8"/>
      <c r="Y10" s="8"/>
      <c r="Z10" s="8"/>
    </row>
    <row r="11" spans="1:26" ht="14.25" customHeight="1">
      <c r="A11" s="14" t="s">
        <v>94</v>
      </c>
      <c r="B11" s="69">
        <v>31.6</v>
      </c>
      <c r="C11" s="69">
        <v>45.74</v>
      </c>
      <c r="D11" s="69">
        <v>66.72</v>
      </c>
      <c r="E11" s="69">
        <v>37.81</v>
      </c>
      <c r="F11" s="69">
        <v>57.96</v>
      </c>
      <c r="G11" s="69">
        <v>37.479999999999997</v>
      </c>
      <c r="H11" s="69">
        <v>33.43</v>
      </c>
      <c r="I11" s="69">
        <v>31.36</v>
      </c>
      <c r="J11" s="8"/>
      <c r="K11" s="8"/>
      <c r="L11" s="8"/>
      <c r="M11" s="8"/>
      <c r="N11" s="8"/>
      <c r="O11" s="13"/>
      <c r="P11" s="8"/>
      <c r="Q11" s="8"/>
      <c r="R11" s="8"/>
      <c r="S11" s="8"/>
      <c r="T11" s="8"/>
      <c r="U11" s="8"/>
      <c r="V11" s="8"/>
      <c r="W11" s="8"/>
      <c r="X11" s="8"/>
      <c r="Y11" s="8"/>
      <c r="Z11" s="8"/>
    </row>
    <row r="12" spans="1:26" ht="14.25" customHeight="1">
      <c r="A12" s="14" t="s">
        <v>95</v>
      </c>
      <c r="B12" s="69">
        <v>29.86</v>
      </c>
      <c r="C12" s="69">
        <v>45.87</v>
      </c>
      <c r="D12" s="69">
        <v>57.81</v>
      </c>
      <c r="E12" s="69">
        <v>35.270000000000003</v>
      </c>
      <c r="F12" s="69">
        <v>58.26</v>
      </c>
      <c r="G12" s="69">
        <v>39.25</v>
      </c>
      <c r="H12" s="69">
        <v>32.229999999999997</v>
      </c>
      <c r="I12" s="69">
        <v>30.07</v>
      </c>
      <c r="J12" s="8"/>
      <c r="K12" s="8"/>
      <c r="L12" s="8"/>
      <c r="M12" s="8"/>
      <c r="N12" s="8"/>
      <c r="O12" s="13"/>
      <c r="P12" s="8"/>
      <c r="Q12" s="8"/>
      <c r="R12" s="8"/>
      <c r="S12" s="8"/>
      <c r="T12" s="8"/>
      <c r="U12" s="8"/>
      <c r="V12" s="8"/>
      <c r="W12" s="8"/>
      <c r="X12" s="8"/>
      <c r="Y12" s="8"/>
      <c r="Z12" s="8"/>
    </row>
    <row r="13" spans="1:26" ht="14.25" customHeight="1">
      <c r="A13" s="14" t="s">
        <v>96</v>
      </c>
      <c r="B13" s="69">
        <v>32.549999999999997</v>
      </c>
      <c r="C13" s="69">
        <v>40.92</v>
      </c>
      <c r="D13" s="69">
        <v>53.54</v>
      </c>
      <c r="E13" s="69">
        <v>38.729999999999997</v>
      </c>
      <c r="F13" s="69">
        <v>66.73</v>
      </c>
      <c r="G13" s="69">
        <v>37.43</v>
      </c>
      <c r="H13" s="69">
        <v>33.07</v>
      </c>
      <c r="I13" s="69">
        <v>34.75</v>
      </c>
      <c r="J13" s="8"/>
      <c r="K13" s="8"/>
      <c r="L13" s="8"/>
      <c r="M13" s="8"/>
      <c r="N13" s="8"/>
      <c r="O13" s="13"/>
      <c r="P13" s="8"/>
      <c r="Q13" s="8"/>
      <c r="R13" s="8"/>
      <c r="S13" s="8"/>
      <c r="T13" s="8"/>
      <c r="U13" s="8"/>
      <c r="V13" s="8"/>
      <c r="W13" s="8"/>
      <c r="X13" s="8"/>
      <c r="Y13" s="8"/>
      <c r="Z13" s="8"/>
    </row>
    <row r="14" spans="1:26" ht="14.25" customHeight="1">
      <c r="A14" s="14" t="s">
        <v>35</v>
      </c>
      <c r="B14" s="69">
        <v>30.04</v>
      </c>
      <c r="C14" s="69">
        <v>31.87</v>
      </c>
      <c r="D14" s="69">
        <v>54.57</v>
      </c>
      <c r="E14" s="69">
        <v>38.270000000000003</v>
      </c>
      <c r="F14" s="69">
        <v>66.72</v>
      </c>
      <c r="G14" s="69">
        <v>30.35</v>
      </c>
      <c r="H14" s="69">
        <v>34.159999999999997</v>
      </c>
      <c r="I14" s="69">
        <v>31.21</v>
      </c>
      <c r="J14" s="8"/>
      <c r="K14" s="8"/>
      <c r="L14" s="8"/>
      <c r="M14" s="8"/>
      <c r="N14" s="8"/>
      <c r="O14" s="13"/>
      <c r="P14" s="8"/>
      <c r="Q14" s="8"/>
      <c r="R14" s="8"/>
      <c r="S14" s="8"/>
      <c r="T14" s="8"/>
      <c r="U14" s="8"/>
      <c r="V14" s="8"/>
      <c r="W14" s="8"/>
      <c r="X14" s="8"/>
      <c r="Y14" s="8"/>
      <c r="Z14" s="8"/>
    </row>
    <row r="15" spans="1:26" ht="16.5" customHeight="1">
      <c r="A15" s="14" t="s">
        <v>118</v>
      </c>
      <c r="B15" s="69">
        <v>28</v>
      </c>
      <c r="C15" s="69">
        <v>36.5</v>
      </c>
      <c r="D15" s="69">
        <v>53</v>
      </c>
      <c r="E15" s="69">
        <v>36</v>
      </c>
      <c r="F15" s="69">
        <v>64.72</v>
      </c>
      <c r="G15" s="69">
        <v>26.75</v>
      </c>
      <c r="H15" s="69">
        <v>31.5</v>
      </c>
      <c r="I15" s="69">
        <v>33.25</v>
      </c>
      <c r="J15" s="8"/>
      <c r="K15" s="8"/>
      <c r="L15" s="8"/>
      <c r="M15" s="8"/>
      <c r="N15" s="8"/>
      <c r="O15" s="13"/>
      <c r="P15" s="8"/>
      <c r="Q15" s="8"/>
      <c r="R15" s="8"/>
      <c r="S15" s="8"/>
      <c r="T15" s="8"/>
      <c r="U15" s="8"/>
      <c r="V15" s="8"/>
      <c r="W15" s="8"/>
      <c r="X15" s="8"/>
      <c r="Y15" s="8"/>
      <c r="Z15" s="8"/>
    </row>
    <row r="16" spans="1:26" ht="16.5" customHeight="1">
      <c r="A16" s="14" t="s">
        <v>119</v>
      </c>
      <c r="B16" s="69">
        <v>29.5</v>
      </c>
      <c r="C16" s="69">
        <v>34</v>
      </c>
      <c r="D16" s="69">
        <v>54.5</v>
      </c>
      <c r="E16" s="69">
        <v>36.5</v>
      </c>
      <c r="F16" s="69">
        <v>66.5</v>
      </c>
      <c r="G16" s="69">
        <v>28.5</v>
      </c>
      <c r="H16" s="69">
        <v>33.5</v>
      </c>
      <c r="I16" s="69">
        <v>34.5</v>
      </c>
      <c r="J16" s="8"/>
      <c r="K16" s="8"/>
      <c r="L16" s="8"/>
      <c r="M16" s="8"/>
      <c r="N16" s="8"/>
      <c r="O16" s="13"/>
      <c r="P16" s="8"/>
      <c r="Q16" s="8"/>
      <c r="R16" s="8"/>
      <c r="S16" s="8"/>
      <c r="T16" s="8"/>
      <c r="U16" s="8"/>
      <c r="V16" s="8"/>
      <c r="W16" s="8"/>
      <c r="X16" s="8"/>
      <c r="Y16" s="8"/>
      <c r="Z16" s="8"/>
    </row>
    <row r="17" spans="1:26" ht="14.25" customHeight="1">
      <c r="A17" s="22"/>
      <c r="B17" s="56"/>
      <c r="C17" s="73"/>
      <c r="D17" s="77"/>
      <c r="E17" s="77"/>
      <c r="F17" s="77"/>
      <c r="G17" s="77"/>
      <c r="H17" s="23"/>
      <c r="I17" s="23"/>
      <c r="J17" s="8"/>
      <c r="K17" s="8"/>
      <c r="L17" s="8"/>
      <c r="M17" s="8"/>
      <c r="N17" s="8"/>
      <c r="O17" s="13"/>
      <c r="P17" s="8"/>
      <c r="Q17" s="8"/>
      <c r="R17" s="8"/>
      <c r="S17" s="8"/>
      <c r="T17" s="8"/>
      <c r="U17" s="8"/>
      <c r="V17" s="8"/>
      <c r="W17" s="8"/>
      <c r="X17" s="8"/>
      <c r="Y17" s="8"/>
      <c r="Z17" s="8"/>
    </row>
    <row r="18" spans="1:26" ht="14.25" customHeight="1">
      <c r="A18" s="14" t="s">
        <v>35</v>
      </c>
      <c r="B18" s="69"/>
      <c r="C18" s="69"/>
      <c r="D18" s="69"/>
      <c r="E18" s="69"/>
      <c r="F18" s="69"/>
      <c r="G18" s="69"/>
      <c r="H18" s="69"/>
      <c r="I18" s="69"/>
      <c r="J18" s="8"/>
      <c r="K18" s="8"/>
      <c r="L18" s="8"/>
      <c r="M18" s="8"/>
      <c r="N18" s="8"/>
      <c r="O18" s="13"/>
      <c r="P18" s="8"/>
      <c r="Q18" s="8"/>
      <c r="R18" s="8"/>
      <c r="S18" s="8"/>
      <c r="T18" s="8"/>
      <c r="U18" s="8"/>
      <c r="V18" s="8"/>
      <c r="W18" s="8"/>
      <c r="X18" s="8"/>
      <c r="Y18" s="8"/>
      <c r="Z18" s="8"/>
    </row>
    <row r="19" spans="1:26" ht="14.25" customHeight="1">
      <c r="A19" s="14" t="s">
        <v>36</v>
      </c>
      <c r="B19" s="69">
        <v>32.35</v>
      </c>
      <c r="C19" s="69">
        <v>37.06</v>
      </c>
      <c r="D19" s="69">
        <v>56</v>
      </c>
      <c r="E19" s="69">
        <v>39.06</v>
      </c>
      <c r="F19" s="69">
        <v>65.44</v>
      </c>
      <c r="G19" s="69">
        <v>34.96</v>
      </c>
      <c r="H19" s="69">
        <v>36</v>
      </c>
      <c r="I19" s="69">
        <v>32.06</v>
      </c>
      <c r="J19" s="8"/>
      <c r="K19" s="71"/>
      <c r="L19" s="71"/>
      <c r="M19" s="71"/>
      <c r="N19" s="71"/>
      <c r="O19" s="85"/>
      <c r="P19" s="8"/>
      <c r="Q19" s="8"/>
      <c r="R19" s="8"/>
      <c r="S19" s="8"/>
      <c r="T19" s="8"/>
      <c r="U19" s="8"/>
      <c r="V19" s="8"/>
      <c r="W19" s="8"/>
      <c r="X19" s="8"/>
      <c r="Y19" s="8"/>
      <c r="Z19" s="8"/>
    </row>
    <row r="20" spans="1:26" ht="14.25" customHeight="1">
      <c r="A20" s="14" t="s">
        <v>37</v>
      </c>
      <c r="B20" s="69">
        <v>33.43</v>
      </c>
      <c r="C20" s="69">
        <v>37</v>
      </c>
      <c r="D20" s="69">
        <v>55.5</v>
      </c>
      <c r="E20" s="69">
        <v>39.69</v>
      </c>
      <c r="F20" s="69">
        <v>65</v>
      </c>
      <c r="G20" s="69">
        <v>34.46</v>
      </c>
      <c r="H20" s="69">
        <v>38.17</v>
      </c>
      <c r="I20" s="69">
        <v>33.44</v>
      </c>
      <c r="J20" s="8"/>
      <c r="K20" s="71"/>
      <c r="L20" s="71"/>
      <c r="M20" s="71"/>
      <c r="N20" s="71"/>
      <c r="O20" s="85"/>
      <c r="P20" s="8"/>
      <c r="Q20" s="8"/>
      <c r="R20" s="8"/>
      <c r="S20" s="8"/>
      <c r="T20" s="8"/>
      <c r="U20" s="8"/>
      <c r="V20" s="8"/>
      <c r="W20" s="8"/>
      <c r="X20" s="8"/>
      <c r="Y20" s="8"/>
      <c r="Z20" s="8"/>
    </row>
    <row r="21" spans="1:26" ht="14.25" customHeight="1">
      <c r="A21" s="14" t="s">
        <v>38</v>
      </c>
      <c r="B21" s="69">
        <v>32.270000000000003</v>
      </c>
      <c r="C21" s="69">
        <v>34.25</v>
      </c>
      <c r="D21" s="69">
        <v>54.8</v>
      </c>
      <c r="E21" s="69">
        <v>38.65</v>
      </c>
      <c r="F21" s="69">
        <v>65.2</v>
      </c>
      <c r="G21" s="69">
        <v>33.96</v>
      </c>
      <c r="H21" s="69">
        <v>37</v>
      </c>
      <c r="I21" s="69">
        <v>31.63</v>
      </c>
      <c r="J21" s="8"/>
      <c r="K21" s="8"/>
      <c r="L21" s="8"/>
      <c r="M21" s="8"/>
      <c r="N21" s="8"/>
      <c r="O21" s="13"/>
      <c r="P21" s="8"/>
      <c r="Q21" s="8"/>
      <c r="R21" s="8"/>
      <c r="S21" s="8"/>
      <c r="T21" s="8"/>
      <c r="U21" s="8"/>
      <c r="V21" s="8"/>
      <c r="W21" s="8"/>
      <c r="X21" s="8"/>
      <c r="Y21" s="8"/>
      <c r="Z21" s="8"/>
    </row>
    <row r="22" spans="1:26" ht="14.25" customHeight="1">
      <c r="A22" s="14" t="s">
        <v>39</v>
      </c>
      <c r="B22" s="69">
        <v>31.61</v>
      </c>
      <c r="C22" s="69">
        <v>32.75</v>
      </c>
      <c r="D22" s="69">
        <v>55.5</v>
      </c>
      <c r="E22" s="69">
        <v>38.31</v>
      </c>
      <c r="F22" s="69">
        <v>66.13</v>
      </c>
      <c r="G22" s="69">
        <v>30.68</v>
      </c>
      <c r="H22" s="69">
        <v>32.08</v>
      </c>
      <c r="I22" s="75" t="s">
        <v>49</v>
      </c>
      <c r="J22" s="8"/>
      <c r="K22" s="8"/>
      <c r="L22" s="8"/>
      <c r="M22" s="8"/>
      <c r="N22" s="8"/>
      <c r="O22" s="13"/>
      <c r="P22" s="8"/>
      <c r="Q22" s="8"/>
      <c r="R22" s="8"/>
      <c r="S22" s="8"/>
      <c r="T22" s="8"/>
      <c r="U22" s="8"/>
      <c r="V22" s="8"/>
      <c r="W22" s="8"/>
      <c r="X22" s="8"/>
      <c r="Y22" s="8"/>
      <c r="Z22" s="8"/>
    </row>
    <row r="23" spans="1:26" ht="14.25" customHeight="1">
      <c r="A23" s="14" t="s">
        <v>40</v>
      </c>
      <c r="B23" s="69">
        <v>30.63</v>
      </c>
      <c r="C23" s="69">
        <v>31.44</v>
      </c>
      <c r="D23" s="69">
        <v>55</v>
      </c>
      <c r="E23" s="69">
        <v>37.44</v>
      </c>
      <c r="F23" s="69">
        <v>66.63</v>
      </c>
      <c r="G23" s="69">
        <v>29.72</v>
      </c>
      <c r="H23" s="69">
        <v>32.200000000000003</v>
      </c>
      <c r="I23" s="69">
        <v>31</v>
      </c>
      <c r="J23" s="8"/>
      <c r="K23" s="8"/>
      <c r="L23" s="8"/>
      <c r="M23" s="8"/>
      <c r="N23" s="8"/>
      <c r="O23" s="13"/>
      <c r="P23" s="8"/>
      <c r="Q23" s="8"/>
      <c r="R23" s="8"/>
      <c r="S23" s="8"/>
      <c r="T23" s="8"/>
      <c r="U23" s="8"/>
      <c r="V23" s="8"/>
      <c r="W23" s="8"/>
      <c r="X23" s="8"/>
      <c r="Y23" s="8"/>
      <c r="Z23" s="8"/>
    </row>
    <row r="24" spans="1:26" ht="14.25" customHeight="1">
      <c r="A24" s="14" t="s">
        <v>41</v>
      </c>
      <c r="B24" s="69">
        <v>30.28</v>
      </c>
      <c r="C24" s="69">
        <v>31.35</v>
      </c>
      <c r="D24" s="69">
        <v>54</v>
      </c>
      <c r="E24" s="69">
        <v>37.1</v>
      </c>
      <c r="F24" s="69">
        <v>67</v>
      </c>
      <c r="G24" s="69">
        <v>29.66</v>
      </c>
      <c r="H24" s="75" t="s">
        <v>49</v>
      </c>
      <c r="I24" s="75" t="s">
        <v>49</v>
      </c>
      <c r="J24" s="8"/>
      <c r="K24" s="8"/>
      <c r="L24" s="8"/>
      <c r="M24" s="8"/>
      <c r="N24" s="8"/>
      <c r="O24" s="13"/>
      <c r="P24" s="8"/>
      <c r="Q24" s="8"/>
      <c r="R24" s="8"/>
      <c r="S24" s="8"/>
      <c r="T24" s="8"/>
      <c r="U24" s="8"/>
      <c r="V24" s="8"/>
      <c r="W24" s="8"/>
      <c r="X24" s="8"/>
      <c r="Y24" s="8"/>
      <c r="Z24" s="8"/>
    </row>
    <row r="25" spans="1:26" ht="14.25" customHeight="1">
      <c r="A25" s="14" t="s">
        <v>42</v>
      </c>
      <c r="B25" s="69">
        <v>29.7</v>
      </c>
      <c r="C25" s="69">
        <v>31.19</v>
      </c>
      <c r="D25" s="69">
        <v>54</v>
      </c>
      <c r="E25" s="69">
        <v>37.31</v>
      </c>
      <c r="F25" s="69">
        <v>66.88</v>
      </c>
      <c r="G25" s="69">
        <v>29.5</v>
      </c>
      <c r="H25" s="75" t="s">
        <v>49</v>
      </c>
      <c r="I25" s="69">
        <v>29.5</v>
      </c>
      <c r="J25" s="8"/>
      <c r="K25" s="8"/>
      <c r="L25" s="8"/>
      <c r="M25" s="8"/>
      <c r="N25" s="8"/>
      <c r="O25" s="13"/>
      <c r="P25" s="8"/>
      <c r="Q25" s="8"/>
      <c r="R25" s="8"/>
      <c r="S25" s="8"/>
      <c r="T25" s="8"/>
      <c r="U25" s="8"/>
      <c r="V25" s="8"/>
      <c r="W25" s="8"/>
      <c r="X25" s="8"/>
      <c r="Y25" s="8"/>
      <c r="Z25" s="8"/>
    </row>
    <row r="26" spans="1:26" ht="14.25" customHeight="1">
      <c r="A26" s="14" t="s">
        <v>43</v>
      </c>
      <c r="B26" s="69">
        <v>29.4</v>
      </c>
      <c r="C26" s="69">
        <v>31.25</v>
      </c>
      <c r="D26" s="69">
        <v>54</v>
      </c>
      <c r="E26" s="69">
        <v>38.25</v>
      </c>
      <c r="F26" s="69">
        <v>66.5</v>
      </c>
      <c r="G26" s="69">
        <v>29.65</v>
      </c>
      <c r="H26" s="75" t="s">
        <v>49</v>
      </c>
      <c r="I26" s="69">
        <v>29</v>
      </c>
      <c r="J26" s="8"/>
      <c r="K26" s="8"/>
      <c r="L26" s="8"/>
      <c r="M26" s="8"/>
      <c r="N26" s="8"/>
      <c r="O26" s="13"/>
      <c r="P26" s="8"/>
      <c r="Q26" s="8"/>
      <c r="R26" s="8"/>
      <c r="S26" s="8"/>
      <c r="T26" s="8"/>
      <c r="U26" s="8"/>
      <c r="V26" s="8"/>
      <c r="W26" s="8"/>
      <c r="X26" s="8"/>
      <c r="Y26" s="8"/>
      <c r="Z26" s="8"/>
    </row>
    <row r="27" spans="1:26" ht="14.25" customHeight="1">
      <c r="A27" s="14" t="s">
        <v>44</v>
      </c>
      <c r="B27" s="69">
        <v>28.3</v>
      </c>
      <c r="C27" s="69">
        <v>29.9</v>
      </c>
      <c r="D27" s="69">
        <v>54</v>
      </c>
      <c r="E27" s="69">
        <v>37.75</v>
      </c>
      <c r="F27" s="69">
        <v>67.7</v>
      </c>
      <c r="G27" s="69">
        <v>29.54</v>
      </c>
      <c r="H27" s="69">
        <v>32.5</v>
      </c>
      <c r="I27" s="69">
        <v>30</v>
      </c>
      <c r="J27" s="8"/>
      <c r="K27" s="8"/>
      <c r="L27" s="8"/>
      <c r="M27" s="8"/>
      <c r="N27" s="8"/>
      <c r="O27" s="13"/>
      <c r="P27" s="8"/>
      <c r="Q27" s="8"/>
      <c r="R27" s="8"/>
      <c r="S27" s="8"/>
      <c r="T27" s="8"/>
      <c r="U27" s="8"/>
      <c r="V27" s="8"/>
      <c r="W27" s="8"/>
      <c r="X27" s="8"/>
      <c r="Y27" s="8"/>
      <c r="Z27" s="8"/>
    </row>
    <row r="28" spans="1:26" ht="14.25" customHeight="1">
      <c r="A28" s="14" t="s">
        <v>45</v>
      </c>
      <c r="B28" s="69">
        <v>27.21</v>
      </c>
      <c r="C28" s="69">
        <v>28.75</v>
      </c>
      <c r="D28" s="69">
        <v>54</v>
      </c>
      <c r="E28" s="69">
        <v>38.69</v>
      </c>
      <c r="F28" s="69">
        <v>68</v>
      </c>
      <c r="G28" s="69">
        <v>28.76</v>
      </c>
      <c r="H28" s="75" t="s">
        <v>49</v>
      </c>
      <c r="I28" s="69">
        <v>32.47</v>
      </c>
      <c r="J28" s="8"/>
      <c r="K28" s="8"/>
      <c r="L28" s="8"/>
      <c r="M28" s="8"/>
      <c r="N28" s="8"/>
      <c r="O28" s="13"/>
      <c r="P28" s="8"/>
      <c r="Q28" s="8"/>
      <c r="R28" s="8"/>
      <c r="S28" s="8"/>
      <c r="T28" s="8"/>
      <c r="U28" s="8"/>
      <c r="V28" s="8"/>
      <c r="W28" s="8"/>
      <c r="X28" s="8"/>
      <c r="Y28" s="8"/>
      <c r="Z28" s="8"/>
    </row>
    <row r="29" spans="1:26" ht="14.25" customHeight="1">
      <c r="A29" s="14" t="s">
        <v>46</v>
      </c>
      <c r="B29" s="69">
        <v>27.6</v>
      </c>
      <c r="C29" s="69">
        <v>28.6</v>
      </c>
      <c r="D29" s="69">
        <v>54</v>
      </c>
      <c r="E29" s="69">
        <v>38.75</v>
      </c>
      <c r="F29" s="69">
        <v>68</v>
      </c>
      <c r="G29" s="69">
        <v>26.8</v>
      </c>
      <c r="H29" s="69">
        <v>32.380000000000003</v>
      </c>
      <c r="I29" s="69">
        <v>32</v>
      </c>
      <c r="J29" s="8"/>
      <c r="K29" s="8"/>
      <c r="L29" s="8"/>
      <c r="M29" s="8"/>
      <c r="N29" s="8"/>
      <c r="O29" s="13"/>
      <c r="P29" s="8"/>
      <c r="Q29" s="8"/>
      <c r="R29" s="8"/>
      <c r="S29" s="8"/>
      <c r="T29" s="8"/>
      <c r="U29" s="8"/>
      <c r="V29" s="8"/>
      <c r="W29" s="8"/>
      <c r="X29" s="8"/>
      <c r="Y29" s="8"/>
      <c r="Z29" s="8"/>
    </row>
    <row r="30" spans="1:26" ht="14.25" customHeight="1">
      <c r="A30" s="14" t="s">
        <v>47</v>
      </c>
      <c r="B30" s="69">
        <v>27.73</v>
      </c>
      <c r="C30" s="69">
        <v>28.88</v>
      </c>
      <c r="D30" s="69">
        <v>54</v>
      </c>
      <c r="E30" s="69">
        <v>38.19</v>
      </c>
      <c r="F30" s="69">
        <v>67.63</v>
      </c>
      <c r="G30" s="69">
        <v>26.46</v>
      </c>
      <c r="H30" s="69">
        <v>32.93</v>
      </c>
      <c r="I30" s="69">
        <v>31</v>
      </c>
      <c r="J30" s="8"/>
      <c r="K30" s="8"/>
      <c r="L30" s="8"/>
      <c r="M30" s="8"/>
      <c r="N30" s="8"/>
      <c r="O30" s="13"/>
      <c r="P30" s="8"/>
      <c r="Q30" s="8"/>
      <c r="R30" s="8"/>
      <c r="S30" s="8"/>
      <c r="T30" s="8"/>
      <c r="U30" s="8"/>
      <c r="V30" s="8"/>
      <c r="W30" s="8"/>
      <c r="X30" s="8"/>
      <c r="Y30" s="8"/>
      <c r="Z30" s="8"/>
    </row>
    <row r="31" spans="1:26" ht="14.25" customHeight="1">
      <c r="A31" s="22"/>
      <c r="B31" s="69"/>
      <c r="C31" s="69"/>
      <c r="D31" s="69"/>
      <c r="E31" s="69"/>
      <c r="F31" s="69"/>
      <c r="G31" s="69"/>
      <c r="H31" s="69"/>
      <c r="I31" s="69"/>
      <c r="J31" s="8"/>
      <c r="K31" s="8"/>
      <c r="L31" s="8"/>
      <c r="M31" s="8"/>
      <c r="N31" s="8"/>
      <c r="O31" s="13"/>
      <c r="P31" s="8"/>
      <c r="Q31" s="8"/>
      <c r="R31" s="8"/>
      <c r="S31" s="8"/>
      <c r="T31" s="8"/>
      <c r="U31" s="8"/>
      <c r="V31" s="8"/>
      <c r="W31" s="8"/>
      <c r="X31" s="8"/>
      <c r="Y31" s="8"/>
      <c r="Z31" s="8"/>
    </row>
    <row r="32" spans="1:26" ht="14.25" customHeight="1">
      <c r="A32" s="14" t="s">
        <v>48</v>
      </c>
      <c r="B32" s="69"/>
      <c r="C32" s="69"/>
      <c r="D32" s="69"/>
      <c r="E32" s="69"/>
      <c r="F32" s="69"/>
      <c r="G32" s="69"/>
      <c r="H32" s="69"/>
      <c r="I32" s="69"/>
      <c r="J32" s="8"/>
      <c r="K32" s="8"/>
      <c r="L32" s="8"/>
      <c r="M32" s="8"/>
      <c r="N32" s="8"/>
      <c r="O32" s="13"/>
      <c r="P32" s="8"/>
      <c r="Q32" s="8"/>
      <c r="R32" s="8"/>
      <c r="S32" s="8"/>
      <c r="T32" s="8"/>
      <c r="U32" s="8"/>
      <c r="V32" s="8"/>
      <c r="W32" s="8"/>
      <c r="X32" s="8"/>
      <c r="Y32" s="8"/>
      <c r="Z32" s="8"/>
    </row>
    <row r="33" spans="1:26" ht="14.25" customHeight="1">
      <c r="A33" s="14" t="s">
        <v>36</v>
      </c>
      <c r="B33" s="69">
        <v>28.89</v>
      </c>
      <c r="C33" s="69">
        <v>30.56</v>
      </c>
      <c r="D33" s="69">
        <v>54</v>
      </c>
      <c r="E33" s="69">
        <v>38.94</v>
      </c>
      <c r="F33" s="69">
        <v>66.63</v>
      </c>
      <c r="G33" s="69">
        <v>27.18</v>
      </c>
      <c r="H33" s="69">
        <v>33</v>
      </c>
      <c r="I33" s="69">
        <v>31.29</v>
      </c>
      <c r="J33" s="8"/>
      <c r="K33" s="8"/>
      <c r="L33" s="8"/>
      <c r="M33" s="8"/>
      <c r="N33" s="8"/>
      <c r="O33" s="13"/>
      <c r="P33" s="8"/>
      <c r="Q33" s="8"/>
      <c r="R33" s="8"/>
      <c r="S33" s="8"/>
      <c r="T33" s="8"/>
      <c r="U33" s="8"/>
      <c r="V33" s="8"/>
      <c r="W33" s="8"/>
      <c r="X33" s="8"/>
      <c r="Y33" s="8"/>
      <c r="Z33" s="8"/>
    </row>
    <row r="34" spans="1:26" ht="14.25" customHeight="1">
      <c r="A34" s="14" t="s">
        <v>37</v>
      </c>
      <c r="B34" s="69">
        <v>27.492999999999999</v>
      </c>
      <c r="C34" s="69">
        <v>31.45</v>
      </c>
      <c r="D34" s="69">
        <v>52.8</v>
      </c>
      <c r="E34" s="69">
        <v>37.450000000000003</v>
      </c>
      <c r="F34" s="69">
        <v>64.8</v>
      </c>
      <c r="G34" s="69">
        <v>26.37</v>
      </c>
      <c r="H34" s="69">
        <v>34.33</v>
      </c>
      <c r="I34" s="69">
        <v>35</v>
      </c>
      <c r="J34" s="8"/>
      <c r="K34" s="8"/>
      <c r="L34" s="8"/>
      <c r="M34" s="8"/>
      <c r="N34" s="8"/>
      <c r="O34" s="13"/>
      <c r="P34" s="8"/>
      <c r="Q34" s="8"/>
      <c r="R34" s="8"/>
      <c r="S34" s="8"/>
      <c r="T34" s="8"/>
      <c r="U34" s="8"/>
      <c r="V34" s="8"/>
      <c r="W34" s="8"/>
      <c r="X34" s="8"/>
      <c r="Y34" s="8"/>
      <c r="Z34" s="8"/>
    </row>
    <row r="35" spans="1:26" ht="14.25" customHeight="1">
      <c r="A35" s="14" t="s">
        <v>38</v>
      </c>
      <c r="B35" s="69">
        <v>28.14</v>
      </c>
      <c r="C35" s="69">
        <v>32.06</v>
      </c>
      <c r="D35" s="69">
        <v>53.5</v>
      </c>
      <c r="E35" s="69">
        <v>36.75</v>
      </c>
      <c r="F35" s="69">
        <v>62.25</v>
      </c>
      <c r="G35" s="69">
        <v>26.46</v>
      </c>
      <c r="H35" s="69">
        <v>31</v>
      </c>
      <c r="I35" s="69">
        <v>32.5</v>
      </c>
      <c r="J35" s="8"/>
      <c r="K35" s="8"/>
      <c r="L35" s="8"/>
      <c r="M35" s="8"/>
      <c r="N35" s="8"/>
      <c r="O35" s="13"/>
      <c r="P35" s="8"/>
      <c r="Q35" s="8"/>
      <c r="R35" s="8"/>
      <c r="S35" s="8"/>
      <c r="T35" s="8"/>
      <c r="U35" s="8"/>
      <c r="V35" s="8"/>
      <c r="W35" s="8"/>
      <c r="X35" s="8"/>
      <c r="Y35" s="8"/>
      <c r="Z35" s="8"/>
    </row>
    <row r="36" spans="1:26" ht="14.25" customHeight="1">
      <c r="A36" s="14" t="s">
        <v>39</v>
      </c>
      <c r="B36" s="69">
        <v>28.44</v>
      </c>
      <c r="C36" s="69">
        <v>33.94</v>
      </c>
      <c r="D36" s="69">
        <v>53.5</v>
      </c>
      <c r="E36" s="69">
        <v>37.130000000000003</v>
      </c>
      <c r="F36" s="69">
        <v>61.88</v>
      </c>
      <c r="G36" s="69">
        <v>26.21</v>
      </c>
      <c r="H36" s="75" t="s">
        <v>49</v>
      </c>
      <c r="I36" s="69">
        <v>33.130000000000003</v>
      </c>
      <c r="J36" s="8"/>
      <c r="K36" s="8"/>
      <c r="L36" s="8"/>
      <c r="M36" s="8"/>
      <c r="N36" s="8"/>
      <c r="O36" s="13"/>
      <c r="P36" s="8"/>
      <c r="Q36" s="8"/>
      <c r="R36" s="8"/>
      <c r="S36" s="8"/>
      <c r="T36" s="8"/>
      <c r="U36" s="8"/>
      <c r="V36" s="8"/>
      <c r="W36" s="8"/>
      <c r="X36" s="8"/>
      <c r="Y36" s="8"/>
      <c r="Z36" s="8"/>
    </row>
    <row r="37" spans="1:26" ht="14.25" customHeight="1">
      <c r="A37" s="14" t="s">
        <v>40</v>
      </c>
      <c r="B37" s="69">
        <v>29.58</v>
      </c>
      <c r="C37" s="69">
        <v>36.44</v>
      </c>
      <c r="D37" s="69">
        <v>53</v>
      </c>
      <c r="E37" s="69">
        <v>37.75</v>
      </c>
      <c r="F37" s="69">
        <v>61.13</v>
      </c>
      <c r="G37" s="69">
        <v>25.65</v>
      </c>
      <c r="H37" s="75" t="s">
        <v>49</v>
      </c>
      <c r="I37" s="69">
        <v>33</v>
      </c>
      <c r="J37" s="8"/>
      <c r="K37" s="8"/>
      <c r="L37" s="8"/>
      <c r="M37" s="8"/>
      <c r="N37" s="8"/>
      <c r="O37" s="13"/>
      <c r="P37" s="8"/>
      <c r="Q37" s="8"/>
      <c r="R37" s="8"/>
      <c r="S37" s="8"/>
      <c r="T37" s="8"/>
      <c r="U37" s="8"/>
      <c r="V37" s="8"/>
      <c r="W37" s="8"/>
      <c r="X37" s="8"/>
      <c r="Y37" s="8"/>
      <c r="Z37" s="8"/>
    </row>
    <row r="38" spans="1:26" ht="14.25" customHeight="1">
      <c r="A38" s="14" t="s">
        <v>41</v>
      </c>
      <c r="B38" s="69">
        <v>28.62</v>
      </c>
      <c r="C38" s="69">
        <v>35.700000000000003</v>
      </c>
      <c r="D38" s="69">
        <v>53.2</v>
      </c>
      <c r="E38" s="69">
        <v>36.15</v>
      </c>
      <c r="F38" s="69">
        <v>61</v>
      </c>
      <c r="G38" s="69">
        <v>26.72</v>
      </c>
      <c r="H38" s="75" t="s">
        <v>49</v>
      </c>
      <c r="I38" s="69">
        <v>32.15</v>
      </c>
      <c r="J38" s="8"/>
      <c r="K38" s="8"/>
      <c r="L38" s="8"/>
      <c r="M38" s="8"/>
      <c r="N38" s="8"/>
      <c r="O38" s="13"/>
      <c r="P38" s="8"/>
      <c r="Q38" s="8"/>
      <c r="R38" s="8"/>
      <c r="S38" s="8"/>
      <c r="T38" s="8"/>
      <c r="U38" s="8"/>
      <c r="V38" s="8"/>
      <c r="W38" s="8"/>
      <c r="X38" s="8"/>
      <c r="Y38" s="8"/>
      <c r="Z38" s="8"/>
    </row>
    <row r="39" spans="1:26" ht="14.25" customHeight="1">
      <c r="A39" s="14" t="s">
        <v>42</v>
      </c>
      <c r="B39" s="69">
        <v>27.86</v>
      </c>
      <c r="C39" s="69">
        <v>37.130000000000003</v>
      </c>
      <c r="D39" s="69">
        <v>54</v>
      </c>
      <c r="E39" s="69">
        <v>35.44</v>
      </c>
      <c r="F39" s="69">
        <v>65.25</v>
      </c>
      <c r="G39" s="69">
        <v>27.94</v>
      </c>
      <c r="H39" s="75" t="s">
        <v>49</v>
      </c>
      <c r="I39" s="69">
        <v>31.86</v>
      </c>
      <c r="J39" s="8"/>
      <c r="K39" s="8"/>
      <c r="L39" s="8"/>
      <c r="M39" s="8"/>
      <c r="N39" s="8"/>
      <c r="O39" s="13"/>
      <c r="P39" s="8"/>
      <c r="Q39" s="8"/>
      <c r="R39" s="8"/>
      <c r="S39" s="8"/>
      <c r="T39" s="8"/>
      <c r="U39" s="8"/>
      <c r="V39" s="8"/>
      <c r="W39" s="8"/>
      <c r="X39" s="8"/>
      <c r="Y39" s="8"/>
      <c r="Z39" s="8"/>
    </row>
    <row r="40" spans="1:26" ht="14.25" customHeight="1">
      <c r="A40" s="14" t="s">
        <v>43</v>
      </c>
      <c r="B40" s="69">
        <v>26.93</v>
      </c>
      <c r="C40" s="69">
        <v>35.65</v>
      </c>
      <c r="D40" s="69">
        <v>53.4</v>
      </c>
      <c r="E40" s="69">
        <v>34.1</v>
      </c>
      <c r="F40" s="69">
        <v>66</v>
      </c>
      <c r="G40" s="69">
        <v>27.76</v>
      </c>
      <c r="H40" s="75" t="s">
        <v>49</v>
      </c>
      <c r="I40" s="69">
        <v>33.700000000000003</v>
      </c>
      <c r="J40" s="8"/>
      <c r="K40" s="8"/>
      <c r="L40" s="8"/>
      <c r="M40" s="8"/>
      <c r="N40" s="8"/>
      <c r="O40" s="13"/>
      <c r="P40" s="8"/>
      <c r="Q40" s="8"/>
      <c r="R40" s="8"/>
      <c r="S40" s="8"/>
      <c r="T40" s="8"/>
      <c r="U40" s="8"/>
      <c r="V40" s="8"/>
      <c r="W40" s="8"/>
      <c r="X40" s="8"/>
      <c r="Y40" s="8"/>
      <c r="Z40" s="8"/>
    </row>
    <row r="41" spans="1:26" ht="14.25" customHeight="1">
      <c r="A41" s="14" t="s">
        <v>44</v>
      </c>
      <c r="B41" s="69">
        <v>28.24</v>
      </c>
      <c r="C41" s="69">
        <v>36.69</v>
      </c>
      <c r="D41" s="69">
        <v>51</v>
      </c>
      <c r="E41" s="69">
        <v>34.630000000000003</v>
      </c>
      <c r="F41" s="69">
        <v>66</v>
      </c>
      <c r="G41" s="69">
        <v>27.38</v>
      </c>
      <c r="H41" s="75" t="s">
        <v>49</v>
      </c>
      <c r="I41" s="75" t="s">
        <v>49</v>
      </c>
      <c r="J41" s="8"/>
      <c r="K41" s="8"/>
      <c r="L41" s="8"/>
      <c r="M41" s="8"/>
      <c r="N41" s="8"/>
      <c r="O41" s="13"/>
      <c r="P41" s="8"/>
      <c r="Q41" s="8"/>
      <c r="R41" s="8"/>
      <c r="S41" s="8"/>
      <c r="T41" s="8"/>
      <c r="U41" s="8"/>
      <c r="V41" s="8"/>
      <c r="W41" s="8"/>
      <c r="X41" s="8"/>
      <c r="Y41" s="8"/>
      <c r="Z41" s="8"/>
    </row>
    <row r="42" spans="1:26" ht="14.25" customHeight="1">
      <c r="A42" s="18" t="s">
        <v>45</v>
      </c>
      <c r="B42" s="76">
        <v>27.68</v>
      </c>
      <c r="C42" s="76">
        <v>37.5</v>
      </c>
      <c r="D42" s="76">
        <v>52.5</v>
      </c>
      <c r="E42" s="76">
        <v>34.56</v>
      </c>
      <c r="F42" s="76">
        <v>66.13</v>
      </c>
      <c r="G42" s="76">
        <v>26.75</v>
      </c>
      <c r="H42" s="39" t="s">
        <v>49</v>
      </c>
      <c r="I42" s="76">
        <v>35</v>
      </c>
      <c r="J42" s="8"/>
      <c r="K42" s="8"/>
      <c r="L42" s="8"/>
      <c r="M42" s="8"/>
      <c r="N42" s="8"/>
      <c r="O42" s="13"/>
      <c r="P42" s="8"/>
      <c r="Q42" s="8"/>
      <c r="R42" s="8"/>
      <c r="S42" s="8"/>
      <c r="T42" s="8"/>
      <c r="U42" s="8"/>
      <c r="V42" s="8"/>
      <c r="W42" s="8"/>
      <c r="X42" s="8"/>
      <c r="Y42" s="8"/>
      <c r="Z42" s="8"/>
    </row>
    <row r="43" spans="1:26" ht="16.5" customHeight="1">
      <c r="A43" s="31" t="s">
        <v>131</v>
      </c>
      <c r="B43" s="89"/>
      <c r="C43" s="89"/>
      <c r="D43" s="89"/>
      <c r="E43" s="89"/>
      <c r="F43" s="89"/>
      <c r="G43" s="89"/>
      <c r="H43" s="89"/>
      <c r="I43" s="89"/>
      <c r="J43" s="8"/>
      <c r="K43" s="8"/>
      <c r="L43" s="8"/>
      <c r="M43" s="8"/>
      <c r="N43" s="8"/>
      <c r="O43" s="13"/>
      <c r="P43" s="8"/>
      <c r="Q43" s="8"/>
      <c r="R43" s="8"/>
      <c r="S43" s="8"/>
      <c r="T43" s="8"/>
      <c r="U43" s="8"/>
      <c r="V43" s="8"/>
      <c r="W43" s="8"/>
      <c r="X43" s="8"/>
      <c r="Y43" s="8"/>
      <c r="Z43" s="8"/>
    </row>
    <row r="44" spans="1:26" ht="16.5" customHeight="1">
      <c r="A44" s="14" t="s">
        <v>132</v>
      </c>
      <c r="B44" s="77"/>
      <c r="C44" s="77"/>
      <c r="D44" s="77"/>
      <c r="E44" s="77"/>
      <c r="F44" s="77"/>
      <c r="G44" s="77"/>
      <c r="H44" s="77"/>
      <c r="I44" s="77"/>
      <c r="J44" s="8"/>
      <c r="K44" s="8"/>
      <c r="L44" s="8"/>
      <c r="M44" s="8"/>
      <c r="N44" s="8"/>
      <c r="O44" s="13"/>
      <c r="P44" s="8"/>
      <c r="Q44" s="8"/>
      <c r="R44" s="8"/>
      <c r="S44" s="8"/>
      <c r="T44" s="8"/>
      <c r="U44" s="8"/>
      <c r="V44" s="8"/>
      <c r="W44" s="8"/>
      <c r="X44" s="8"/>
      <c r="Y44" s="8"/>
      <c r="Z44" s="8"/>
    </row>
    <row r="45" spans="1:26" ht="14.25" customHeight="1">
      <c r="A45" s="14" t="s">
        <v>133</v>
      </c>
      <c r="B45" s="23"/>
      <c r="C45" s="23"/>
      <c r="D45" s="23"/>
      <c r="E45" s="23"/>
      <c r="F45" s="77"/>
      <c r="G45" s="23"/>
      <c r="H45" s="23"/>
      <c r="I45" s="23"/>
      <c r="J45" s="8"/>
      <c r="K45" s="8"/>
      <c r="L45" s="8"/>
      <c r="M45" s="8"/>
      <c r="N45" s="8"/>
      <c r="O45" s="13"/>
      <c r="P45" s="8"/>
      <c r="Q45" s="8"/>
      <c r="R45" s="8"/>
      <c r="S45" s="8"/>
      <c r="T45" s="8"/>
      <c r="U45" s="8"/>
      <c r="V45" s="8"/>
      <c r="W45" s="8"/>
      <c r="X45" s="8"/>
      <c r="Y45" s="8"/>
      <c r="Z45" s="8"/>
    </row>
    <row r="46" spans="1:26" ht="14.25" customHeight="1">
      <c r="A46" s="14" t="s">
        <v>53</v>
      </c>
      <c r="B46" s="54">
        <f ca="1">NOW()</f>
        <v>43747.834772916663</v>
      </c>
      <c r="C46" s="23"/>
      <c r="D46" s="23"/>
      <c r="E46" s="23"/>
      <c r="F46" s="23"/>
      <c r="G46" s="23"/>
      <c r="H46" s="23"/>
      <c r="I46" s="23"/>
      <c r="J46" s="8"/>
      <c r="K46" s="8"/>
      <c r="L46" s="8"/>
      <c r="M46" s="8"/>
      <c r="N46" s="8"/>
      <c r="O46" s="13"/>
      <c r="P46" s="8"/>
      <c r="Q46" s="8"/>
      <c r="R46" s="8"/>
      <c r="S46" s="8"/>
      <c r="T46" s="8"/>
      <c r="U46" s="8"/>
      <c r="V46" s="8"/>
      <c r="W46" s="8"/>
      <c r="X46" s="8"/>
      <c r="Y46" s="8"/>
      <c r="Z46" s="8"/>
    </row>
    <row r="47" spans="1:26" ht="15.75" customHeight="1">
      <c r="A47" s="57"/>
      <c r="B47" s="8"/>
      <c r="C47" s="90"/>
      <c r="D47" s="8"/>
      <c r="E47" s="8"/>
      <c r="F47" s="8"/>
      <c r="G47" s="90"/>
      <c r="H47" s="90"/>
      <c r="I47" s="90"/>
      <c r="J47" s="8"/>
      <c r="K47" s="8"/>
      <c r="L47" s="8"/>
      <c r="M47" s="8"/>
      <c r="N47" s="8"/>
      <c r="O47" s="13"/>
      <c r="P47" s="8"/>
      <c r="Q47" s="8"/>
      <c r="R47" s="8"/>
      <c r="S47" s="8"/>
      <c r="T47" s="8"/>
      <c r="U47" s="8"/>
      <c r="V47" s="8"/>
      <c r="W47" s="8"/>
      <c r="X47" s="8"/>
      <c r="Y47" s="8"/>
      <c r="Z47" s="8"/>
    </row>
    <row r="48" spans="1:26" ht="15.75" customHeight="1">
      <c r="A48" s="57"/>
      <c r="B48" s="8"/>
      <c r="C48" s="90"/>
      <c r="D48" s="8"/>
      <c r="E48" s="8"/>
      <c r="F48" s="8"/>
      <c r="G48" s="90"/>
      <c r="H48" s="90"/>
      <c r="I48" s="90"/>
      <c r="J48" s="8"/>
      <c r="K48" s="8"/>
      <c r="L48" s="8"/>
      <c r="M48" s="8"/>
      <c r="N48" s="8"/>
      <c r="O48" s="13"/>
      <c r="P48" s="8"/>
      <c r="Q48" s="8"/>
      <c r="R48" s="8"/>
      <c r="S48" s="8"/>
      <c r="T48" s="8"/>
      <c r="U48" s="8"/>
      <c r="V48" s="8"/>
      <c r="W48" s="8"/>
      <c r="X48" s="8"/>
      <c r="Y48" s="8"/>
      <c r="Z48" s="8"/>
    </row>
    <row r="49" spans="1:26" ht="15.75" customHeight="1">
      <c r="A49" s="57"/>
      <c r="B49" s="8"/>
      <c r="C49" s="90"/>
      <c r="D49" s="8"/>
      <c r="E49" s="8"/>
      <c r="F49" s="8"/>
      <c r="G49" s="90"/>
      <c r="H49" s="90"/>
      <c r="I49" s="90"/>
      <c r="J49" s="8"/>
      <c r="K49" s="8"/>
      <c r="L49" s="8"/>
      <c r="M49" s="8"/>
      <c r="N49" s="8"/>
      <c r="O49" s="13"/>
      <c r="P49" s="8"/>
      <c r="Q49" s="8"/>
      <c r="R49" s="8"/>
      <c r="S49" s="8"/>
      <c r="T49" s="8"/>
      <c r="U49" s="8"/>
      <c r="V49" s="8"/>
      <c r="W49" s="8"/>
      <c r="X49" s="8"/>
      <c r="Y49" s="8"/>
      <c r="Z49" s="8"/>
    </row>
    <row r="50" spans="1:26" ht="15.75" customHeight="1">
      <c r="A50" s="57"/>
      <c r="B50" s="8"/>
      <c r="C50" s="90"/>
      <c r="D50" s="8"/>
      <c r="E50" s="8"/>
      <c r="F50" s="8"/>
      <c r="G50" s="90"/>
      <c r="H50" s="90"/>
      <c r="I50" s="90"/>
      <c r="J50" s="8"/>
      <c r="K50" s="8"/>
      <c r="L50" s="8"/>
      <c r="M50" s="8"/>
      <c r="N50" s="8"/>
      <c r="O50" s="13"/>
      <c r="P50" s="8"/>
      <c r="Q50" s="8"/>
      <c r="R50" s="8"/>
      <c r="S50" s="8"/>
      <c r="T50" s="8"/>
      <c r="U50" s="8"/>
      <c r="V50" s="8"/>
      <c r="W50" s="8"/>
      <c r="X50" s="8"/>
      <c r="Y50" s="8"/>
      <c r="Z50" s="8"/>
    </row>
    <row r="51" spans="1:26" ht="15.75" customHeight="1">
      <c r="A51" s="57"/>
      <c r="B51" s="8"/>
      <c r="C51" s="90"/>
      <c r="D51" s="8"/>
      <c r="E51" s="8"/>
      <c r="F51" s="8"/>
      <c r="G51" s="90"/>
      <c r="H51" s="90"/>
      <c r="I51" s="90"/>
      <c r="J51" s="8"/>
      <c r="K51" s="8"/>
      <c r="L51" s="8"/>
      <c r="M51" s="8"/>
      <c r="N51" s="8"/>
      <c r="O51" s="13"/>
      <c r="P51" s="8"/>
      <c r="Q51" s="8"/>
      <c r="R51" s="8"/>
      <c r="S51" s="8"/>
      <c r="T51" s="8"/>
      <c r="U51" s="8"/>
      <c r="V51" s="8"/>
      <c r="W51" s="8"/>
      <c r="X51" s="8"/>
      <c r="Y51" s="8"/>
      <c r="Z51" s="8"/>
    </row>
    <row r="52" spans="1:26" ht="15.75" customHeight="1">
      <c r="A52" s="57"/>
      <c r="B52" s="8"/>
      <c r="C52" s="90"/>
      <c r="D52" s="8"/>
      <c r="E52" s="8"/>
      <c r="F52" s="8"/>
      <c r="G52" s="90"/>
      <c r="H52" s="90"/>
      <c r="I52" s="90"/>
      <c r="J52" s="8"/>
      <c r="K52" s="8"/>
      <c r="L52" s="8"/>
      <c r="M52" s="8"/>
      <c r="N52" s="8"/>
      <c r="O52" s="13"/>
      <c r="P52" s="8"/>
      <c r="Q52" s="8"/>
      <c r="R52" s="8"/>
      <c r="S52" s="8"/>
      <c r="T52" s="8"/>
      <c r="U52" s="8"/>
      <c r="V52" s="8"/>
      <c r="W52" s="8"/>
      <c r="X52" s="8"/>
      <c r="Y52" s="8"/>
      <c r="Z52" s="8"/>
    </row>
    <row r="53" spans="1:26" ht="15.75" customHeight="1">
      <c r="A53" s="57"/>
      <c r="B53" s="8"/>
      <c r="C53" s="90"/>
      <c r="D53" s="8"/>
      <c r="E53" s="8"/>
      <c r="F53" s="8"/>
      <c r="G53" s="90"/>
      <c r="H53" s="90"/>
      <c r="I53" s="90"/>
      <c r="J53" s="8"/>
      <c r="K53" s="8"/>
      <c r="L53" s="8"/>
      <c r="M53" s="8"/>
      <c r="N53" s="8"/>
      <c r="O53" s="13"/>
      <c r="P53" s="8"/>
      <c r="Q53" s="8"/>
      <c r="R53" s="8"/>
      <c r="S53" s="8"/>
      <c r="T53" s="8"/>
      <c r="U53" s="8"/>
      <c r="V53" s="8"/>
      <c r="W53" s="8"/>
      <c r="X53" s="8"/>
      <c r="Y53" s="8"/>
      <c r="Z53" s="8"/>
    </row>
    <row r="54" spans="1:26" ht="15.75" customHeight="1">
      <c r="A54" s="57"/>
      <c r="B54" s="8"/>
      <c r="C54" s="90"/>
      <c r="D54" s="8"/>
      <c r="E54" s="8"/>
      <c r="F54" s="8"/>
      <c r="G54" s="90"/>
      <c r="H54" s="90"/>
      <c r="I54" s="90"/>
      <c r="J54" s="8"/>
      <c r="K54" s="8"/>
      <c r="L54" s="8"/>
      <c r="M54" s="8"/>
      <c r="N54" s="8"/>
      <c r="O54" s="13"/>
      <c r="P54" s="8"/>
      <c r="Q54" s="8"/>
      <c r="R54" s="8"/>
      <c r="S54" s="8"/>
      <c r="T54" s="8"/>
      <c r="U54" s="8"/>
      <c r="V54" s="8"/>
      <c r="W54" s="8"/>
      <c r="X54" s="8"/>
      <c r="Y54" s="8"/>
      <c r="Z54" s="8"/>
    </row>
    <row r="55" spans="1:26" ht="15.75" customHeight="1">
      <c r="A55" s="57"/>
      <c r="B55" s="8"/>
      <c r="C55" s="90"/>
      <c r="D55" s="8"/>
      <c r="E55" s="8"/>
      <c r="F55" s="8"/>
      <c r="G55" s="90"/>
      <c r="H55" s="90"/>
      <c r="I55" s="90"/>
      <c r="J55" s="8"/>
      <c r="K55" s="8"/>
      <c r="L55" s="8"/>
      <c r="M55" s="8"/>
      <c r="N55" s="8"/>
      <c r="O55" s="13"/>
      <c r="P55" s="8"/>
      <c r="Q55" s="8"/>
      <c r="R55" s="8"/>
      <c r="S55" s="8"/>
      <c r="T55" s="8"/>
      <c r="U55" s="8"/>
      <c r="V55" s="8"/>
      <c r="W55" s="8"/>
      <c r="X55" s="8"/>
      <c r="Y55" s="8"/>
      <c r="Z55" s="8"/>
    </row>
    <row r="56" spans="1:26" ht="15.75" customHeight="1">
      <c r="A56" s="57"/>
      <c r="B56" s="8"/>
      <c r="C56" s="90"/>
      <c r="D56" s="8"/>
      <c r="E56" s="8"/>
      <c r="F56" s="8"/>
      <c r="G56" s="90"/>
      <c r="H56" s="90"/>
      <c r="I56" s="90"/>
      <c r="J56" s="8"/>
      <c r="K56" s="8"/>
      <c r="L56" s="8"/>
      <c r="M56" s="8"/>
      <c r="N56" s="8"/>
      <c r="O56" s="13"/>
      <c r="P56" s="8"/>
      <c r="Q56" s="8"/>
      <c r="R56" s="8"/>
      <c r="S56" s="8"/>
      <c r="T56" s="8"/>
      <c r="U56" s="8"/>
      <c r="V56" s="8"/>
      <c r="W56" s="8"/>
      <c r="X56" s="8"/>
      <c r="Y56" s="8"/>
      <c r="Z56" s="8"/>
    </row>
    <row r="57" spans="1:26" ht="15.75" customHeight="1">
      <c r="A57" s="57"/>
      <c r="B57" s="8"/>
      <c r="C57" s="90"/>
      <c r="D57" s="8"/>
      <c r="E57" s="8"/>
      <c r="F57" s="8"/>
      <c r="G57" s="90"/>
      <c r="H57" s="90"/>
      <c r="I57" s="90"/>
      <c r="J57" s="8"/>
      <c r="K57" s="8"/>
      <c r="L57" s="8"/>
      <c r="M57" s="8"/>
      <c r="N57" s="8"/>
      <c r="O57" s="13"/>
      <c r="P57" s="8"/>
      <c r="Q57" s="8"/>
      <c r="R57" s="8"/>
      <c r="S57" s="8"/>
      <c r="T57" s="8"/>
      <c r="U57" s="8"/>
      <c r="V57" s="8"/>
      <c r="W57" s="8"/>
      <c r="X57" s="8"/>
      <c r="Y57" s="8"/>
      <c r="Z57" s="8"/>
    </row>
    <row r="58" spans="1:26" ht="15.75" customHeight="1">
      <c r="A58" s="57"/>
      <c r="B58" s="8"/>
      <c r="C58" s="90"/>
      <c r="D58" s="8"/>
      <c r="E58" s="8"/>
      <c r="F58" s="8"/>
      <c r="G58" s="90"/>
      <c r="H58" s="90"/>
      <c r="I58" s="90"/>
      <c r="J58" s="8"/>
      <c r="K58" s="8"/>
      <c r="L58" s="8"/>
      <c r="M58" s="8"/>
      <c r="N58" s="8"/>
      <c r="O58" s="13"/>
      <c r="P58" s="8"/>
      <c r="Q58" s="8"/>
      <c r="R58" s="8"/>
      <c r="S58" s="8"/>
      <c r="T58" s="8"/>
      <c r="U58" s="8"/>
      <c r="V58" s="8"/>
      <c r="W58" s="8"/>
      <c r="X58" s="8"/>
      <c r="Y58" s="8"/>
      <c r="Z58" s="8"/>
    </row>
    <row r="59" spans="1:26" ht="15.75" customHeight="1">
      <c r="A59" s="57"/>
      <c r="B59" s="8"/>
      <c r="C59" s="90"/>
      <c r="D59" s="8"/>
      <c r="E59" s="8"/>
      <c r="F59" s="8"/>
      <c r="G59" s="90"/>
      <c r="H59" s="90"/>
      <c r="I59" s="90"/>
      <c r="J59" s="8"/>
      <c r="K59" s="8"/>
      <c r="L59" s="8"/>
      <c r="M59" s="8"/>
      <c r="N59" s="8"/>
      <c r="O59" s="13"/>
      <c r="P59" s="8"/>
      <c r="Q59" s="8"/>
      <c r="R59" s="8"/>
      <c r="S59" s="8"/>
      <c r="T59" s="8"/>
      <c r="U59" s="8"/>
      <c r="V59" s="8"/>
      <c r="W59" s="8"/>
      <c r="X59" s="8"/>
      <c r="Y59" s="8"/>
      <c r="Z59" s="8"/>
    </row>
    <row r="60" spans="1:26" ht="15.75" customHeight="1">
      <c r="A60" s="57"/>
      <c r="B60" s="8"/>
      <c r="C60" s="90"/>
      <c r="D60" s="8"/>
      <c r="E60" s="8"/>
      <c r="F60" s="8"/>
      <c r="G60" s="90"/>
      <c r="H60" s="90"/>
      <c r="I60" s="90"/>
      <c r="J60" s="8"/>
      <c r="K60" s="8"/>
      <c r="L60" s="8"/>
      <c r="M60" s="8"/>
      <c r="N60" s="8"/>
      <c r="O60" s="13"/>
      <c r="P60" s="8"/>
      <c r="Q60" s="8"/>
      <c r="R60" s="8"/>
      <c r="S60" s="8"/>
      <c r="T60" s="8"/>
      <c r="U60" s="8"/>
      <c r="V60" s="8"/>
      <c r="W60" s="8"/>
      <c r="X60" s="8"/>
      <c r="Y60" s="8"/>
      <c r="Z60" s="8"/>
    </row>
    <row r="61" spans="1:26" ht="15.75" customHeight="1">
      <c r="A61" s="57"/>
      <c r="B61" s="8"/>
      <c r="C61" s="90"/>
      <c r="D61" s="8"/>
      <c r="E61" s="8"/>
      <c r="F61" s="8"/>
      <c r="G61" s="90"/>
      <c r="H61" s="90"/>
      <c r="I61" s="90"/>
      <c r="J61" s="8"/>
      <c r="K61" s="8"/>
      <c r="L61" s="8"/>
      <c r="M61" s="8"/>
      <c r="N61" s="8"/>
      <c r="O61" s="13"/>
      <c r="P61" s="8"/>
      <c r="Q61" s="8"/>
      <c r="R61" s="8"/>
      <c r="S61" s="8"/>
      <c r="T61" s="8"/>
      <c r="U61" s="8"/>
      <c r="V61" s="8"/>
      <c r="W61" s="8"/>
      <c r="X61" s="8"/>
      <c r="Y61" s="8"/>
      <c r="Z61" s="8"/>
    </row>
    <row r="62" spans="1:26" ht="15.75" customHeight="1">
      <c r="A62" s="57"/>
      <c r="B62" s="8"/>
      <c r="C62" s="90"/>
      <c r="D62" s="8"/>
      <c r="E62" s="8"/>
      <c r="F62" s="8"/>
      <c r="G62" s="90"/>
      <c r="H62" s="90"/>
      <c r="I62" s="90"/>
      <c r="J62" s="8"/>
      <c r="K62" s="8"/>
      <c r="L62" s="8"/>
      <c r="M62" s="8"/>
      <c r="N62" s="8"/>
      <c r="O62" s="13"/>
      <c r="P62" s="8"/>
      <c r="Q62" s="8"/>
      <c r="R62" s="8"/>
      <c r="S62" s="8"/>
      <c r="T62" s="8"/>
      <c r="U62" s="8"/>
      <c r="V62" s="8"/>
      <c r="W62" s="8"/>
      <c r="X62" s="8"/>
      <c r="Y62" s="8"/>
      <c r="Z62" s="8"/>
    </row>
    <row r="63" spans="1:26" ht="15.75" customHeight="1">
      <c r="A63" s="57"/>
      <c r="B63" s="8"/>
      <c r="C63" s="90"/>
      <c r="D63" s="8"/>
      <c r="E63" s="8"/>
      <c r="F63" s="8"/>
      <c r="G63" s="8"/>
      <c r="H63" s="90"/>
      <c r="I63" s="90"/>
      <c r="J63" s="8"/>
      <c r="K63" s="8"/>
      <c r="L63" s="8"/>
      <c r="M63" s="8"/>
      <c r="N63" s="8"/>
      <c r="O63" s="13"/>
      <c r="P63" s="8"/>
      <c r="Q63" s="8"/>
      <c r="R63" s="8"/>
      <c r="S63" s="8"/>
      <c r="T63" s="8"/>
      <c r="U63" s="8"/>
      <c r="V63" s="8"/>
      <c r="W63" s="8"/>
      <c r="X63" s="8"/>
      <c r="Y63" s="8"/>
      <c r="Z63" s="8"/>
    </row>
    <row r="64" spans="1:26" ht="15.75" customHeight="1">
      <c r="A64" s="57"/>
      <c r="B64" s="8"/>
      <c r="C64" s="90"/>
      <c r="D64" s="8"/>
      <c r="E64" s="8"/>
      <c r="F64" s="8"/>
      <c r="G64" s="8"/>
      <c r="H64" s="90"/>
      <c r="I64" s="90"/>
      <c r="J64" s="8"/>
      <c r="K64" s="8"/>
      <c r="L64" s="8"/>
      <c r="M64" s="8"/>
      <c r="N64" s="8"/>
      <c r="O64" s="13"/>
      <c r="P64" s="8"/>
      <c r="Q64" s="8"/>
      <c r="R64" s="8"/>
      <c r="S64" s="8"/>
      <c r="T64" s="8"/>
      <c r="U64" s="8"/>
      <c r="V64" s="8"/>
      <c r="W64" s="8"/>
      <c r="X64" s="8"/>
      <c r="Y64" s="8"/>
      <c r="Z64" s="8"/>
    </row>
    <row r="65" spans="1:26" ht="15.75" customHeight="1">
      <c r="A65" s="57"/>
      <c r="B65" s="8"/>
      <c r="C65" s="90"/>
      <c r="D65" s="8"/>
      <c r="E65" s="8"/>
      <c r="F65" s="86"/>
      <c r="G65" s="8"/>
      <c r="H65" s="90"/>
      <c r="I65" s="90"/>
      <c r="J65" s="8"/>
      <c r="K65" s="8"/>
      <c r="L65" s="8"/>
      <c r="M65" s="8"/>
      <c r="N65" s="8"/>
      <c r="O65" s="13"/>
      <c r="P65" s="8"/>
      <c r="Q65" s="8"/>
      <c r="R65" s="8"/>
      <c r="S65" s="8"/>
      <c r="T65" s="8"/>
      <c r="U65" s="8"/>
      <c r="V65" s="8"/>
      <c r="W65" s="8"/>
      <c r="X65" s="8"/>
      <c r="Y65" s="8"/>
      <c r="Z65" s="8"/>
    </row>
    <row r="66" spans="1:26" ht="15.75" customHeight="1">
      <c r="A66" s="60"/>
      <c r="B66" s="61"/>
      <c r="C66" s="61"/>
      <c r="D66" s="61"/>
      <c r="E66" s="61"/>
      <c r="F66" s="91"/>
      <c r="G66" s="61"/>
      <c r="H66" s="92"/>
      <c r="I66" s="92"/>
      <c r="J66" s="61"/>
      <c r="K66" s="61"/>
      <c r="L66" s="61"/>
      <c r="M66" s="61"/>
      <c r="N66" s="61"/>
      <c r="O66" s="35"/>
      <c r="P66" s="8"/>
      <c r="Q66" s="8"/>
      <c r="R66" s="8"/>
      <c r="S66" s="8"/>
      <c r="T66" s="8"/>
      <c r="U66" s="8"/>
      <c r="V66" s="8"/>
      <c r="W66" s="8"/>
      <c r="X66" s="8"/>
      <c r="Y66" s="8"/>
      <c r="Z66" s="8"/>
    </row>
    <row r="67" spans="1:26" ht="12.75" customHeight="1">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2.75" customHeight="1">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2.75" customHeight="1">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2.75" customHeight="1">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2.75" customHeight="1">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2.75" customHeight="1">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2.75" customHeight="1">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2.75" customHeight="1">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2.75" customHeight="1">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2.75" customHeight="1">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2.75" customHeight="1">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2.75" customHeight="1">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2.75" customHeight="1">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2.75" customHeight="1">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2.75" customHeight="1">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2.75" customHeight="1">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2.75" customHeight="1">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2.75" customHeight="1">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2.75" customHeight="1">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2.75" customHeight="1">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2.75" customHeight="1">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2.75" customHeight="1">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2.75" customHeight="1">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2.75" customHeight="1">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2.75" customHeight="1">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2.75" customHeight="1">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2.75" customHeight="1">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2.75" customHeight="1">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2.75" customHeight="1">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2.75" customHeight="1">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2.75" customHeight="1">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2.75" customHeight="1">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2.75" customHeight="1">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2.7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2.7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2.7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2.7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2.7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2.7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2.7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2.7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2.7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2.7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2.7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2.7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2.7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2.7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2.7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2.7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2.7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2.7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2.7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2.7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2.7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2.7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2.7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2.7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2.7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2.7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2.7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2.7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2.7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2.7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2.7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2.7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2.7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2.7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2.7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2.7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2.7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2.7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2.7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2.7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2.7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2.7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2.7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2.7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2.7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2.7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2.7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2.7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2.7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2.7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2.7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2.7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2.7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2.7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2.7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2.7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2.7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2.7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2.7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2.7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2.7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2.7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2.7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2.7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2.7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2.7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2.7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2.7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2.7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2.7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2.7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2.7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2.7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2.7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2.7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2.7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2.7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2.7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2.7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2.7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2.7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2.7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2.7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2.7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2.7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2.7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2.7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2.7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2.7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2.7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2.7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2.7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2.7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2.7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2.7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2.7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2.7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2.7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2.7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2.7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2.7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2.7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2.7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2.7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2.7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2.7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2.7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2.7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2.7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2.7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2.7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2.7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2.7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2.7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2.7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2.7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2.7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2.7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2.7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2.7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2.7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2.7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2.7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2.7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2.7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2.7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2.7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2.7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2.7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2.7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2.7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2.7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2.7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2.7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2.7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2.7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2.7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2.7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2.7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2.7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2.7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2.7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2.7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2.7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2.7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2.7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2.7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2.7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2.7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2.7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2.7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2.7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2.7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2.7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2.7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2.7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2.7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2.7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2.7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2.7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2.7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2.7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2.7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2.7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2.7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2.7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2.7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2.7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2.7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2.7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2.7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2.7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2.7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2.7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2.7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2.7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2.7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2.7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2.7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2.7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2.7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2.7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2.7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2.7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2.7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2.7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2.7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2.7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2.7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2.7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2.7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2.7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2.7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2.7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2.7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2.7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2.7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2.7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2.7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2.7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2.7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2.7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2.7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2.7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2.7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2.7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2.7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2.7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2.7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2.7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2.7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2.7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2.7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2.7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2.7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2.7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2.7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2.7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2.7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2.7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2.7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2.7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2.7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2.7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2.7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2.7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2.7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2.7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2.7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2.7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2.7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2.7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2.7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2.7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2.7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2.7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2.7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2.7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2.7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2.7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2.7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2.7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2.7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2.7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2.7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2.7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2.7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2.7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2.7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2.7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2.7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2.7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2.7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2.7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2.7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2.7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2.7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2.7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2.7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2.7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2.7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2.7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2.7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2.7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2.7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2.7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2.7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2.7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2.7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2.7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2.7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2.7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2.7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2.7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2.7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2.7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2.7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2.7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2.7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2.7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2.7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2.7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2.7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2.7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2.7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2.7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2.7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2.7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2.7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2.7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2.7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2.7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2.7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2.7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2.7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2.7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2.7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2.7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2.7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2.7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2.7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2.7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2.7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2.7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2.7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2.7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2.7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2.7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2.7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2.7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2.7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2.7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2.7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2.7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2.7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2.7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2.7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2.7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2.7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2.7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2.7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2.7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2.7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2.7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2.7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2.7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2.7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2.7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2.7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2.7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2.7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2.7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2.7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2.7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2.7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2.7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2.7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2.7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2.7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2.7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2.7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2.7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2.7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2.7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2.7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2.7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2.7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2.7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2.7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2.7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2.7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2.7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2.7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2.7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2.7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2.7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2.7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2.7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2.7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2.7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2.7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2.7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2.7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2.7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2.7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2.7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2.7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2.7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2.7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2.7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2.7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2.7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2.7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2.7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2.7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2.7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2.7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2.7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2.7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2.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2.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2.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2.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2.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2.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2.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2.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2.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2.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2.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2.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2.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2.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2.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2.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2.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2.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2.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2.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2.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2.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2.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2.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2.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2.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2.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2.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2.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2.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2.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2.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2.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2.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2.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2.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2.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2.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2.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2.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2.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2.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2.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2.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2.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2.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2.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2.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2.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2.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2.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2.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2.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2.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2.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2.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2.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2.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2.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2.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2.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2.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2.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2.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2.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2.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2.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2.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2.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2.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2.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2.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2.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2.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2.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2.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2.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2.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2.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2.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2.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2.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2.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2.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2.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2.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2.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2.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2.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2.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2.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2.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2.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2.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2.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2.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2.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2.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2.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2.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2.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2.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2.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2.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2.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2.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2.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2.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2.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2.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2.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2.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2.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2.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2.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2.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2.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2.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2.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2.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2.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2.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2.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2.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2.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2.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2.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2.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2.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2.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2.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2.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2.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2.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2.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2.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2.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2.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2.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2.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2.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2.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2.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2.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2.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2.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2.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2.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2.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2.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2.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2.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2.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2.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2.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2.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2.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2.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2.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2.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2.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2.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2.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2.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2.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2.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2.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2.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2.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2.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2.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2.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2.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2.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2.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2.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2.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2.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2.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2.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2.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2.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2.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2.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2.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2.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2.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2.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2.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2.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2.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2.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2.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2.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2.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2.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2.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2.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2.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2.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2.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2.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2.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2.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2.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2.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2.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2.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2.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2.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2.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2.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2.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2.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2.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2.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2.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2.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2.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2.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2.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2.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2.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2.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2.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2.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2.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2.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2.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2.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2.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2.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2.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2.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2.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2.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2.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2.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2.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2.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2.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2.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2.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2.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2.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2.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2.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2.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2.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2.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2.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2.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2.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2.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2.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2.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2.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2.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2.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2.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2.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2.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2.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2.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2.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2.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2.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2.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2.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2.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2.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2.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2.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2.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2.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2.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2.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2.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2.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2.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2.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2.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2.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2.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2.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2.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2.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2.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2.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2.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2.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2.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2.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2.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2.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2.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2.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2.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2.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2.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2.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2.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2.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2.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2.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2.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2.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2.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2.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2.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2.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2.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2.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2.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2.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2.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2.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2.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2.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2.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2.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2.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2.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2.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2.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2.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2.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2.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2.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2.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2.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2.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2.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2.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2.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2.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2.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2.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2.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2.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2.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2.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2.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2.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2.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2.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2.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2.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2.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2.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2.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2.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2.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2.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2.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2.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2.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2.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2.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2.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2.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2.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2.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2.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2.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2.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2.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2.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2.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2.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2.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2.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2.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2.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2.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2.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2.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2.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2.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2.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2.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2.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2.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2.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2.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2.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2.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2.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2.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2.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2.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2.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2.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2.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2.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2.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2.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2.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2.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2.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2.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2.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2.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2.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2.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2.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2.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2.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2.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2.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2.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2.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2.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2.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2.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2.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2.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2.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2.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2.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2.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2.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2.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2.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2.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2.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2.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2.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2.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2.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2.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2.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2.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2.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2.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2.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2.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2.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2.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2.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2.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2.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2.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2.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2.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2.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2.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2.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2.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2.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2.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2.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2.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2.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2.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2.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2.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2.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2.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2.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2.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2.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2.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2.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2.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2.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2.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2.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2.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2.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2.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2.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2.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2.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2.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2.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2.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2.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2.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2.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2.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2.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2.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2.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2.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2.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2.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2.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2.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2.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2.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2.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2.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2.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2.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2.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2.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2.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2.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2.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2.7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2.7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2.7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2.7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2.7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2.7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2.7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2.7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2.7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2.7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2.7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2.7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2.7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2.7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2.7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2.7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2.7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2.7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2.7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2.7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2.7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2.7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pageMargins left="0.75" right="0.75" top="1" bottom="1" header="0" footer="0"/>
  <pageSetup orientation="portrait"/>
  <headerFooter>
    <oddFooter>&amp;C000000&amp;P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Z1000"/>
  <sheetViews>
    <sheetView showGridLines="0" workbookViewId="0"/>
  </sheetViews>
  <sheetFormatPr defaultColWidth="14.44140625" defaultRowHeight="15" customHeight="1"/>
  <cols>
    <col min="1" max="1" width="11.6640625" customWidth="1"/>
    <col min="2" max="7" width="13.6640625" customWidth="1"/>
    <col min="8" max="26" width="8.88671875" customWidth="1"/>
  </cols>
  <sheetData>
    <row r="1" spans="1:26" ht="14.25" customHeight="1">
      <c r="A1" s="5" t="s">
        <v>71</v>
      </c>
      <c r="B1" s="6"/>
      <c r="C1" s="6"/>
      <c r="D1" s="6"/>
      <c r="E1" s="6"/>
      <c r="F1" s="6"/>
      <c r="G1" s="6"/>
      <c r="H1" s="36"/>
      <c r="I1" s="36"/>
      <c r="J1" s="36"/>
      <c r="K1" s="36"/>
      <c r="L1" s="36"/>
      <c r="M1" s="7"/>
      <c r="N1" s="8"/>
      <c r="O1" s="8"/>
      <c r="P1" s="8"/>
      <c r="Q1" s="8"/>
      <c r="R1" s="8"/>
      <c r="S1" s="8"/>
      <c r="T1" s="8"/>
      <c r="U1" s="8"/>
      <c r="V1" s="8"/>
      <c r="W1" s="8"/>
      <c r="X1" s="8"/>
      <c r="Y1" s="8"/>
      <c r="Z1" s="8"/>
    </row>
    <row r="2" spans="1:26" ht="15" customHeight="1">
      <c r="A2" s="64" t="s">
        <v>76</v>
      </c>
      <c r="B2" s="15" t="s">
        <v>102</v>
      </c>
      <c r="C2" s="15" t="s">
        <v>103</v>
      </c>
      <c r="D2" s="15" t="s">
        <v>104</v>
      </c>
      <c r="E2" s="15" t="s">
        <v>106</v>
      </c>
      <c r="F2" s="15" t="s">
        <v>120</v>
      </c>
      <c r="G2" s="15" t="s">
        <v>121</v>
      </c>
      <c r="H2" s="8"/>
      <c r="I2" s="8"/>
      <c r="J2" s="8"/>
      <c r="K2" s="8"/>
      <c r="L2" s="8"/>
      <c r="M2" s="13"/>
      <c r="N2" s="8"/>
      <c r="O2" s="8"/>
      <c r="P2" s="8"/>
      <c r="Q2" s="8"/>
      <c r="R2" s="8"/>
      <c r="S2" s="8"/>
      <c r="T2" s="8"/>
      <c r="U2" s="8"/>
      <c r="V2" s="8"/>
      <c r="W2" s="8"/>
      <c r="X2" s="8"/>
      <c r="Y2" s="8"/>
      <c r="Z2" s="8"/>
    </row>
    <row r="3" spans="1:26" ht="15" customHeight="1">
      <c r="A3" s="18" t="s">
        <v>83</v>
      </c>
      <c r="B3" s="19" t="s">
        <v>122</v>
      </c>
      <c r="C3" s="19" t="s">
        <v>123</v>
      </c>
      <c r="D3" s="19" t="s">
        <v>124</v>
      </c>
      <c r="E3" s="19" t="s">
        <v>125</v>
      </c>
      <c r="F3" s="19" t="s">
        <v>126</v>
      </c>
      <c r="G3" s="19" t="s">
        <v>127</v>
      </c>
      <c r="H3" s="8"/>
      <c r="I3" s="8"/>
      <c r="J3" s="8"/>
      <c r="K3" s="8"/>
      <c r="L3" s="8"/>
      <c r="M3" s="13"/>
      <c r="N3" s="8"/>
      <c r="O3" s="8"/>
      <c r="P3" s="8"/>
      <c r="Q3" s="8"/>
      <c r="R3" s="8"/>
      <c r="S3" s="8"/>
      <c r="T3" s="8"/>
      <c r="U3" s="8"/>
      <c r="V3" s="8"/>
      <c r="W3" s="8"/>
      <c r="X3" s="8"/>
      <c r="Y3" s="8"/>
      <c r="Z3" s="8"/>
    </row>
    <row r="4" spans="1:26" ht="14.25" customHeight="1">
      <c r="A4" s="9"/>
      <c r="B4" s="83" t="s">
        <v>128</v>
      </c>
      <c r="C4" s="84"/>
      <c r="D4" s="84"/>
      <c r="E4" s="84"/>
      <c r="F4" s="84"/>
      <c r="G4" s="84"/>
      <c r="H4" s="8"/>
      <c r="I4" s="8"/>
      <c r="J4" s="8"/>
      <c r="K4" s="8"/>
      <c r="L4" s="8"/>
      <c r="M4" s="13"/>
      <c r="N4" s="8"/>
      <c r="O4" s="8"/>
      <c r="P4" s="8"/>
      <c r="Q4" s="8"/>
      <c r="R4" s="8"/>
      <c r="S4" s="8"/>
      <c r="T4" s="8"/>
      <c r="U4" s="8"/>
      <c r="V4" s="8"/>
      <c r="W4" s="8"/>
      <c r="X4" s="8"/>
      <c r="Y4" s="8"/>
      <c r="Z4" s="8"/>
    </row>
    <row r="5" spans="1:26" ht="14.25" customHeight="1">
      <c r="A5" s="22"/>
      <c r="B5" s="23"/>
      <c r="C5" s="23"/>
      <c r="D5" s="23"/>
      <c r="E5" s="23"/>
      <c r="F5" s="23"/>
      <c r="G5" s="23"/>
      <c r="H5" s="8"/>
      <c r="I5" s="8"/>
      <c r="J5" s="8"/>
      <c r="K5" s="8"/>
      <c r="L5" s="8"/>
      <c r="M5" s="13"/>
      <c r="N5" s="8"/>
      <c r="O5" s="8"/>
      <c r="P5" s="8"/>
      <c r="Q5" s="8"/>
      <c r="R5" s="8"/>
      <c r="S5" s="8"/>
      <c r="T5" s="8"/>
      <c r="U5" s="8"/>
      <c r="V5" s="8"/>
      <c r="W5" s="8"/>
      <c r="X5" s="8"/>
      <c r="Y5" s="8"/>
      <c r="Z5" s="8"/>
    </row>
    <row r="6" spans="1:26" ht="14.25" customHeight="1">
      <c r="A6" s="14" t="s">
        <v>89</v>
      </c>
      <c r="B6" s="69">
        <v>311.27</v>
      </c>
      <c r="C6" s="69">
        <v>220.9</v>
      </c>
      <c r="D6" s="69">
        <v>151.04</v>
      </c>
      <c r="E6" s="17" t="s">
        <v>49</v>
      </c>
      <c r="F6" s="69">
        <v>224.92</v>
      </c>
      <c r="G6" s="69">
        <v>209.23</v>
      </c>
      <c r="H6" s="86"/>
      <c r="I6" s="8"/>
      <c r="J6" s="8"/>
      <c r="K6" s="8"/>
      <c r="L6" s="8"/>
      <c r="M6" s="13"/>
      <c r="N6" s="8"/>
      <c r="O6" s="8"/>
      <c r="P6" s="8"/>
      <c r="Q6" s="8"/>
      <c r="R6" s="8"/>
      <c r="S6" s="8"/>
      <c r="T6" s="8"/>
      <c r="U6" s="8"/>
      <c r="V6" s="8"/>
      <c r="W6" s="8"/>
      <c r="X6" s="8"/>
      <c r="Y6" s="8"/>
      <c r="Z6" s="8"/>
    </row>
    <row r="7" spans="1:26" ht="14.25" customHeight="1">
      <c r="A7" s="14" t="s">
        <v>90</v>
      </c>
      <c r="B7" s="69">
        <v>345.52</v>
      </c>
      <c r="C7" s="69">
        <v>273.83999999999997</v>
      </c>
      <c r="D7" s="69">
        <v>219.72</v>
      </c>
      <c r="E7" s="17" t="s">
        <v>49</v>
      </c>
      <c r="F7" s="69">
        <v>263.63</v>
      </c>
      <c r="G7" s="69">
        <v>240.65</v>
      </c>
      <c r="H7" s="86"/>
      <c r="I7" s="8"/>
      <c r="J7" s="8"/>
      <c r="K7" s="8"/>
      <c r="L7" s="8"/>
      <c r="M7" s="13"/>
      <c r="N7" s="8"/>
      <c r="O7" s="8"/>
      <c r="P7" s="8"/>
      <c r="Q7" s="8"/>
      <c r="R7" s="8"/>
      <c r="S7" s="8"/>
      <c r="T7" s="8"/>
      <c r="U7" s="8"/>
      <c r="V7" s="8"/>
      <c r="W7" s="8"/>
      <c r="X7" s="8"/>
      <c r="Y7" s="8"/>
      <c r="Z7" s="8"/>
    </row>
    <row r="8" spans="1:26" ht="14.25" customHeight="1">
      <c r="A8" s="14" t="s">
        <v>91</v>
      </c>
      <c r="B8" s="69">
        <v>393.53</v>
      </c>
      <c r="C8" s="69">
        <v>275.13</v>
      </c>
      <c r="D8" s="69">
        <v>246.75</v>
      </c>
      <c r="E8" s="17" t="s">
        <v>49</v>
      </c>
      <c r="F8" s="69">
        <v>307.58999999999997</v>
      </c>
      <c r="G8" s="69">
        <v>265.68</v>
      </c>
      <c r="H8" s="86"/>
      <c r="I8" s="8"/>
      <c r="J8" s="8"/>
      <c r="K8" s="8"/>
      <c r="L8" s="8"/>
      <c r="M8" s="13"/>
      <c r="N8" s="8"/>
      <c r="O8" s="8"/>
      <c r="P8" s="8"/>
      <c r="Q8" s="8"/>
      <c r="R8" s="8"/>
      <c r="S8" s="8"/>
      <c r="T8" s="8"/>
      <c r="U8" s="8"/>
      <c r="V8" s="8"/>
      <c r="W8" s="8"/>
      <c r="X8" s="8"/>
      <c r="Y8" s="8"/>
      <c r="Z8" s="8"/>
    </row>
    <row r="9" spans="1:26" ht="14.25" customHeight="1">
      <c r="A9" s="14" t="s">
        <v>92</v>
      </c>
      <c r="B9" s="69">
        <v>468.11</v>
      </c>
      <c r="C9" s="69">
        <v>331.52</v>
      </c>
      <c r="D9" s="69">
        <v>241.57</v>
      </c>
      <c r="E9" s="17" t="s">
        <v>49</v>
      </c>
      <c r="F9" s="69">
        <v>354.22</v>
      </c>
      <c r="G9" s="69">
        <v>329.31</v>
      </c>
      <c r="H9" s="86"/>
      <c r="I9" s="8"/>
      <c r="J9" s="8"/>
      <c r="K9" s="8"/>
      <c r="L9" s="8"/>
      <c r="M9" s="13"/>
      <c r="N9" s="8"/>
      <c r="O9" s="8"/>
      <c r="P9" s="8"/>
      <c r="Q9" s="8"/>
      <c r="R9" s="8"/>
      <c r="S9" s="8"/>
      <c r="T9" s="8"/>
      <c r="U9" s="8"/>
      <c r="V9" s="8"/>
      <c r="W9" s="8"/>
      <c r="X9" s="8"/>
      <c r="Y9" s="8"/>
      <c r="Z9" s="8"/>
    </row>
    <row r="10" spans="1:26" ht="14.25" customHeight="1">
      <c r="A10" s="14" t="s">
        <v>93</v>
      </c>
      <c r="B10" s="69">
        <v>489.94</v>
      </c>
      <c r="C10" s="69">
        <v>377.71</v>
      </c>
      <c r="D10" s="69">
        <v>238.87</v>
      </c>
      <c r="E10" s="17" t="s">
        <v>49</v>
      </c>
      <c r="F10" s="69">
        <v>359.7</v>
      </c>
      <c r="G10" s="69">
        <v>337.23</v>
      </c>
      <c r="H10" s="86"/>
      <c r="I10" s="8"/>
      <c r="J10" s="8"/>
      <c r="K10" s="8"/>
      <c r="L10" s="8"/>
      <c r="M10" s="13"/>
      <c r="N10" s="8"/>
      <c r="O10" s="8"/>
      <c r="P10" s="8"/>
      <c r="Q10" s="8"/>
      <c r="R10" s="8"/>
      <c r="S10" s="8"/>
      <c r="T10" s="8"/>
      <c r="U10" s="8"/>
      <c r="V10" s="8"/>
      <c r="W10" s="8"/>
      <c r="X10" s="8"/>
      <c r="Y10" s="8"/>
      <c r="Z10" s="8"/>
    </row>
    <row r="11" spans="1:26" ht="14.25" customHeight="1">
      <c r="A11" s="14" t="s">
        <v>94</v>
      </c>
      <c r="B11" s="69">
        <v>368.49</v>
      </c>
      <c r="C11" s="69">
        <v>304.27</v>
      </c>
      <c r="D11" s="69">
        <v>209.97</v>
      </c>
      <c r="E11" s="17" t="s">
        <v>49</v>
      </c>
      <c r="F11" s="69">
        <v>301.2</v>
      </c>
      <c r="G11" s="69">
        <v>256.58</v>
      </c>
      <c r="H11" s="86"/>
      <c r="I11" s="8"/>
      <c r="J11" s="8"/>
      <c r="K11" s="8"/>
      <c r="L11" s="8"/>
      <c r="M11" s="13"/>
      <c r="N11" s="8"/>
      <c r="O11" s="8"/>
      <c r="P11" s="8"/>
      <c r="Q11" s="8"/>
      <c r="R11" s="8"/>
      <c r="S11" s="8"/>
      <c r="T11" s="8"/>
      <c r="U11" s="8"/>
      <c r="V11" s="8"/>
      <c r="W11" s="8"/>
      <c r="X11" s="8"/>
      <c r="Y11" s="8"/>
      <c r="Z11" s="8"/>
    </row>
    <row r="12" spans="1:26" ht="14.25" customHeight="1">
      <c r="A12" s="14" t="s">
        <v>95</v>
      </c>
      <c r="B12" s="69">
        <v>324.56</v>
      </c>
      <c r="C12" s="69">
        <v>261.19</v>
      </c>
      <c r="D12" s="69">
        <v>153.16999999999999</v>
      </c>
      <c r="E12" s="17" t="s">
        <v>49</v>
      </c>
      <c r="F12" s="69">
        <v>262.2</v>
      </c>
      <c r="G12" s="69">
        <v>260.23</v>
      </c>
      <c r="H12" s="8"/>
      <c r="I12" s="8"/>
      <c r="J12" s="8"/>
      <c r="K12" s="8"/>
      <c r="L12" s="8"/>
      <c r="M12" s="13"/>
      <c r="N12" s="8"/>
      <c r="O12" s="8"/>
      <c r="P12" s="8"/>
      <c r="Q12" s="8"/>
      <c r="R12" s="8"/>
      <c r="S12" s="8"/>
      <c r="T12" s="8"/>
      <c r="U12" s="8"/>
      <c r="V12" s="8"/>
      <c r="W12" s="8"/>
      <c r="X12" s="8"/>
      <c r="Y12" s="8"/>
      <c r="Z12" s="8"/>
    </row>
    <row r="13" spans="1:26" ht="14.25" customHeight="1">
      <c r="A13" s="14" t="s">
        <v>96</v>
      </c>
      <c r="B13" s="69">
        <v>316.88</v>
      </c>
      <c r="C13" s="69">
        <v>208.61</v>
      </c>
      <c r="D13" s="69">
        <v>145.1</v>
      </c>
      <c r="E13" s="17" t="s">
        <v>49</v>
      </c>
      <c r="F13" s="69">
        <v>267.94</v>
      </c>
      <c r="G13" s="69">
        <v>282.49</v>
      </c>
      <c r="H13" s="8"/>
      <c r="I13" s="8"/>
      <c r="J13" s="8"/>
      <c r="K13" s="8"/>
      <c r="L13" s="8"/>
      <c r="M13" s="13"/>
      <c r="N13" s="8"/>
      <c r="O13" s="8"/>
      <c r="P13" s="8"/>
      <c r="Q13" s="8"/>
      <c r="R13" s="8"/>
      <c r="S13" s="8"/>
      <c r="T13" s="8"/>
      <c r="U13" s="8"/>
      <c r="V13" s="8"/>
      <c r="W13" s="8"/>
      <c r="X13" s="8"/>
      <c r="Y13" s="8"/>
      <c r="Z13" s="8"/>
    </row>
    <row r="14" spans="1:26" ht="14.25" customHeight="1">
      <c r="A14" s="14" t="s">
        <v>35</v>
      </c>
      <c r="B14" s="69">
        <v>345.02</v>
      </c>
      <c r="C14" s="69">
        <v>260.88</v>
      </c>
      <c r="D14" s="69">
        <v>173.53</v>
      </c>
      <c r="E14" s="17" t="s">
        <v>49</v>
      </c>
      <c r="F14" s="69">
        <v>291.14999999999998</v>
      </c>
      <c r="G14" s="69">
        <v>239.15</v>
      </c>
      <c r="H14" s="8"/>
      <c r="I14" s="8"/>
      <c r="J14" s="8"/>
      <c r="K14" s="8"/>
      <c r="L14" s="8"/>
      <c r="M14" s="13"/>
      <c r="N14" s="8"/>
      <c r="O14" s="8"/>
      <c r="P14" s="8"/>
      <c r="Q14" s="8"/>
      <c r="R14" s="8"/>
      <c r="S14" s="8"/>
      <c r="T14" s="8"/>
      <c r="U14" s="8"/>
      <c r="V14" s="8"/>
      <c r="W14" s="8"/>
      <c r="X14" s="8"/>
      <c r="Y14" s="8"/>
      <c r="Z14" s="8"/>
    </row>
    <row r="15" spans="1:26" ht="16.5" customHeight="1">
      <c r="A15" s="14" t="s">
        <v>129</v>
      </c>
      <c r="B15" s="69">
        <v>310</v>
      </c>
      <c r="C15" s="69">
        <v>230</v>
      </c>
      <c r="D15" s="87">
        <v>165</v>
      </c>
      <c r="E15" s="17" t="s">
        <v>49</v>
      </c>
      <c r="F15" s="69">
        <v>275</v>
      </c>
      <c r="G15" s="69">
        <v>225</v>
      </c>
      <c r="H15" s="8"/>
      <c r="I15" s="8"/>
      <c r="J15" s="8"/>
      <c r="K15" s="8"/>
      <c r="L15" s="8"/>
      <c r="M15" s="13"/>
      <c r="N15" s="8"/>
      <c r="O15" s="8"/>
      <c r="P15" s="8"/>
      <c r="Q15" s="8"/>
      <c r="R15" s="8"/>
      <c r="S15" s="8"/>
      <c r="T15" s="8"/>
      <c r="U15" s="8"/>
      <c r="V15" s="8"/>
      <c r="W15" s="8"/>
      <c r="X15" s="8"/>
      <c r="Y15" s="8"/>
      <c r="Z15" s="8"/>
    </row>
    <row r="16" spans="1:26" ht="16.5" customHeight="1">
      <c r="A16" s="14" t="s">
        <v>130</v>
      </c>
      <c r="B16" s="69">
        <v>300</v>
      </c>
      <c r="C16" s="69">
        <v>230</v>
      </c>
      <c r="D16" s="87">
        <v>165</v>
      </c>
      <c r="E16" s="17" t="s">
        <v>49</v>
      </c>
      <c r="F16" s="69">
        <v>250</v>
      </c>
      <c r="G16" s="69">
        <v>215</v>
      </c>
      <c r="H16" s="8"/>
      <c r="I16" s="8"/>
      <c r="J16" s="8"/>
      <c r="K16" s="8"/>
      <c r="L16" s="8"/>
      <c r="M16" s="13"/>
      <c r="N16" s="8"/>
      <c r="O16" s="8"/>
      <c r="P16" s="8"/>
      <c r="Q16" s="8"/>
      <c r="R16" s="8"/>
      <c r="S16" s="8"/>
      <c r="T16" s="8"/>
      <c r="U16" s="8"/>
      <c r="V16" s="8"/>
      <c r="W16" s="8"/>
      <c r="X16" s="8"/>
      <c r="Y16" s="8"/>
      <c r="Z16" s="8"/>
    </row>
    <row r="17" spans="1:26" ht="14.25" customHeight="1">
      <c r="A17" s="22"/>
      <c r="B17" s="69"/>
      <c r="C17" s="69"/>
      <c r="D17" s="69"/>
      <c r="E17" s="73"/>
      <c r="F17" s="69"/>
      <c r="G17" s="69"/>
      <c r="H17" s="88"/>
      <c r="I17" s="8"/>
      <c r="J17" s="8"/>
      <c r="K17" s="8"/>
      <c r="L17" s="8"/>
      <c r="M17" s="13"/>
      <c r="N17" s="8"/>
      <c r="O17" s="8"/>
      <c r="P17" s="8"/>
      <c r="Q17" s="8"/>
      <c r="R17" s="8"/>
      <c r="S17" s="8"/>
      <c r="T17" s="8"/>
      <c r="U17" s="8"/>
      <c r="V17" s="8"/>
      <c r="W17" s="8"/>
      <c r="X17" s="8"/>
      <c r="Y17" s="8"/>
      <c r="Z17" s="8"/>
    </row>
    <row r="18" spans="1:26" ht="14.25" customHeight="1">
      <c r="A18" s="14" t="s">
        <v>35</v>
      </c>
      <c r="B18" s="69"/>
      <c r="C18" s="69"/>
      <c r="D18" s="69"/>
      <c r="E18" s="73"/>
      <c r="F18" s="69"/>
      <c r="G18" s="69"/>
      <c r="H18" s="88"/>
      <c r="I18" s="8"/>
      <c r="J18" s="8"/>
      <c r="K18" s="8"/>
      <c r="L18" s="8"/>
      <c r="M18" s="13"/>
      <c r="N18" s="8"/>
      <c r="O18" s="8"/>
      <c r="P18" s="8"/>
      <c r="Q18" s="8"/>
      <c r="R18" s="8"/>
      <c r="S18" s="8"/>
      <c r="T18" s="8"/>
      <c r="U18" s="8"/>
      <c r="V18" s="8"/>
      <c r="W18" s="8"/>
      <c r="X18" s="8"/>
      <c r="Y18" s="8"/>
      <c r="Z18" s="8"/>
    </row>
    <row r="19" spans="1:26" ht="14.25" customHeight="1">
      <c r="A19" s="14" t="s">
        <v>36</v>
      </c>
      <c r="B19" s="69">
        <v>315.23</v>
      </c>
      <c r="C19" s="69">
        <v>229</v>
      </c>
      <c r="D19" s="69">
        <v>153</v>
      </c>
      <c r="E19" s="17" t="s">
        <v>49</v>
      </c>
      <c r="F19" s="69">
        <v>257.73</v>
      </c>
      <c r="G19" s="69">
        <v>214</v>
      </c>
      <c r="H19" s="88"/>
      <c r="I19" s="71"/>
      <c r="J19" s="71"/>
      <c r="K19" s="71"/>
      <c r="L19" s="71"/>
      <c r="M19" s="85"/>
      <c r="N19" s="8"/>
      <c r="O19" s="8"/>
      <c r="P19" s="8"/>
      <c r="Q19" s="8"/>
      <c r="R19" s="8"/>
      <c r="S19" s="8"/>
      <c r="T19" s="8"/>
      <c r="U19" s="8"/>
      <c r="V19" s="8"/>
      <c r="W19" s="8"/>
      <c r="X19" s="8"/>
      <c r="Y19" s="8"/>
      <c r="Z19" s="8"/>
    </row>
    <row r="20" spans="1:26" ht="14.25" customHeight="1">
      <c r="A20" s="14" t="s">
        <v>37</v>
      </c>
      <c r="B20" s="69">
        <v>313.52</v>
      </c>
      <c r="C20" s="69">
        <v>228.75</v>
      </c>
      <c r="D20" s="69">
        <v>165</v>
      </c>
      <c r="E20" s="17" t="s">
        <v>49</v>
      </c>
      <c r="F20" s="69">
        <v>255.74</v>
      </c>
      <c r="G20" s="69">
        <v>205</v>
      </c>
      <c r="H20" s="88"/>
      <c r="I20" s="71"/>
      <c r="J20" s="71"/>
      <c r="K20" s="71"/>
      <c r="L20" s="71"/>
      <c r="M20" s="85"/>
      <c r="N20" s="8"/>
      <c r="O20" s="8"/>
      <c r="P20" s="8"/>
      <c r="Q20" s="8"/>
      <c r="R20" s="8"/>
      <c r="S20" s="8"/>
      <c r="T20" s="8"/>
      <c r="U20" s="8"/>
      <c r="V20" s="8"/>
      <c r="W20" s="8"/>
      <c r="X20" s="8"/>
      <c r="Y20" s="8"/>
      <c r="Z20" s="8"/>
    </row>
    <row r="21" spans="1:26" ht="14.25" customHeight="1">
      <c r="A21" s="14" t="s">
        <v>38</v>
      </c>
      <c r="B21" s="69">
        <v>319.22000000000003</v>
      </c>
      <c r="C21" s="69">
        <v>232.5</v>
      </c>
      <c r="D21" s="69">
        <v>185</v>
      </c>
      <c r="E21" s="17" t="s">
        <v>49</v>
      </c>
      <c r="F21" s="69">
        <v>266.52999999999997</v>
      </c>
      <c r="G21" s="69">
        <v>209.17</v>
      </c>
      <c r="H21" s="88"/>
      <c r="I21" s="8"/>
      <c r="J21" s="8"/>
      <c r="K21" s="8"/>
      <c r="L21" s="8"/>
      <c r="M21" s="13"/>
      <c r="N21" s="8"/>
      <c r="O21" s="8"/>
      <c r="P21" s="8"/>
      <c r="Q21" s="8"/>
      <c r="R21" s="8"/>
      <c r="S21" s="8"/>
      <c r="T21" s="8"/>
      <c r="U21" s="8"/>
      <c r="V21" s="8"/>
      <c r="W21" s="8"/>
      <c r="X21" s="8"/>
      <c r="Y21" s="8"/>
      <c r="Z21" s="8"/>
    </row>
    <row r="22" spans="1:26" ht="14.25" customHeight="1">
      <c r="A22" s="14" t="s">
        <v>39</v>
      </c>
      <c r="B22" s="69">
        <v>322.60000000000002</v>
      </c>
      <c r="C22" s="69">
        <v>259</v>
      </c>
      <c r="D22" s="69">
        <v>178</v>
      </c>
      <c r="E22" s="17" t="s">
        <v>49</v>
      </c>
      <c r="F22" s="69">
        <v>270.2</v>
      </c>
      <c r="G22" s="69">
        <v>215.5</v>
      </c>
      <c r="H22" s="88"/>
      <c r="I22" s="8"/>
      <c r="J22" s="8"/>
      <c r="K22" s="8"/>
      <c r="L22" s="8"/>
      <c r="M22" s="13"/>
      <c r="N22" s="8"/>
      <c r="O22" s="8"/>
      <c r="P22" s="8"/>
      <c r="Q22" s="8"/>
      <c r="R22" s="8"/>
      <c r="S22" s="8"/>
      <c r="T22" s="8"/>
      <c r="U22" s="8"/>
      <c r="V22" s="8"/>
      <c r="W22" s="8"/>
      <c r="X22" s="8"/>
      <c r="Y22" s="8"/>
      <c r="Z22" s="8"/>
    </row>
    <row r="23" spans="1:26" ht="14.25" customHeight="1">
      <c r="A23" s="14" t="s">
        <v>40</v>
      </c>
      <c r="B23" s="69">
        <v>362.85</v>
      </c>
      <c r="C23" s="69">
        <v>303.13</v>
      </c>
      <c r="D23" s="69">
        <v>185.63</v>
      </c>
      <c r="E23" s="17" t="s">
        <v>49</v>
      </c>
      <c r="F23" s="69">
        <v>315.95</v>
      </c>
      <c r="G23" s="69">
        <v>233.13</v>
      </c>
      <c r="H23" s="88"/>
      <c r="I23" s="8"/>
      <c r="J23" s="8"/>
      <c r="K23" s="8"/>
      <c r="L23" s="8"/>
      <c r="M23" s="13"/>
      <c r="N23" s="8"/>
      <c r="O23" s="8"/>
      <c r="P23" s="8"/>
      <c r="Q23" s="8"/>
      <c r="R23" s="8"/>
      <c r="S23" s="8"/>
      <c r="T23" s="8"/>
      <c r="U23" s="8"/>
      <c r="V23" s="8"/>
      <c r="W23" s="8"/>
      <c r="X23" s="8"/>
      <c r="Y23" s="8"/>
      <c r="Z23" s="8"/>
    </row>
    <row r="24" spans="1:26" ht="14.25" customHeight="1">
      <c r="A24" s="14" t="s">
        <v>41</v>
      </c>
      <c r="B24" s="69">
        <v>379.85</v>
      </c>
      <c r="C24" s="69">
        <v>323.13</v>
      </c>
      <c r="D24" s="69">
        <v>187.5</v>
      </c>
      <c r="E24" s="17" t="s">
        <v>49</v>
      </c>
      <c r="F24" s="69">
        <v>334.58</v>
      </c>
      <c r="G24" s="69">
        <v>237.5</v>
      </c>
      <c r="H24" s="88"/>
      <c r="I24" s="8"/>
      <c r="J24" s="8"/>
      <c r="K24" s="8"/>
      <c r="L24" s="8"/>
      <c r="M24" s="13"/>
      <c r="N24" s="8"/>
      <c r="O24" s="8"/>
      <c r="P24" s="8"/>
      <c r="Q24" s="8"/>
      <c r="R24" s="8"/>
      <c r="S24" s="8"/>
      <c r="T24" s="8"/>
      <c r="U24" s="8"/>
      <c r="V24" s="8"/>
      <c r="W24" s="8"/>
      <c r="X24" s="8"/>
      <c r="Y24" s="8"/>
      <c r="Z24" s="8"/>
    </row>
    <row r="25" spans="1:26" ht="14.25" customHeight="1">
      <c r="A25" s="14" t="s">
        <v>42</v>
      </c>
      <c r="B25" s="69">
        <v>385.84</v>
      </c>
      <c r="C25" s="69">
        <v>263.13</v>
      </c>
      <c r="D25" s="69">
        <v>191.88</v>
      </c>
      <c r="E25" s="17" t="s">
        <v>49</v>
      </c>
      <c r="F25" s="69">
        <v>332.16</v>
      </c>
      <c r="G25" s="69">
        <v>238.13</v>
      </c>
      <c r="H25" s="88"/>
      <c r="I25" s="8"/>
      <c r="J25" s="8"/>
      <c r="K25" s="8"/>
      <c r="L25" s="8"/>
      <c r="M25" s="13"/>
      <c r="N25" s="8"/>
      <c r="O25" s="8"/>
      <c r="P25" s="8"/>
      <c r="Q25" s="8"/>
      <c r="R25" s="8"/>
      <c r="S25" s="8"/>
      <c r="T25" s="8"/>
      <c r="U25" s="8"/>
      <c r="V25" s="8"/>
      <c r="W25" s="8"/>
      <c r="X25" s="8"/>
      <c r="Y25" s="8"/>
      <c r="Z25" s="8"/>
    </row>
    <row r="26" spans="1:26" ht="14.25" customHeight="1">
      <c r="A26" s="14" t="s">
        <v>43</v>
      </c>
      <c r="B26" s="69">
        <v>393.55</v>
      </c>
      <c r="C26" s="69">
        <v>262.5</v>
      </c>
      <c r="D26" s="69">
        <v>201.5</v>
      </c>
      <c r="E26" s="17" t="s">
        <v>49</v>
      </c>
      <c r="F26" s="69">
        <v>336.93</v>
      </c>
      <c r="G26" s="69">
        <v>267.5</v>
      </c>
      <c r="H26" s="88"/>
      <c r="I26" s="8"/>
      <c r="J26" s="8"/>
      <c r="K26" s="8"/>
      <c r="L26" s="8"/>
      <c r="M26" s="13"/>
      <c r="N26" s="8"/>
      <c r="O26" s="8"/>
      <c r="P26" s="8"/>
      <c r="Q26" s="8"/>
      <c r="R26" s="8"/>
      <c r="S26" s="8"/>
      <c r="T26" s="8"/>
      <c r="U26" s="8"/>
      <c r="V26" s="8"/>
      <c r="W26" s="8"/>
      <c r="X26" s="8"/>
      <c r="Y26" s="8"/>
      <c r="Z26" s="8"/>
    </row>
    <row r="27" spans="1:26" ht="14.25" customHeight="1">
      <c r="A27" s="14" t="s">
        <v>44</v>
      </c>
      <c r="B27" s="69">
        <v>355.71</v>
      </c>
      <c r="C27" s="69">
        <v>257.5</v>
      </c>
      <c r="D27" s="69">
        <v>175.63</v>
      </c>
      <c r="E27" s="17" t="s">
        <v>49</v>
      </c>
      <c r="F27" s="69">
        <v>302.75</v>
      </c>
      <c r="G27" s="69">
        <v>271.25</v>
      </c>
      <c r="H27" s="88"/>
      <c r="I27" s="8"/>
      <c r="J27" s="8"/>
      <c r="K27" s="8"/>
      <c r="L27" s="8"/>
      <c r="M27" s="13"/>
      <c r="N27" s="8"/>
      <c r="O27" s="8"/>
      <c r="P27" s="8"/>
      <c r="Q27" s="8"/>
      <c r="R27" s="8"/>
      <c r="S27" s="8"/>
      <c r="T27" s="8"/>
      <c r="U27" s="8"/>
      <c r="V27" s="8"/>
      <c r="W27" s="8"/>
      <c r="X27" s="8"/>
      <c r="Y27" s="8"/>
      <c r="Z27" s="8"/>
    </row>
    <row r="28" spans="1:26" ht="14.25" customHeight="1">
      <c r="A28" s="14" t="s">
        <v>45</v>
      </c>
      <c r="B28" s="69">
        <v>341.08</v>
      </c>
      <c r="C28" s="69">
        <v>253.13</v>
      </c>
      <c r="D28" s="69">
        <v>155.5</v>
      </c>
      <c r="E28" s="17" t="s">
        <v>49</v>
      </c>
      <c r="F28" s="69">
        <v>279.83999999999997</v>
      </c>
      <c r="G28" s="69">
        <v>278</v>
      </c>
      <c r="H28" s="88"/>
      <c r="I28" s="8"/>
      <c r="J28" s="8"/>
      <c r="K28" s="8"/>
      <c r="L28" s="8"/>
      <c r="M28" s="13"/>
      <c r="N28" s="8"/>
      <c r="O28" s="8"/>
      <c r="P28" s="8"/>
      <c r="Q28" s="8"/>
      <c r="R28" s="8"/>
      <c r="S28" s="8"/>
      <c r="T28" s="8"/>
      <c r="U28" s="8"/>
      <c r="V28" s="8"/>
      <c r="W28" s="8"/>
      <c r="X28" s="8"/>
      <c r="Y28" s="8"/>
      <c r="Z28" s="8"/>
    </row>
    <row r="29" spans="1:26" ht="14.25" customHeight="1">
      <c r="A29" s="14" t="s">
        <v>46</v>
      </c>
      <c r="B29" s="69">
        <v>332.5</v>
      </c>
      <c r="C29" s="69">
        <v>260</v>
      </c>
      <c r="D29" s="69">
        <v>153.13</v>
      </c>
      <c r="E29" s="17" t="s">
        <v>49</v>
      </c>
      <c r="F29" s="69">
        <v>274.55</v>
      </c>
      <c r="G29" s="69">
        <v>265.63</v>
      </c>
      <c r="H29" s="88"/>
      <c r="I29" s="8"/>
      <c r="J29" s="8"/>
      <c r="K29" s="8"/>
      <c r="L29" s="8"/>
      <c r="M29" s="13"/>
      <c r="N29" s="8"/>
      <c r="O29" s="8"/>
      <c r="P29" s="8"/>
      <c r="Q29" s="8"/>
      <c r="R29" s="8"/>
      <c r="S29" s="8"/>
      <c r="T29" s="8"/>
      <c r="U29" s="8"/>
      <c r="V29" s="8"/>
      <c r="W29" s="8"/>
      <c r="X29" s="8"/>
      <c r="Y29" s="8"/>
      <c r="Z29" s="8"/>
    </row>
    <row r="30" spans="1:26" ht="14.25" customHeight="1">
      <c r="A30" s="14" t="s">
        <v>47</v>
      </c>
      <c r="B30" s="69">
        <v>318.32</v>
      </c>
      <c r="C30" s="69">
        <v>258.75</v>
      </c>
      <c r="D30" s="69">
        <v>150.63</v>
      </c>
      <c r="E30" s="17" t="s">
        <v>49</v>
      </c>
      <c r="F30" s="69">
        <v>266.86</v>
      </c>
      <c r="G30" s="69">
        <v>235</v>
      </c>
      <c r="H30" s="88"/>
      <c r="I30" s="8"/>
      <c r="J30" s="8"/>
      <c r="K30" s="8"/>
      <c r="L30" s="8"/>
      <c r="M30" s="13"/>
      <c r="N30" s="8"/>
      <c r="O30" s="8"/>
      <c r="P30" s="8"/>
      <c r="Q30" s="8"/>
      <c r="R30" s="8"/>
      <c r="S30" s="8"/>
      <c r="T30" s="8"/>
      <c r="U30" s="8"/>
      <c r="V30" s="8"/>
      <c r="W30" s="8"/>
      <c r="X30" s="8"/>
      <c r="Y30" s="8"/>
      <c r="Z30" s="8"/>
    </row>
    <row r="31" spans="1:26" ht="14.25" customHeight="1">
      <c r="A31" s="22"/>
      <c r="B31" s="69"/>
      <c r="C31" s="69"/>
      <c r="D31" s="69"/>
      <c r="E31" s="73"/>
      <c r="F31" s="69"/>
      <c r="G31" s="69"/>
      <c r="H31" s="8"/>
      <c r="I31" s="71"/>
      <c r="J31" s="71"/>
      <c r="K31" s="71"/>
      <c r="L31" s="71"/>
      <c r="M31" s="85"/>
      <c r="N31" s="8"/>
      <c r="O31" s="8"/>
      <c r="P31" s="8"/>
      <c r="Q31" s="8"/>
      <c r="R31" s="8"/>
      <c r="S31" s="8"/>
      <c r="T31" s="8"/>
      <c r="U31" s="8"/>
      <c r="V31" s="8"/>
      <c r="W31" s="8"/>
      <c r="X31" s="8"/>
      <c r="Y31" s="8"/>
      <c r="Z31" s="8"/>
    </row>
    <row r="32" spans="1:26" ht="14.25" customHeight="1">
      <c r="A32" s="14" t="s">
        <v>48</v>
      </c>
      <c r="B32" s="69"/>
      <c r="C32" s="69"/>
      <c r="D32" s="69"/>
      <c r="E32" s="73"/>
      <c r="F32" s="69"/>
      <c r="G32" s="69"/>
      <c r="H32" s="8"/>
      <c r="I32" s="71"/>
      <c r="J32" s="71"/>
      <c r="K32" s="71"/>
      <c r="L32" s="71"/>
      <c r="M32" s="85"/>
      <c r="N32" s="8"/>
      <c r="O32" s="8"/>
      <c r="P32" s="8"/>
      <c r="Q32" s="8"/>
      <c r="R32" s="8"/>
      <c r="S32" s="8"/>
      <c r="T32" s="8"/>
      <c r="U32" s="8"/>
      <c r="V32" s="8"/>
      <c r="W32" s="8"/>
      <c r="X32" s="8"/>
      <c r="Y32" s="8"/>
      <c r="Z32" s="8"/>
    </row>
    <row r="33" spans="1:26" ht="14.25" customHeight="1">
      <c r="A33" s="14" t="s">
        <v>36</v>
      </c>
      <c r="B33" s="69">
        <v>319.14999999999998</v>
      </c>
      <c r="C33" s="69">
        <v>249</v>
      </c>
      <c r="D33" s="69">
        <v>164</v>
      </c>
      <c r="E33" s="17" t="s">
        <v>49</v>
      </c>
      <c r="F33" s="69">
        <v>279.39999999999998</v>
      </c>
      <c r="G33" s="69">
        <v>196.5</v>
      </c>
      <c r="H33" s="8"/>
      <c r="I33" s="71"/>
      <c r="J33" s="71"/>
      <c r="K33" s="71"/>
      <c r="L33" s="71"/>
      <c r="M33" s="85"/>
      <c r="N33" s="8"/>
      <c r="O33" s="8"/>
      <c r="P33" s="8"/>
      <c r="Q33" s="8"/>
      <c r="R33" s="8"/>
      <c r="S33" s="8"/>
      <c r="T33" s="8"/>
      <c r="U33" s="8"/>
      <c r="V33" s="8"/>
      <c r="W33" s="8"/>
      <c r="X33" s="8"/>
      <c r="Y33" s="8"/>
      <c r="Z33" s="8"/>
    </row>
    <row r="34" spans="1:26" ht="14.25" customHeight="1">
      <c r="A34" s="14" t="s">
        <v>37</v>
      </c>
      <c r="B34" s="69">
        <v>310.61500000000001</v>
      </c>
      <c r="C34" s="69">
        <v>240</v>
      </c>
      <c r="D34" s="69">
        <v>171.25</v>
      </c>
      <c r="E34" s="17" t="s">
        <v>49</v>
      </c>
      <c r="F34" s="69">
        <v>279.16250000000002</v>
      </c>
      <c r="G34" s="69">
        <v>209.38</v>
      </c>
      <c r="H34" s="8"/>
      <c r="I34" s="71"/>
      <c r="J34" s="71"/>
      <c r="K34" s="71"/>
      <c r="L34" s="71"/>
      <c r="M34" s="85"/>
      <c r="N34" s="8"/>
      <c r="O34" s="8"/>
      <c r="P34" s="8"/>
      <c r="Q34" s="8"/>
      <c r="R34" s="8"/>
      <c r="S34" s="8"/>
      <c r="T34" s="8"/>
      <c r="U34" s="8"/>
      <c r="V34" s="8"/>
      <c r="W34" s="8"/>
      <c r="X34" s="8"/>
      <c r="Y34" s="8"/>
      <c r="Z34" s="8"/>
    </row>
    <row r="35" spans="1:26" ht="14.25" customHeight="1">
      <c r="A35" s="14" t="s">
        <v>38</v>
      </c>
      <c r="B35" s="69">
        <v>311.7</v>
      </c>
      <c r="C35" s="69">
        <v>243.75</v>
      </c>
      <c r="D35" s="69">
        <v>187.5</v>
      </c>
      <c r="E35" s="17" t="s">
        <v>49</v>
      </c>
      <c r="F35" s="69">
        <v>291.42</v>
      </c>
      <c r="G35" s="69">
        <v>225.83</v>
      </c>
      <c r="H35" s="8"/>
      <c r="I35" s="71"/>
      <c r="J35" s="71"/>
      <c r="K35" s="71"/>
      <c r="L35" s="71"/>
      <c r="M35" s="85"/>
      <c r="N35" s="8"/>
      <c r="O35" s="8"/>
      <c r="P35" s="8"/>
      <c r="Q35" s="8"/>
      <c r="R35" s="8"/>
      <c r="S35" s="8"/>
      <c r="T35" s="8"/>
      <c r="U35" s="8"/>
      <c r="V35" s="8"/>
      <c r="W35" s="8"/>
      <c r="X35" s="8"/>
      <c r="Y35" s="8"/>
      <c r="Z35" s="8"/>
    </row>
    <row r="36" spans="1:26" ht="14.25" customHeight="1">
      <c r="A36" s="14" t="s">
        <v>39</v>
      </c>
      <c r="B36" s="69">
        <v>314.92</v>
      </c>
      <c r="C36" s="69">
        <v>247.5</v>
      </c>
      <c r="D36" s="69">
        <v>190.5</v>
      </c>
      <c r="E36" s="17" t="s">
        <v>49</v>
      </c>
      <c r="F36" s="75" t="s">
        <v>49</v>
      </c>
      <c r="G36" s="69">
        <v>219</v>
      </c>
      <c r="H36" s="8"/>
      <c r="I36" s="71"/>
      <c r="J36" s="71"/>
      <c r="K36" s="71"/>
      <c r="L36" s="71"/>
      <c r="M36" s="85"/>
      <c r="N36" s="8"/>
      <c r="O36" s="8"/>
      <c r="P36" s="8"/>
      <c r="Q36" s="8"/>
      <c r="R36" s="8"/>
      <c r="S36" s="8"/>
      <c r="T36" s="8"/>
      <c r="U36" s="8"/>
      <c r="V36" s="8"/>
      <c r="W36" s="8"/>
      <c r="X36" s="8"/>
      <c r="Y36" s="8"/>
      <c r="Z36" s="8"/>
    </row>
    <row r="37" spans="1:26" ht="14.25" customHeight="1">
      <c r="A37" s="14" t="s">
        <v>40</v>
      </c>
      <c r="B37" s="69">
        <v>306.83</v>
      </c>
      <c r="C37" s="69">
        <v>235</v>
      </c>
      <c r="D37" s="69">
        <v>187.5</v>
      </c>
      <c r="E37" s="17" t="s">
        <v>49</v>
      </c>
      <c r="F37" s="75" t="s">
        <v>49</v>
      </c>
      <c r="G37" s="69">
        <v>225</v>
      </c>
      <c r="H37" s="8"/>
      <c r="I37" s="71"/>
      <c r="J37" s="71"/>
      <c r="K37" s="71"/>
      <c r="L37" s="71"/>
      <c r="M37" s="85"/>
      <c r="N37" s="8"/>
      <c r="O37" s="8"/>
      <c r="P37" s="8"/>
      <c r="Q37" s="8"/>
      <c r="R37" s="8"/>
      <c r="S37" s="8"/>
      <c r="T37" s="8"/>
      <c r="U37" s="8"/>
      <c r="V37" s="8"/>
      <c r="W37" s="8"/>
      <c r="X37" s="8"/>
      <c r="Y37" s="8"/>
      <c r="Z37" s="8"/>
    </row>
    <row r="38" spans="1:26" ht="14.25" customHeight="1">
      <c r="A38" s="14" t="s">
        <v>41</v>
      </c>
      <c r="B38" s="69">
        <v>306.38</v>
      </c>
      <c r="C38" s="69">
        <v>226.25</v>
      </c>
      <c r="D38" s="69">
        <v>189.38</v>
      </c>
      <c r="E38" s="17" t="s">
        <v>49</v>
      </c>
      <c r="F38" s="75" t="s">
        <v>49</v>
      </c>
      <c r="G38" s="69">
        <v>235.63</v>
      </c>
      <c r="H38" s="8"/>
      <c r="I38" s="71"/>
      <c r="J38" s="71"/>
      <c r="K38" s="71"/>
      <c r="L38" s="71"/>
      <c r="M38" s="85"/>
      <c r="N38" s="8"/>
      <c r="O38" s="8"/>
      <c r="P38" s="8"/>
      <c r="Q38" s="8"/>
      <c r="R38" s="8"/>
      <c r="S38" s="8"/>
      <c r="T38" s="8"/>
      <c r="U38" s="8"/>
      <c r="V38" s="8"/>
      <c r="W38" s="8"/>
      <c r="X38" s="8"/>
      <c r="Y38" s="8"/>
      <c r="Z38" s="8"/>
    </row>
    <row r="39" spans="1:26" ht="14.25" customHeight="1">
      <c r="A39" s="14" t="s">
        <v>42</v>
      </c>
      <c r="B39" s="69">
        <v>304.26</v>
      </c>
      <c r="C39" s="69">
        <v>216.5</v>
      </c>
      <c r="D39" s="69">
        <v>166.5</v>
      </c>
      <c r="E39" s="17" t="s">
        <v>49</v>
      </c>
      <c r="F39" s="75" t="s">
        <v>49</v>
      </c>
      <c r="G39" s="69">
        <v>241.5</v>
      </c>
      <c r="H39" s="8"/>
      <c r="I39" s="71"/>
      <c r="J39" s="71"/>
      <c r="K39" s="71"/>
      <c r="L39" s="71"/>
      <c r="M39" s="85"/>
      <c r="N39" s="8"/>
      <c r="O39" s="8"/>
      <c r="P39" s="8"/>
      <c r="Q39" s="8"/>
      <c r="R39" s="8"/>
      <c r="S39" s="8"/>
      <c r="T39" s="8"/>
      <c r="U39" s="8"/>
      <c r="V39" s="8"/>
      <c r="W39" s="8"/>
      <c r="X39" s="8"/>
      <c r="Y39" s="8"/>
      <c r="Z39" s="8"/>
    </row>
    <row r="40" spans="1:26" ht="14.25" customHeight="1">
      <c r="A40" s="14" t="s">
        <v>43</v>
      </c>
      <c r="B40" s="69">
        <v>297.52</v>
      </c>
      <c r="C40" s="69">
        <v>215</v>
      </c>
      <c r="D40" s="69">
        <v>141.25</v>
      </c>
      <c r="E40" s="17" t="s">
        <v>49</v>
      </c>
      <c r="F40" s="69">
        <v>259.55</v>
      </c>
      <c r="G40" s="69">
        <v>233.75</v>
      </c>
      <c r="H40" s="8"/>
      <c r="I40" s="71"/>
      <c r="J40" s="71"/>
      <c r="K40" s="71"/>
      <c r="L40" s="71"/>
      <c r="M40" s="85"/>
      <c r="N40" s="8"/>
      <c r="O40" s="8"/>
      <c r="P40" s="8"/>
      <c r="Q40" s="8"/>
      <c r="R40" s="8"/>
      <c r="S40" s="8"/>
      <c r="T40" s="8"/>
      <c r="U40" s="8"/>
      <c r="V40" s="8"/>
      <c r="W40" s="8"/>
      <c r="X40" s="8"/>
      <c r="Y40" s="8"/>
      <c r="Z40" s="8"/>
    </row>
    <row r="41" spans="1:26" ht="14.25" customHeight="1">
      <c r="A41" s="14" t="s">
        <v>44</v>
      </c>
      <c r="B41" s="69">
        <v>324.75</v>
      </c>
      <c r="C41" s="69">
        <v>215.63</v>
      </c>
      <c r="D41" s="69">
        <v>143.13</v>
      </c>
      <c r="E41" s="17" t="s">
        <v>49</v>
      </c>
      <c r="F41" s="69">
        <v>278.76</v>
      </c>
      <c r="G41" s="69">
        <v>228.88</v>
      </c>
      <c r="H41" s="8"/>
      <c r="I41" s="71"/>
      <c r="J41" s="71"/>
      <c r="K41" s="71"/>
      <c r="L41" s="71"/>
      <c r="M41" s="85"/>
      <c r="N41" s="8"/>
      <c r="O41" s="8"/>
      <c r="P41" s="8"/>
      <c r="Q41" s="8"/>
      <c r="R41" s="8"/>
      <c r="S41" s="8"/>
      <c r="T41" s="8"/>
      <c r="U41" s="8"/>
      <c r="V41" s="8"/>
      <c r="W41" s="8"/>
      <c r="X41" s="8"/>
      <c r="Y41" s="8"/>
      <c r="Z41" s="8"/>
    </row>
    <row r="42" spans="1:26" ht="14.25" customHeight="1">
      <c r="A42" s="18" t="s">
        <v>45</v>
      </c>
      <c r="B42" s="76">
        <v>310.77</v>
      </c>
      <c r="C42" s="76">
        <v>218</v>
      </c>
      <c r="D42" s="76">
        <v>142</v>
      </c>
      <c r="E42" s="19" t="s">
        <v>49</v>
      </c>
      <c r="F42" s="76">
        <v>265.45</v>
      </c>
      <c r="G42" s="76">
        <v>232.5</v>
      </c>
      <c r="H42" s="8"/>
      <c r="I42" s="71"/>
      <c r="J42" s="71"/>
      <c r="K42" s="71"/>
      <c r="L42" s="71"/>
      <c r="M42" s="85"/>
      <c r="N42" s="8"/>
      <c r="O42" s="8"/>
      <c r="P42" s="8"/>
      <c r="Q42" s="8"/>
      <c r="R42" s="8"/>
      <c r="S42" s="8"/>
      <c r="T42" s="8"/>
      <c r="U42" s="8"/>
      <c r="V42" s="8"/>
      <c r="W42" s="8"/>
      <c r="X42" s="8"/>
      <c r="Y42" s="8"/>
      <c r="Z42" s="8"/>
    </row>
    <row r="43" spans="1:26" ht="16.5" customHeight="1">
      <c r="A43" s="31" t="s">
        <v>134</v>
      </c>
      <c r="B43" s="93"/>
      <c r="C43" s="93"/>
      <c r="D43" s="93"/>
      <c r="E43" s="93"/>
      <c r="F43" s="93"/>
      <c r="G43" s="93"/>
      <c r="H43" s="8"/>
      <c r="I43" s="94"/>
      <c r="J43" s="71"/>
      <c r="K43" s="71"/>
      <c r="L43" s="71"/>
      <c r="M43" s="85"/>
      <c r="N43" s="8"/>
      <c r="O43" s="8"/>
      <c r="P43" s="8"/>
      <c r="Q43" s="8"/>
      <c r="R43" s="8"/>
      <c r="S43" s="8"/>
      <c r="T43" s="8"/>
      <c r="U43" s="8"/>
      <c r="V43" s="8"/>
      <c r="W43" s="8"/>
      <c r="X43" s="8"/>
      <c r="Y43" s="8"/>
      <c r="Z43" s="8"/>
    </row>
    <row r="44" spans="1:26" ht="16.5" customHeight="1">
      <c r="A44" s="95" t="s">
        <v>135</v>
      </c>
      <c r="B44" s="96"/>
      <c r="C44" s="96"/>
      <c r="D44" s="96"/>
      <c r="E44" s="96"/>
      <c r="F44" s="96"/>
      <c r="G44" s="96"/>
      <c r="H44" s="8"/>
      <c r="I44" s="94"/>
      <c r="J44" s="71"/>
      <c r="K44" s="71"/>
      <c r="L44" s="71"/>
      <c r="M44" s="85"/>
      <c r="N44" s="8"/>
      <c r="O44" s="8"/>
      <c r="P44" s="8"/>
      <c r="Q44" s="8"/>
      <c r="R44" s="8"/>
      <c r="S44" s="8"/>
      <c r="T44" s="8"/>
      <c r="U44" s="8"/>
      <c r="V44" s="8"/>
      <c r="W44" s="8"/>
      <c r="X44" s="8"/>
      <c r="Y44" s="8"/>
      <c r="Z44" s="8"/>
    </row>
    <row r="45" spans="1:26" ht="14.25" customHeight="1">
      <c r="A45" s="14" t="s">
        <v>136</v>
      </c>
      <c r="B45" s="96"/>
      <c r="C45" s="96"/>
      <c r="D45" s="96"/>
      <c r="E45" s="96"/>
      <c r="F45" s="96"/>
      <c r="G45" s="96"/>
      <c r="H45" s="8"/>
      <c r="I45" s="94"/>
      <c r="J45" s="71"/>
      <c r="K45" s="71"/>
      <c r="L45" s="71"/>
      <c r="M45" s="85"/>
      <c r="N45" s="8"/>
      <c r="O45" s="8"/>
      <c r="P45" s="8"/>
      <c r="Q45" s="8"/>
      <c r="R45" s="8"/>
      <c r="S45" s="8"/>
      <c r="T45" s="8"/>
      <c r="U45" s="8"/>
      <c r="V45" s="8"/>
      <c r="W45" s="8"/>
      <c r="X45" s="8"/>
      <c r="Y45" s="8"/>
      <c r="Z45" s="8"/>
    </row>
    <row r="46" spans="1:26" ht="14.25" customHeight="1">
      <c r="A46" s="14" t="s">
        <v>137</v>
      </c>
      <c r="B46" s="23"/>
      <c r="C46" s="23"/>
      <c r="D46" s="23"/>
      <c r="E46" s="23"/>
      <c r="F46" s="23"/>
      <c r="G46" s="23"/>
      <c r="H46" s="8"/>
      <c r="I46" s="94"/>
      <c r="J46" s="71"/>
      <c r="K46" s="71"/>
      <c r="L46" s="71"/>
      <c r="M46" s="85"/>
      <c r="N46" s="8"/>
      <c r="O46" s="8"/>
      <c r="P46" s="8"/>
      <c r="Q46" s="8"/>
      <c r="R46" s="8"/>
      <c r="S46" s="8"/>
      <c r="T46" s="8"/>
      <c r="U46" s="8"/>
      <c r="V46" s="8"/>
      <c r="W46" s="8"/>
      <c r="X46" s="8"/>
      <c r="Y46" s="8"/>
      <c r="Z46" s="8"/>
    </row>
    <row r="47" spans="1:26" ht="14.25" customHeight="1">
      <c r="A47" s="14" t="s">
        <v>53</v>
      </c>
      <c r="B47" s="54">
        <f ca="1">NOW()</f>
        <v>43747.834772916663</v>
      </c>
      <c r="C47" s="23"/>
      <c r="D47" s="23"/>
      <c r="E47" s="23"/>
      <c r="F47" s="23"/>
      <c r="G47" s="23"/>
      <c r="H47" s="8"/>
      <c r="I47" s="94"/>
      <c r="J47" s="71"/>
      <c r="K47" s="71"/>
      <c r="L47" s="71"/>
      <c r="M47" s="85"/>
      <c r="N47" s="8"/>
      <c r="O47" s="8"/>
      <c r="P47" s="8"/>
      <c r="Q47" s="8"/>
      <c r="R47" s="8"/>
      <c r="S47" s="8"/>
      <c r="T47" s="8"/>
      <c r="U47" s="8"/>
      <c r="V47" s="8"/>
      <c r="W47" s="8"/>
      <c r="X47" s="8"/>
      <c r="Y47" s="8"/>
      <c r="Z47" s="8"/>
    </row>
    <row r="48" spans="1:26" ht="15.75" customHeight="1">
      <c r="A48" s="57"/>
      <c r="B48" s="8"/>
      <c r="C48" s="8"/>
      <c r="D48" s="8"/>
      <c r="E48" s="8"/>
      <c r="F48" s="90"/>
      <c r="G48" s="8"/>
      <c r="H48" s="8"/>
      <c r="I48" s="94"/>
      <c r="J48" s="71"/>
      <c r="K48" s="71"/>
      <c r="L48" s="71"/>
      <c r="M48" s="85"/>
      <c r="N48" s="8"/>
      <c r="O48" s="8"/>
      <c r="P48" s="8"/>
      <c r="Q48" s="8"/>
      <c r="R48" s="8"/>
      <c r="S48" s="8"/>
      <c r="T48" s="8"/>
      <c r="U48" s="8"/>
      <c r="V48" s="8"/>
      <c r="W48" s="8"/>
      <c r="X48" s="8"/>
      <c r="Y48" s="8"/>
      <c r="Z48" s="8"/>
    </row>
    <row r="49" spans="1:26" ht="13.5" customHeight="1">
      <c r="A49" s="57"/>
      <c r="B49" s="8"/>
      <c r="C49" s="8"/>
      <c r="D49" s="8"/>
      <c r="E49" s="8"/>
      <c r="F49" s="8"/>
      <c r="G49" s="8"/>
      <c r="H49" s="8"/>
      <c r="I49" s="94"/>
      <c r="J49" s="94"/>
      <c r="K49" s="71"/>
      <c r="L49" s="71"/>
      <c r="M49" s="85"/>
      <c r="N49" s="8"/>
      <c r="O49" s="8"/>
      <c r="P49" s="8"/>
      <c r="Q49" s="8"/>
      <c r="R49" s="8"/>
      <c r="S49" s="8"/>
      <c r="T49" s="8"/>
      <c r="U49" s="8"/>
      <c r="V49" s="8"/>
      <c r="W49" s="8"/>
      <c r="X49" s="8"/>
      <c r="Y49" s="8"/>
      <c r="Z49" s="8"/>
    </row>
    <row r="50" spans="1:26" ht="13.5" customHeight="1">
      <c r="A50" s="57"/>
      <c r="B50" s="8"/>
      <c r="C50" s="8"/>
      <c r="D50" s="8"/>
      <c r="E50" s="8"/>
      <c r="F50" s="8"/>
      <c r="G50" s="8"/>
      <c r="H50" s="8"/>
      <c r="I50" s="94"/>
      <c r="J50" s="94"/>
      <c r="K50" s="71"/>
      <c r="L50" s="71"/>
      <c r="M50" s="85"/>
      <c r="N50" s="8"/>
      <c r="O50" s="8"/>
      <c r="P50" s="8"/>
      <c r="Q50" s="8"/>
      <c r="R50" s="8"/>
      <c r="S50" s="8"/>
      <c r="T50" s="8"/>
      <c r="U50" s="8"/>
      <c r="V50" s="8"/>
      <c r="W50" s="8"/>
      <c r="X50" s="8"/>
      <c r="Y50" s="8"/>
      <c r="Z50" s="8"/>
    </row>
    <row r="51" spans="1:26" ht="13.5" customHeight="1">
      <c r="A51" s="57"/>
      <c r="B51" s="8"/>
      <c r="C51" s="8"/>
      <c r="D51" s="8"/>
      <c r="E51" s="8"/>
      <c r="F51" s="8"/>
      <c r="G51" s="8"/>
      <c r="H51" s="8"/>
      <c r="I51" s="94"/>
      <c r="J51" s="94"/>
      <c r="K51" s="71"/>
      <c r="L51" s="71"/>
      <c r="M51" s="85"/>
      <c r="N51" s="8"/>
      <c r="O51" s="8"/>
      <c r="P51" s="8"/>
      <c r="Q51" s="8"/>
      <c r="R51" s="8"/>
      <c r="S51" s="8"/>
      <c r="T51" s="8"/>
      <c r="U51" s="8"/>
      <c r="V51" s="8"/>
      <c r="W51" s="8"/>
      <c r="X51" s="8"/>
      <c r="Y51" s="8"/>
      <c r="Z51" s="8"/>
    </row>
    <row r="52" spans="1:26" ht="13.5" customHeight="1">
      <c r="A52" s="57"/>
      <c r="B52" s="8"/>
      <c r="C52" s="8"/>
      <c r="D52" s="8"/>
      <c r="E52" s="8"/>
      <c r="F52" s="8"/>
      <c r="G52" s="8"/>
      <c r="H52" s="8"/>
      <c r="I52" s="94"/>
      <c r="J52" s="94"/>
      <c r="K52" s="71"/>
      <c r="L52" s="71"/>
      <c r="M52" s="85"/>
      <c r="N52" s="8"/>
      <c r="O52" s="8"/>
      <c r="P52" s="8"/>
      <c r="Q52" s="8"/>
      <c r="R52" s="8"/>
      <c r="S52" s="8"/>
      <c r="T52" s="8"/>
      <c r="U52" s="8"/>
      <c r="V52" s="8"/>
      <c r="W52" s="8"/>
      <c r="X52" s="8"/>
      <c r="Y52" s="8"/>
      <c r="Z52" s="8"/>
    </row>
    <row r="53" spans="1:26" ht="13.5" customHeight="1">
      <c r="A53" s="57"/>
      <c r="B53" s="8"/>
      <c r="C53" s="8"/>
      <c r="D53" s="8"/>
      <c r="E53" s="8"/>
      <c r="F53" s="8"/>
      <c r="G53" s="8"/>
      <c r="H53" s="8"/>
      <c r="I53" s="94"/>
      <c r="J53" s="94"/>
      <c r="K53" s="71"/>
      <c r="L53" s="71"/>
      <c r="M53" s="85"/>
      <c r="N53" s="8"/>
      <c r="O53" s="8"/>
      <c r="P53" s="8"/>
      <c r="Q53" s="8"/>
      <c r="R53" s="8"/>
      <c r="S53" s="8"/>
      <c r="T53" s="8"/>
      <c r="U53" s="8"/>
      <c r="V53" s="8"/>
      <c r="W53" s="8"/>
      <c r="X53" s="8"/>
      <c r="Y53" s="8"/>
      <c r="Z53" s="8"/>
    </row>
    <row r="54" spans="1:26" ht="13.5" customHeight="1">
      <c r="A54" s="57"/>
      <c r="B54" s="8"/>
      <c r="C54" s="8"/>
      <c r="D54" s="8"/>
      <c r="E54" s="8"/>
      <c r="F54" s="8"/>
      <c r="G54" s="8"/>
      <c r="H54" s="8"/>
      <c r="I54" s="94"/>
      <c r="J54" s="94"/>
      <c r="K54" s="71"/>
      <c r="L54" s="71"/>
      <c r="M54" s="85"/>
      <c r="N54" s="8"/>
      <c r="O54" s="8"/>
      <c r="P54" s="8"/>
      <c r="Q54" s="8"/>
      <c r="R54" s="8"/>
      <c r="S54" s="8"/>
      <c r="T54" s="8"/>
      <c r="U54" s="8"/>
      <c r="V54" s="8"/>
      <c r="W54" s="8"/>
      <c r="X54" s="8"/>
      <c r="Y54" s="8"/>
      <c r="Z54" s="8"/>
    </row>
    <row r="55" spans="1:26" ht="13.5" customHeight="1">
      <c r="A55" s="57"/>
      <c r="B55" s="8"/>
      <c r="C55" s="8"/>
      <c r="D55" s="8"/>
      <c r="E55" s="8"/>
      <c r="F55" s="8"/>
      <c r="G55" s="8"/>
      <c r="H55" s="8"/>
      <c r="I55" s="8"/>
      <c r="J55" s="8"/>
      <c r="K55" s="8"/>
      <c r="L55" s="8"/>
      <c r="M55" s="13"/>
      <c r="N55" s="8"/>
      <c r="O55" s="8"/>
      <c r="P55" s="8"/>
      <c r="Q55" s="8"/>
      <c r="R55" s="8"/>
      <c r="S55" s="8"/>
      <c r="T55" s="8"/>
      <c r="U55" s="8"/>
      <c r="V55" s="8"/>
      <c r="W55" s="8"/>
      <c r="X55" s="8"/>
      <c r="Y55" s="8"/>
      <c r="Z55" s="8"/>
    </row>
    <row r="56" spans="1:26" ht="13.5" customHeight="1">
      <c r="A56" s="57"/>
      <c r="B56" s="8"/>
      <c r="C56" s="8"/>
      <c r="D56" s="8"/>
      <c r="E56" s="8"/>
      <c r="F56" s="8"/>
      <c r="G56" s="8"/>
      <c r="H56" s="8"/>
      <c r="I56" s="71"/>
      <c r="J56" s="71"/>
      <c r="K56" s="71"/>
      <c r="L56" s="71"/>
      <c r="M56" s="85"/>
      <c r="N56" s="8"/>
      <c r="O56" s="8"/>
      <c r="P56" s="8"/>
      <c r="Q56" s="8"/>
      <c r="R56" s="8"/>
      <c r="S56" s="8"/>
      <c r="T56" s="8"/>
      <c r="U56" s="8"/>
      <c r="V56" s="8"/>
      <c r="W56" s="8"/>
      <c r="X56" s="8"/>
      <c r="Y56" s="8"/>
      <c r="Z56" s="8"/>
    </row>
    <row r="57" spans="1:26" ht="13.5" customHeight="1">
      <c r="A57" s="57"/>
      <c r="B57" s="8"/>
      <c r="C57" s="8"/>
      <c r="D57" s="8"/>
      <c r="E57" s="8"/>
      <c r="F57" s="8"/>
      <c r="G57" s="8"/>
      <c r="H57" s="8"/>
      <c r="I57" s="71"/>
      <c r="J57" s="71"/>
      <c r="K57" s="71"/>
      <c r="L57" s="71"/>
      <c r="M57" s="85"/>
      <c r="N57" s="8"/>
      <c r="O57" s="8"/>
      <c r="P57" s="8"/>
      <c r="Q57" s="8"/>
      <c r="R57" s="8"/>
      <c r="S57" s="8"/>
      <c r="T57" s="8"/>
      <c r="U57" s="8"/>
      <c r="V57" s="8"/>
      <c r="W57" s="8"/>
      <c r="X57" s="8"/>
      <c r="Y57" s="8"/>
      <c r="Z57" s="8"/>
    </row>
    <row r="58" spans="1:26" ht="13.5" customHeight="1">
      <c r="A58" s="60"/>
      <c r="B58" s="61"/>
      <c r="C58" s="61"/>
      <c r="D58" s="61"/>
      <c r="E58" s="61"/>
      <c r="F58" s="61"/>
      <c r="G58" s="61"/>
      <c r="H58" s="61"/>
      <c r="I58" s="61"/>
      <c r="J58" s="97"/>
      <c r="K58" s="61"/>
      <c r="L58" s="61"/>
      <c r="M58" s="35"/>
      <c r="N58" s="8"/>
      <c r="O58" s="8"/>
      <c r="P58" s="8"/>
      <c r="Q58" s="8"/>
      <c r="R58" s="8"/>
      <c r="S58" s="8"/>
      <c r="T58" s="8"/>
      <c r="U58" s="8"/>
      <c r="V58" s="8"/>
      <c r="W58" s="8"/>
      <c r="X58" s="8"/>
      <c r="Y58" s="8"/>
      <c r="Z58" s="8"/>
    </row>
    <row r="59" spans="1:26" ht="12.75" customHeight="1">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2.75" customHeight="1">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2.75" customHeight="1">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2.75" customHeight="1">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2.75" customHeight="1">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2.75" customHeight="1">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2.75" customHeight="1">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2.75" customHeight="1">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2.75" customHeight="1">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2.75" customHeight="1">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2.75" customHeight="1">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2.75" customHeight="1">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2.75" customHeight="1">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2.75" customHeight="1">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2.75" customHeight="1">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2.75" customHeight="1">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2.75" customHeight="1">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2.75" customHeight="1">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2.75" customHeight="1">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2.75" customHeight="1">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2.75" customHeight="1">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2.75" customHeight="1">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2.75" customHeight="1">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2.75" customHeight="1">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2.75" customHeight="1">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2.75" customHeight="1">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2.75" customHeight="1">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2.75" customHeight="1">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2.75" customHeight="1">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2.75" customHeight="1">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2.75" customHeight="1">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2.75" customHeight="1">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2.75" customHeight="1">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2.75" customHeight="1">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2.75" customHeight="1">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2.75" customHeight="1">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2.75" customHeight="1">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2.75" customHeight="1">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2.75" customHeight="1">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2.75" customHeight="1">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2.75" customHeight="1">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2.7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2.7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2.7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2.7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2.7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2.7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2.7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2.7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2.7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2.7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2.7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2.7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2.7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2.7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2.7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2.7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2.7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2.7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2.7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2.7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2.7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2.7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2.7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2.7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2.7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2.7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2.7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2.7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2.7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2.7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2.7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2.7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2.7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2.7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2.7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2.7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2.7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2.7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2.7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2.7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2.7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2.7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2.7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2.7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2.7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2.7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2.7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2.7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2.7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2.7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2.7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2.7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2.7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2.7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2.7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2.7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2.7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2.7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2.7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2.7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2.7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2.7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2.7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2.7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2.7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2.7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2.7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2.7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2.7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2.7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2.7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2.7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2.7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2.7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2.7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2.7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2.7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2.7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2.7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2.7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2.7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2.7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2.7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2.7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2.7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2.7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2.7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2.7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2.7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2.7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2.7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2.7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2.7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2.7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2.7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2.7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2.7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2.7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2.7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2.7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2.7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2.7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2.7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2.7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2.7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2.7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2.7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2.7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2.7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2.7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2.7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2.7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2.7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2.7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2.7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2.7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2.7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2.7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2.7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2.7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2.7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2.7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2.7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2.7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2.7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2.7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2.7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2.7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2.7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2.7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2.7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2.7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2.7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2.7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2.7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2.7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2.7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2.7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2.7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2.7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2.7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2.7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2.7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2.7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2.7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2.7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2.7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2.7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2.7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2.7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2.7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2.7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2.7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2.7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2.7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2.7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2.7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2.7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2.7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2.7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2.7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2.7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2.7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2.7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2.7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2.7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2.7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2.7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2.7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2.7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2.7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2.7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2.7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2.7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2.7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2.7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2.7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2.7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2.7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2.7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2.7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2.7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2.7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2.7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2.7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2.7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2.7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2.7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2.7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2.7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2.7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2.7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2.7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2.7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2.7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2.7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2.7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2.7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2.7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2.7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2.7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2.7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2.7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2.7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2.7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2.7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2.7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2.7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2.7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2.7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2.7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2.7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2.7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2.7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2.7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2.7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2.7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2.7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2.7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2.7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2.7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2.7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2.7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2.7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2.7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2.7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2.7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2.7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2.7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2.7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2.7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2.7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2.7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2.7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2.7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2.7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2.7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2.7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2.7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2.7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2.7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2.7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2.7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2.7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2.7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2.7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2.7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2.7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2.7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2.7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2.7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2.7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2.7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2.7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2.7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2.7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2.7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2.7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2.7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2.7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2.7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2.7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2.7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2.7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2.7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2.7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2.7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2.7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2.7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2.7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2.7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2.7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2.7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2.7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2.7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2.7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2.7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2.7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2.7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2.7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2.7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2.7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2.7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2.7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2.7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2.7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2.7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2.7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2.7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2.7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2.7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2.7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2.7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2.7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2.7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2.7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2.7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2.7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2.7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2.7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2.7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2.7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2.7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2.7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2.7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2.7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2.7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2.7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2.7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2.7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2.7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2.7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2.7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2.7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2.7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2.7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2.7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2.7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2.7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2.7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2.7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2.7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2.7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2.7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2.7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2.7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2.7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2.7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2.7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2.7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2.7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2.7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2.7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2.7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2.7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2.7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2.7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2.7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2.7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2.7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2.7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2.7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2.7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2.7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2.7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2.7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2.7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2.7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2.7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2.7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2.7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2.7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2.7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2.7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2.7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2.7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2.7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2.7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2.7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2.7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2.7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2.7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2.7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2.7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2.7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2.7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2.7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2.7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2.7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2.7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2.7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2.7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2.7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2.7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2.7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2.7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2.7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2.7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2.7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2.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2.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2.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2.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2.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2.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2.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2.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2.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2.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2.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2.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2.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2.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2.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2.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2.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2.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2.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2.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2.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2.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2.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2.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2.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2.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2.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2.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2.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2.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2.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2.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2.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2.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2.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2.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2.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2.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2.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2.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2.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2.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2.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2.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2.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2.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2.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2.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2.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2.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2.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2.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2.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2.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2.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2.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2.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2.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2.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2.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2.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2.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2.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2.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2.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2.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2.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2.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2.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2.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2.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2.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2.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2.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2.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2.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2.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2.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2.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2.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2.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2.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2.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2.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2.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2.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2.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2.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2.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2.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2.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2.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2.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2.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2.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2.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2.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2.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2.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2.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2.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2.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2.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2.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2.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2.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2.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2.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2.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2.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2.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2.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2.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2.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2.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2.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2.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2.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2.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2.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2.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2.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2.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2.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2.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2.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2.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2.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2.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2.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2.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2.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2.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2.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2.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2.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2.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2.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2.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2.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2.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2.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2.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2.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2.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2.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2.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2.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2.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2.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2.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2.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2.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2.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2.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2.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2.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2.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2.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2.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2.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2.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2.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2.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2.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2.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2.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2.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2.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2.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2.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2.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2.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2.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2.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2.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2.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2.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2.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2.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2.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2.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2.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2.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2.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2.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2.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2.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2.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2.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2.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2.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2.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2.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2.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2.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2.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2.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2.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2.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2.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2.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2.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2.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2.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2.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2.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2.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2.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2.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2.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2.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2.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2.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2.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2.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2.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2.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2.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2.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2.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2.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2.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2.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2.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2.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2.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2.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2.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2.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2.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2.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2.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2.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2.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2.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2.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2.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2.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2.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2.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2.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2.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2.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2.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2.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2.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2.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2.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2.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2.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2.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2.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2.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2.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2.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2.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2.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2.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2.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2.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2.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2.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2.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2.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2.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2.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2.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2.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2.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2.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2.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2.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2.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2.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2.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2.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2.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2.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2.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2.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2.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2.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2.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2.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2.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2.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2.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2.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2.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2.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2.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2.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2.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2.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2.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2.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2.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2.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2.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2.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2.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2.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2.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2.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2.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2.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2.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2.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2.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2.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2.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2.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2.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2.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2.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2.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2.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2.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2.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2.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2.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2.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2.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2.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2.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2.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2.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2.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2.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2.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2.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2.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2.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2.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2.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2.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2.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2.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2.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2.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2.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2.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2.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2.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2.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2.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2.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2.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2.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2.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2.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2.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2.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2.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2.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2.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2.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2.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2.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2.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2.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2.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2.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2.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2.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2.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2.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2.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2.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2.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2.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2.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2.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2.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2.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2.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2.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2.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2.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2.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2.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2.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2.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2.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2.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2.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2.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2.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2.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2.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2.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2.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2.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2.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2.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2.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2.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2.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2.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2.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2.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2.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2.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2.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2.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2.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2.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2.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2.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2.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2.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2.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2.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2.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2.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2.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2.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2.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2.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2.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2.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2.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2.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2.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2.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2.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2.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2.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2.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2.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2.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2.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2.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2.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2.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2.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2.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2.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2.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2.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2.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2.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2.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2.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2.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2.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2.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2.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2.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2.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2.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2.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2.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2.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2.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2.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2.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2.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2.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2.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2.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2.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2.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2.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2.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2.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2.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2.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2.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2.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2.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2.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2.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2.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2.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2.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2.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2.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2.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2.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2.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2.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2.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2.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2.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2.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2.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2.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2.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2.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2.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2.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2.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2.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2.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2.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2.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2.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2.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2.7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2.7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2.7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2.7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2.7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2.7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2.7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2.7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2.7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2.7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2.7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2.7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2.7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2.7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2.7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2.7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2.7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2.7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2.7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2.7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2.7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2.7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pageMargins left="0.75" right="0.75" top="1" bottom="1" header="0" footer="0"/>
  <pageSetup orientation="portrait"/>
  <headerFooter>
    <oddFooter>&amp;C000000&amp;P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showGridLines="0" workbookViewId="0"/>
  </sheetViews>
  <sheetFormatPr defaultColWidth="14.44140625" defaultRowHeight="15" customHeight="1"/>
  <cols>
    <col min="1" max="1" width="17" customWidth="1"/>
    <col min="2" max="4" width="10.6640625" customWidth="1"/>
    <col min="5" max="5" width="8.88671875" customWidth="1"/>
    <col min="6" max="6" width="10.6640625" customWidth="1"/>
    <col min="7" max="26" width="8.88671875" customWidth="1"/>
  </cols>
  <sheetData>
    <row r="1" spans="1:26" ht="12.75" customHeight="1">
      <c r="A1" s="98" t="s">
        <v>138</v>
      </c>
      <c r="B1" s="98" t="s">
        <v>19</v>
      </c>
      <c r="C1" s="98" t="s">
        <v>139</v>
      </c>
      <c r="D1" s="42"/>
      <c r="E1" s="99"/>
      <c r="F1" s="100"/>
      <c r="G1" s="99"/>
      <c r="H1" s="99"/>
      <c r="I1" s="99"/>
      <c r="J1" s="101"/>
      <c r="K1" s="99"/>
      <c r="L1" s="99"/>
      <c r="M1" s="99"/>
      <c r="N1" s="99"/>
      <c r="O1" s="99"/>
      <c r="P1" s="99"/>
      <c r="Q1" s="8"/>
      <c r="R1" s="8"/>
      <c r="S1" s="8"/>
      <c r="T1" s="8"/>
      <c r="U1" s="8"/>
      <c r="V1" s="8"/>
      <c r="W1" s="8"/>
      <c r="X1" s="8"/>
      <c r="Y1" s="8"/>
      <c r="Z1" s="8"/>
    </row>
    <row r="2" spans="1:26" ht="14.25" customHeight="1">
      <c r="A2" s="42"/>
      <c r="B2" s="42"/>
      <c r="C2" s="42"/>
      <c r="D2" s="42"/>
      <c r="E2" s="99"/>
      <c r="F2" s="102"/>
      <c r="G2" s="99"/>
      <c r="H2" s="99"/>
      <c r="I2" s="99"/>
      <c r="J2" s="99"/>
      <c r="K2" s="99"/>
      <c r="L2" s="99"/>
      <c r="M2" s="99"/>
      <c r="N2" s="99"/>
      <c r="O2" s="99"/>
      <c r="P2" s="99"/>
      <c r="Q2" s="8"/>
      <c r="R2" s="8"/>
      <c r="S2" s="8"/>
      <c r="T2" s="8"/>
      <c r="U2" s="8"/>
      <c r="V2" s="8"/>
      <c r="W2" s="8"/>
      <c r="X2" s="8"/>
      <c r="Y2" s="8"/>
      <c r="Z2" s="8"/>
    </row>
    <row r="3" spans="1:26" ht="12.75" customHeight="1">
      <c r="A3" s="42"/>
      <c r="B3" s="98" t="s">
        <v>140</v>
      </c>
      <c r="C3" s="98" t="s">
        <v>141</v>
      </c>
      <c r="D3" s="42"/>
      <c r="E3" s="99"/>
      <c r="F3" s="42"/>
      <c r="G3" s="99"/>
      <c r="H3" s="99"/>
      <c r="I3" s="99"/>
      <c r="J3" s="99"/>
      <c r="K3" s="99"/>
      <c r="L3" s="99"/>
      <c r="M3" s="99"/>
      <c r="N3" s="99"/>
      <c r="O3" s="99"/>
      <c r="P3" s="99"/>
      <c r="Q3" s="8"/>
      <c r="R3" s="8"/>
      <c r="S3" s="8"/>
      <c r="T3" s="8"/>
      <c r="U3" s="8"/>
      <c r="V3" s="8"/>
      <c r="W3" s="8"/>
      <c r="X3" s="8"/>
      <c r="Y3" s="8"/>
      <c r="Z3" s="8"/>
    </row>
    <row r="4" spans="1:26" ht="14.25" customHeight="1">
      <c r="A4" s="103" t="s">
        <v>142</v>
      </c>
      <c r="B4" s="104">
        <v>2967.0070000000001</v>
      </c>
      <c r="C4" s="105">
        <v>29.458224999999999</v>
      </c>
      <c r="D4" s="42"/>
      <c r="E4" s="106"/>
      <c r="F4" s="104"/>
      <c r="G4" s="99"/>
      <c r="H4" s="99"/>
      <c r="I4" s="107"/>
      <c r="J4" s="108"/>
      <c r="K4" s="99"/>
      <c r="L4" s="99"/>
      <c r="M4" s="99"/>
      <c r="N4" s="99"/>
      <c r="O4" s="99"/>
      <c r="P4" s="99"/>
      <c r="Q4" s="8"/>
      <c r="R4" s="8"/>
      <c r="S4" s="8"/>
      <c r="T4" s="8"/>
      <c r="U4" s="8"/>
      <c r="V4" s="8"/>
      <c r="W4" s="8"/>
      <c r="X4" s="8"/>
      <c r="Y4" s="8"/>
      <c r="Z4" s="8"/>
    </row>
    <row r="5" spans="1:26" ht="14.25" customHeight="1">
      <c r="A5" s="103" t="s">
        <v>89</v>
      </c>
      <c r="B5" s="104">
        <v>3360.931</v>
      </c>
      <c r="C5" s="105">
        <v>32.163204</v>
      </c>
      <c r="D5" s="105"/>
      <c r="E5" s="106"/>
      <c r="F5" s="104"/>
      <c r="G5" s="99"/>
      <c r="H5" s="99"/>
      <c r="I5" s="107"/>
      <c r="J5" s="108"/>
      <c r="K5" s="99"/>
      <c r="L5" s="99"/>
      <c r="M5" s="99"/>
      <c r="N5" s="99"/>
      <c r="O5" s="99"/>
      <c r="P5" s="99"/>
      <c r="Q5" s="8"/>
      <c r="R5" s="8"/>
      <c r="S5" s="8"/>
      <c r="T5" s="8"/>
      <c r="U5" s="8"/>
      <c r="V5" s="8"/>
      <c r="W5" s="8"/>
      <c r="X5" s="8"/>
      <c r="Y5" s="8"/>
      <c r="Z5" s="8"/>
    </row>
    <row r="6" spans="1:26" ht="14.25" customHeight="1">
      <c r="A6" s="103" t="s">
        <v>90</v>
      </c>
      <c r="B6" s="104">
        <v>3331.306</v>
      </c>
      <c r="C6" s="105">
        <v>37.571277000000002</v>
      </c>
      <c r="D6" s="105"/>
      <c r="E6" s="106"/>
      <c r="F6" s="104"/>
      <c r="G6" s="99"/>
      <c r="H6" s="99"/>
      <c r="I6" s="107"/>
      <c r="J6" s="108"/>
      <c r="K6" s="99"/>
      <c r="L6" s="99"/>
      <c r="M6" s="99"/>
      <c r="N6" s="99"/>
      <c r="O6" s="99"/>
      <c r="P6" s="99"/>
      <c r="Q6" s="8"/>
      <c r="R6" s="8"/>
      <c r="S6" s="8"/>
      <c r="T6" s="8"/>
      <c r="U6" s="8"/>
      <c r="V6" s="8"/>
      <c r="W6" s="8"/>
      <c r="X6" s="8"/>
      <c r="Y6" s="8"/>
      <c r="Z6" s="8"/>
    </row>
    <row r="7" spans="1:26" ht="14.25" customHeight="1">
      <c r="A7" s="103" t="s">
        <v>91</v>
      </c>
      <c r="B7" s="104">
        <v>3097.1790000000001</v>
      </c>
      <c r="C7" s="105">
        <v>38.542177000000002</v>
      </c>
      <c r="D7" s="105"/>
      <c r="E7" s="106"/>
      <c r="F7" s="104"/>
      <c r="G7" s="99"/>
      <c r="H7" s="99"/>
      <c r="I7" s="107"/>
      <c r="J7" s="108"/>
      <c r="K7" s="99"/>
      <c r="L7" s="99"/>
      <c r="M7" s="99"/>
      <c r="N7" s="99"/>
      <c r="O7" s="99"/>
      <c r="P7" s="99"/>
      <c r="Q7" s="8"/>
      <c r="R7" s="8"/>
      <c r="S7" s="8"/>
      <c r="T7" s="8"/>
      <c r="U7" s="8"/>
      <c r="V7" s="8"/>
      <c r="W7" s="8"/>
      <c r="X7" s="8"/>
      <c r="Y7" s="8"/>
      <c r="Z7" s="8"/>
    </row>
    <row r="8" spans="1:26" ht="14.25" customHeight="1">
      <c r="A8" s="103" t="s">
        <v>92</v>
      </c>
      <c r="B8" s="104">
        <v>3042.0439999999999</v>
      </c>
      <c r="C8" s="105">
        <v>43.723143999999998</v>
      </c>
      <c r="D8" s="105"/>
      <c r="E8" s="106"/>
      <c r="F8" s="104"/>
      <c r="G8" s="99"/>
      <c r="H8" s="99"/>
      <c r="I8" s="107"/>
      <c r="J8" s="108"/>
      <c r="K8" s="99"/>
      <c r="L8" s="99"/>
      <c r="M8" s="99"/>
      <c r="N8" s="99"/>
      <c r="O8" s="99"/>
      <c r="P8" s="99"/>
      <c r="Q8" s="8"/>
      <c r="R8" s="8"/>
      <c r="S8" s="8"/>
      <c r="T8" s="8"/>
      <c r="U8" s="8"/>
      <c r="V8" s="8"/>
      <c r="W8" s="8"/>
      <c r="X8" s="8"/>
      <c r="Y8" s="8"/>
      <c r="Z8" s="8"/>
    </row>
    <row r="9" spans="1:26" ht="14.25" customHeight="1">
      <c r="A9" s="103" t="s">
        <v>93</v>
      </c>
      <c r="B9" s="104">
        <v>3357.0039999999999</v>
      </c>
      <c r="C9" s="105">
        <v>43.582901</v>
      </c>
      <c r="D9" s="105"/>
      <c r="E9" s="106"/>
      <c r="F9" s="104"/>
      <c r="G9" s="99"/>
      <c r="H9" s="108"/>
      <c r="I9" s="107"/>
      <c r="J9" s="108"/>
      <c r="K9" s="99"/>
      <c r="L9" s="99"/>
      <c r="M9" s="99"/>
      <c r="N9" s="99"/>
      <c r="O9" s="99"/>
      <c r="P9" s="99"/>
      <c r="Q9" s="8"/>
      <c r="R9" s="8"/>
      <c r="S9" s="8"/>
      <c r="T9" s="8"/>
      <c r="U9" s="8"/>
      <c r="V9" s="8"/>
      <c r="W9" s="8"/>
      <c r="X9" s="8"/>
      <c r="Y9" s="8"/>
      <c r="Z9" s="8"/>
    </row>
    <row r="10" spans="1:26" ht="14.25" customHeight="1">
      <c r="A10" s="103" t="s">
        <v>94</v>
      </c>
      <c r="B10" s="104">
        <v>3928.07</v>
      </c>
      <c r="C10" s="105">
        <v>39.474860999999997</v>
      </c>
      <c r="D10" s="105"/>
      <c r="E10" s="106"/>
      <c r="F10" s="104"/>
      <c r="G10" s="99"/>
      <c r="H10" s="108"/>
      <c r="I10" s="107"/>
      <c r="J10" s="108"/>
      <c r="K10" s="99"/>
      <c r="L10" s="99"/>
      <c r="M10" s="99"/>
      <c r="N10" s="99"/>
      <c r="O10" s="99"/>
      <c r="P10" s="99"/>
      <c r="Q10" s="8"/>
      <c r="R10" s="8"/>
      <c r="S10" s="8"/>
      <c r="T10" s="8"/>
      <c r="U10" s="8"/>
      <c r="V10" s="8"/>
      <c r="W10" s="8"/>
      <c r="X10" s="8"/>
      <c r="Y10" s="8"/>
      <c r="Z10" s="8"/>
    </row>
    <row r="11" spans="1:26" ht="14.25" customHeight="1">
      <c r="A11" s="103" t="s">
        <v>95</v>
      </c>
      <c r="B11" s="104">
        <v>3926.779</v>
      </c>
      <c r="C11" s="105">
        <v>35.192058000000003</v>
      </c>
      <c r="D11" s="105"/>
      <c r="E11" s="106"/>
      <c r="F11" s="104"/>
      <c r="G11" s="99"/>
      <c r="H11" s="108"/>
      <c r="I11" s="107"/>
      <c r="J11" s="99"/>
      <c r="K11" s="99"/>
      <c r="L11" s="99"/>
      <c r="M11" s="99"/>
      <c r="N11" s="99"/>
      <c r="O11" s="99"/>
      <c r="P11" s="99"/>
      <c r="Q11" s="8"/>
      <c r="R11" s="8"/>
      <c r="S11" s="8"/>
      <c r="T11" s="8"/>
      <c r="U11" s="8"/>
      <c r="V11" s="8"/>
      <c r="W11" s="8"/>
      <c r="X11" s="8"/>
      <c r="Y11" s="8"/>
      <c r="Z11" s="8"/>
    </row>
    <row r="12" spans="1:26" ht="14.25" customHeight="1">
      <c r="A12" s="103" t="s">
        <v>96</v>
      </c>
      <c r="B12" s="104">
        <v>4296.4960000000001</v>
      </c>
      <c r="C12" s="105">
        <v>40.694572999999998</v>
      </c>
      <c r="D12" s="105"/>
      <c r="E12" s="106"/>
      <c r="F12" s="104"/>
      <c r="G12" s="99"/>
      <c r="H12" s="108"/>
      <c r="I12" s="107"/>
      <c r="J12" s="99"/>
      <c r="K12" s="99"/>
      <c r="L12" s="99"/>
      <c r="M12" s="99"/>
      <c r="N12" s="99"/>
      <c r="O12" s="99"/>
      <c r="P12" s="99"/>
      <c r="Q12" s="8"/>
      <c r="R12" s="8"/>
      <c r="S12" s="8"/>
      <c r="T12" s="8"/>
      <c r="U12" s="8"/>
      <c r="V12" s="8"/>
      <c r="W12" s="8"/>
      <c r="X12" s="8"/>
      <c r="Y12" s="8"/>
      <c r="Z12" s="8"/>
    </row>
    <row r="13" spans="1:26" ht="14.25" customHeight="1">
      <c r="A13" s="103" t="s">
        <v>35</v>
      </c>
      <c r="B13" s="104">
        <v>4411.6329999999998</v>
      </c>
      <c r="C13" s="105">
        <v>41.30874</v>
      </c>
      <c r="D13" s="105"/>
      <c r="E13" s="106"/>
      <c r="F13" s="104"/>
      <c r="G13" s="99"/>
      <c r="H13" s="108"/>
      <c r="I13" s="107"/>
      <c r="J13" s="99"/>
      <c r="K13" s="99"/>
      <c r="L13" s="99"/>
      <c r="M13" s="99"/>
      <c r="N13" s="99"/>
      <c r="O13" s="99"/>
      <c r="P13" s="99"/>
      <c r="Q13" s="8"/>
      <c r="R13" s="8"/>
      <c r="S13" s="8"/>
      <c r="T13" s="8"/>
      <c r="U13" s="8"/>
      <c r="V13" s="8"/>
      <c r="W13" s="8"/>
      <c r="X13" s="8"/>
      <c r="Y13" s="8"/>
      <c r="Z13" s="8"/>
    </row>
    <row r="14" spans="1:26" ht="14.25" customHeight="1">
      <c r="A14" s="103" t="s">
        <v>48</v>
      </c>
      <c r="B14" s="104">
        <v>4543.8829999999998</v>
      </c>
      <c r="C14" s="105">
        <v>39.133977999999999</v>
      </c>
      <c r="D14" s="105"/>
      <c r="E14" s="106"/>
      <c r="F14" s="104"/>
      <c r="G14" s="99"/>
      <c r="H14" s="108"/>
      <c r="I14" s="107"/>
      <c r="J14" s="99"/>
      <c r="K14" s="99"/>
      <c r="L14" s="99"/>
      <c r="M14" s="99"/>
      <c r="N14" s="99"/>
      <c r="O14" s="99"/>
      <c r="P14" s="99"/>
      <c r="Q14" s="8"/>
      <c r="R14" s="8"/>
      <c r="S14" s="8"/>
      <c r="T14" s="8"/>
      <c r="U14" s="8"/>
      <c r="V14" s="8"/>
      <c r="W14" s="8"/>
      <c r="X14" s="8"/>
      <c r="Y14" s="8"/>
      <c r="Z14" s="8"/>
    </row>
    <row r="15" spans="1:26" ht="14.25" customHeight="1">
      <c r="A15" s="103" t="s">
        <v>97</v>
      </c>
      <c r="B15" s="104">
        <v>3680.2170000000001</v>
      </c>
      <c r="C15" s="105">
        <v>30.913822799999998</v>
      </c>
      <c r="D15" s="105"/>
      <c r="E15" s="106"/>
      <c r="F15" s="109"/>
      <c r="G15" s="99"/>
      <c r="H15" s="108"/>
      <c r="I15" s="99"/>
      <c r="J15" s="99"/>
      <c r="K15" s="99"/>
      <c r="L15" s="99"/>
      <c r="M15" s="99"/>
      <c r="N15" s="99"/>
      <c r="O15" s="99"/>
      <c r="P15" s="99"/>
      <c r="Q15" s="8"/>
      <c r="R15" s="8"/>
      <c r="S15" s="8"/>
      <c r="T15" s="8"/>
      <c r="U15" s="8"/>
      <c r="V15" s="8"/>
      <c r="W15" s="8"/>
      <c r="X15" s="8"/>
      <c r="Y15" s="8"/>
      <c r="Z15" s="8"/>
    </row>
    <row r="16" spans="1:26" ht="12.75" customHeight="1">
      <c r="A16" s="42"/>
      <c r="B16" s="110"/>
      <c r="C16" s="111"/>
      <c r="D16" s="109"/>
      <c r="E16" s="112"/>
      <c r="F16" s="109"/>
      <c r="G16" s="99"/>
      <c r="H16" s="99"/>
      <c r="I16" s="99"/>
      <c r="J16" s="113"/>
      <c r="K16" s="113"/>
      <c r="L16" s="113"/>
      <c r="M16" s="99"/>
      <c r="N16" s="99"/>
      <c r="O16" s="99"/>
      <c r="P16" s="99"/>
      <c r="Q16" s="8"/>
      <c r="R16" s="8"/>
      <c r="S16" s="8"/>
      <c r="T16" s="8"/>
      <c r="U16" s="8"/>
      <c r="V16" s="8"/>
      <c r="W16" s="8"/>
      <c r="X16" s="8"/>
      <c r="Y16" s="8"/>
      <c r="Z16" s="8"/>
    </row>
    <row r="17" spans="1:26" ht="12.75" customHeight="1">
      <c r="A17" s="42"/>
      <c r="B17" s="110"/>
      <c r="C17" s="111"/>
      <c r="D17" s="109"/>
      <c r="E17" s="112"/>
      <c r="F17" s="109"/>
      <c r="G17" s="99"/>
      <c r="H17" s="99"/>
      <c r="I17" s="99"/>
      <c r="J17" s="106"/>
      <c r="K17" s="106"/>
      <c r="L17" s="99"/>
      <c r="M17" s="99"/>
      <c r="N17" s="99"/>
      <c r="O17" s="99"/>
      <c r="P17" s="99"/>
      <c r="Q17" s="8"/>
      <c r="R17" s="8"/>
      <c r="S17" s="8"/>
      <c r="T17" s="8"/>
      <c r="U17" s="8"/>
      <c r="V17" s="8"/>
      <c r="W17" s="8"/>
      <c r="X17" s="8"/>
      <c r="Y17" s="8"/>
      <c r="Z17" s="8"/>
    </row>
    <row r="18" spans="1:26" ht="12.75" customHeight="1">
      <c r="A18" s="42"/>
      <c r="B18" s="110"/>
      <c r="C18" s="111"/>
      <c r="D18" s="109"/>
      <c r="E18" s="112"/>
      <c r="F18" s="109"/>
      <c r="G18" s="99"/>
      <c r="H18" s="107"/>
      <c r="I18" s="107"/>
      <c r="J18" s="106"/>
      <c r="K18" s="106"/>
      <c r="L18" s="99"/>
      <c r="M18" s="99"/>
      <c r="N18" s="99"/>
      <c r="O18" s="99"/>
      <c r="P18" s="99"/>
      <c r="Q18" s="8"/>
      <c r="R18" s="8"/>
      <c r="S18" s="8"/>
      <c r="T18" s="8"/>
      <c r="U18" s="8"/>
      <c r="V18" s="8"/>
      <c r="W18" s="8"/>
      <c r="X18" s="8"/>
      <c r="Y18" s="8"/>
      <c r="Z18" s="8"/>
    </row>
    <row r="19" spans="1:26" ht="12.75" customHeight="1">
      <c r="A19" s="42"/>
      <c r="B19" s="110"/>
      <c r="C19" s="111"/>
      <c r="D19" s="109"/>
      <c r="E19" s="112"/>
      <c r="F19" s="109"/>
      <c r="G19" s="99"/>
      <c r="H19" s="112"/>
      <c r="I19" s="107"/>
      <c r="J19" s="106"/>
      <c r="K19" s="106"/>
      <c r="L19" s="99"/>
      <c r="M19" s="99"/>
      <c r="N19" s="99"/>
      <c r="O19" s="99"/>
      <c r="P19" s="99"/>
      <c r="Q19" s="8"/>
      <c r="R19" s="8"/>
      <c r="S19" s="8"/>
      <c r="T19" s="8"/>
      <c r="U19" s="8"/>
      <c r="V19" s="8"/>
      <c r="W19" s="8"/>
      <c r="X19" s="8"/>
      <c r="Y19" s="8"/>
      <c r="Z19" s="8"/>
    </row>
    <row r="20" spans="1:26" ht="12.75" customHeight="1">
      <c r="A20" s="42"/>
      <c r="B20" s="110"/>
      <c r="C20" s="111"/>
      <c r="D20" s="109"/>
      <c r="E20" s="112"/>
      <c r="F20" s="109"/>
      <c r="G20" s="99"/>
      <c r="H20" s="112"/>
      <c r="I20" s="107"/>
      <c r="J20" s="106"/>
      <c r="K20" s="106"/>
      <c r="L20" s="99"/>
      <c r="M20" s="99"/>
      <c r="N20" s="99"/>
      <c r="O20" s="99"/>
      <c r="P20" s="99"/>
      <c r="Q20" s="8"/>
      <c r="R20" s="8"/>
      <c r="S20" s="8"/>
      <c r="T20" s="8"/>
      <c r="U20" s="8"/>
      <c r="V20" s="8"/>
      <c r="W20" s="8"/>
      <c r="X20" s="8"/>
      <c r="Y20" s="8"/>
      <c r="Z20" s="8"/>
    </row>
    <row r="21" spans="1:26" ht="12.75" customHeight="1">
      <c r="A21" s="42"/>
      <c r="B21" s="110"/>
      <c r="C21" s="111"/>
      <c r="D21" s="109"/>
      <c r="E21" s="112"/>
      <c r="F21" s="109"/>
      <c r="G21" s="99"/>
      <c r="H21" s="112"/>
      <c r="I21" s="107"/>
      <c r="J21" s="106"/>
      <c r="K21" s="106"/>
      <c r="L21" s="99"/>
      <c r="M21" s="99"/>
      <c r="N21" s="99"/>
      <c r="O21" s="99"/>
      <c r="P21" s="99"/>
      <c r="Q21" s="8"/>
      <c r="R21" s="8"/>
      <c r="S21" s="8"/>
      <c r="T21" s="8"/>
      <c r="U21" s="8"/>
      <c r="V21" s="8"/>
      <c r="W21" s="8"/>
      <c r="X21" s="8"/>
      <c r="Y21" s="8"/>
      <c r="Z21" s="8"/>
    </row>
    <row r="22" spans="1:26" ht="12.75" customHeight="1">
      <c r="A22" s="42"/>
      <c r="B22" s="110"/>
      <c r="C22" s="111"/>
      <c r="D22" s="109"/>
      <c r="E22" s="112"/>
      <c r="F22" s="109"/>
      <c r="G22" s="99"/>
      <c r="H22" s="112"/>
      <c r="I22" s="107"/>
      <c r="J22" s="106"/>
      <c r="K22" s="106"/>
      <c r="L22" s="99"/>
      <c r="M22" s="99"/>
      <c r="N22" s="99"/>
      <c r="O22" s="99"/>
      <c r="P22" s="99"/>
      <c r="Q22" s="8"/>
      <c r="R22" s="8"/>
      <c r="S22" s="8"/>
      <c r="T22" s="8"/>
      <c r="U22" s="8"/>
      <c r="V22" s="8"/>
      <c r="W22" s="8"/>
      <c r="X22" s="8"/>
      <c r="Y22" s="8"/>
      <c r="Z22" s="8"/>
    </row>
    <row r="23" spans="1:26" ht="12.75" customHeight="1">
      <c r="A23" s="42"/>
      <c r="B23" s="110"/>
      <c r="C23" s="111"/>
      <c r="D23" s="114"/>
      <c r="E23" s="112"/>
      <c r="F23" s="114"/>
      <c r="G23" s="99"/>
      <c r="H23" s="112"/>
      <c r="I23" s="107"/>
      <c r="J23" s="106"/>
      <c r="K23" s="106"/>
      <c r="L23" s="99"/>
      <c r="M23" s="99"/>
      <c r="N23" s="99"/>
      <c r="O23" s="99"/>
      <c r="P23" s="99"/>
      <c r="Q23" s="8"/>
      <c r="R23" s="8"/>
      <c r="S23" s="8"/>
      <c r="T23" s="8"/>
      <c r="U23" s="8"/>
      <c r="V23" s="8"/>
      <c r="W23" s="8"/>
      <c r="X23" s="8"/>
      <c r="Y23" s="8"/>
      <c r="Z23" s="8"/>
    </row>
    <row r="24" spans="1:26" ht="12.75" customHeight="1">
      <c r="A24" s="42"/>
      <c r="B24" s="110"/>
      <c r="C24" s="111"/>
      <c r="D24" s="114"/>
      <c r="E24" s="112"/>
      <c r="F24" s="114"/>
      <c r="G24" s="99"/>
      <c r="H24" s="112"/>
      <c r="I24" s="107"/>
      <c r="J24" s="106"/>
      <c r="K24" s="106"/>
      <c r="L24" s="99"/>
      <c r="M24" s="99"/>
      <c r="N24" s="99"/>
      <c r="O24" s="99"/>
      <c r="P24" s="99"/>
      <c r="Q24" s="8"/>
      <c r="R24" s="8"/>
      <c r="S24" s="8"/>
      <c r="T24" s="8"/>
      <c r="U24" s="8"/>
      <c r="V24" s="8"/>
      <c r="W24" s="8"/>
      <c r="X24" s="8"/>
      <c r="Y24" s="8"/>
      <c r="Z24" s="8"/>
    </row>
    <row r="25" spans="1:26" ht="12.75" customHeight="1">
      <c r="A25" s="42"/>
      <c r="B25" s="110"/>
      <c r="C25" s="111"/>
      <c r="D25" s="114"/>
      <c r="E25" s="112"/>
      <c r="F25" s="114"/>
      <c r="G25" s="99"/>
      <c r="H25" s="112"/>
      <c r="I25" s="107"/>
      <c r="J25" s="106"/>
      <c r="K25" s="106"/>
      <c r="L25" s="99"/>
      <c r="M25" s="99"/>
      <c r="N25" s="99"/>
      <c r="O25" s="99"/>
      <c r="P25" s="99"/>
      <c r="Q25" s="8"/>
      <c r="R25" s="8"/>
      <c r="S25" s="8"/>
      <c r="T25" s="8"/>
      <c r="U25" s="8"/>
      <c r="V25" s="8"/>
      <c r="W25" s="8"/>
      <c r="X25" s="8"/>
      <c r="Y25" s="8"/>
      <c r="Z25" s="8"/>
    </row>
    <row r="26" spans="1:26" ht="12.75" customHeight="1">
      <c r="A26" s="42"/>
      <c r="B26" s="110"/>
      <c r="C26" s="111"/>
      <c r="D26" s="114"/>
      <c r="E26" s="112"/>
      <c r="F26" s="114"/>
      <c r="G26" s="99"/>
      <c r="H26" s="112"/>
      <c r="I26" s="107"/>
      <c r="J26" s="106"/>
      <c r="K26" s="106"/>
      <c r="L26" s="99"/>
      <c r="M26" s="99"/>
      <c r="N26" s="99"/>
      <c r="O26" s="99"/>
      <c r="P26" s="99"/>
      <c r="Q26" s="8"/>
      <c r="R26" s="8"/>
      <c r="S26" s="8"/>
      <c r="T26" s="8"/>
      <c r="U26" s="8"/>
      <c r="V26" s="8"/>
      <c r="W26" s="8"/>
      <c r="X26" s="8"/>
      <c r="Y26" s="8"/>
      <c r="Z26" s="8"/>
    </row>
    <row r="27" spans="1:26" ht="12.75" customHeight="1">
      <c r="A27" s="42"/>
      <c r="B27" s="110"/>
      <c r="C27" s="111"/>
      <c r="D27" s="114"/>
      <c r="E27" s="112"/>
      <c r="F27" s="114"/>
      <c r="G27" s="99"/>
      <c r="H27" s="112"/>
      <c r="I27" s="107"/>
      <c r="J27" s="106"/>
      <c r="K27" s="106"/>
      <c r="L27" s="99"/>
      <c r="M27" s="99"/>
      <c r="N27" s="99"/>
      <c r="O27" s="99"/>
      <c r="P27" s="99"/>
      <c r="Q27" s="8"/>
      <c r="R27" s="8"/>
      <c r="S27" s="8"/>
      <c r="T27" s="8"/>
      <c r="U27" s="8"/>
      <c r="V27" s="8"/>
      <c r="W27" s="8"/>
      <c r="X27" s="8"/>
      <c r="Y27" s="8"/>
      <c r="Z27" s="8"/>
    </row>
    <row r="28" spans="1:26" ht="12.75" customHeight="1">
      <c r="A28" s="42"/>
      <c r="B28" s="110"/>
      <c r="C28" s="111"/>
      <c r="D28" s="114"/>
      <c r="E28" s="112"/>
      <c r="F28" s="114"/>
      <c r="G28" s="99"/>
      <c r="H28" s="112"/>
      <c r="I28" s="107"/>
      <c r="J28" s="106"/>
      <c r="K28" s="106"/>
      <c r="L28" s="99"/>
      <c r="M28" s="99"/>
      <c r="N28" s="99"/>
      <c r="O28" s="99"/>
      <c r="P28" s="99"/>
      <c r="Q28" s="8"/>
      <c r="R28" s="8"/>
      <c r="S28" s="8"/>
      <c r="T28" s="8"/>
      <c r="U28" s="8"/>
      <c r="V28" s="8"/>
      <c r="W28" s="8"/>
      <c r="X28" s="8"/>
      <c r="Y28" s="8"/>
      <c r="Z28" s="8"/>
    </row>
    <row r="29" spans="1:26" ht="12.75" customHeight="1">
      <c r="A29" s="42"/>
      <c r="B29" s="110"/>
      <c r="C29" s="111"/>
      <c r="D29" s="114"/>
      <c r="E29" s="112"/>
      <c r="F29" s="114"/>
      <c r="G29" s="99"/>
      <c r="H29" s="112"/>
      <c r="I29" s="107"/>
      <c r="J29" s="99"/>
      <c r="K29" s="99"/>
      <c r="L29" s="99"/>
      <c r="M29" s="99"/>
      <c r="N29" s="99"/>
      <c r="O29" s="99"/>
      <c r="P29" s="99"/>
      <c r="Q29" s="8"/>
      <c r="R29" s="8"/>
      <c r="S29" s="8"/>
      <c r="T29" s="8"/>
      <c r="U29" s="8"/>
      <c r="V29" s="8"/>
      <c r="W29" s="8"/>
      <c r="X29" s="8"/>
      <c r="Y29" s="8"/>
      <c r="Z29" s="8"/>
    </row>
    <row r="30" spans="1:26" ht="12.75" customHeight="1">
      <c r="A30" s="42"/>
      <c r="B30" s="110"/>
      <c r="C30" s="115"/>
      <c r="D30" s="114"/>
      <c r="E30" s="112"/>
      <c r="F30" s="114"/>
      <c r="G30" s="99"/>
      <c r="H30" s="112"/>
      <c r="I30" s="107"/>
      <c r="J30" s="99"/>
      <c r="K30" s="99"/>
      <c r="L30" s="99"/>
      <c r="M30" s="99"/>
      <c r="N30" s="99"/>
      <c r="O30" s="99"/>
      <c r="P30" s="99"/>
      <c r="Q30" s="8"/>
      <c r="R30" s="8"/>
      <c r="S30" s="8"/>
      <c r="T30" s="8"/>
      <c r="U30" s="8"/>
      <c r="V30" s="8"/>
      <c r="W30" s="8"/>
      <c r="X30" s="8"/>
      <c r="Y30" s="8"/>
      <c r="Z30" s="8"/>
    </row>
    <row r="31" spans="1:26" ht="12.75" customHeight="1">
      <c r="A31" s="42"/>
      <c r="B31" s="110"/>
      <c r="C31" s="115"/>
      <c r="D31" s="114"/>
      <c r="E31" s="107"/>
      <c r="F31" s="116"/>
      <c r="G31" s="99"/>
      <c r="H31" s="107"/>
      <c r="I31" s="107"/>
      <c r="J31" s="99"/>
      <c r="K31" s="99"/>
      <c r="L31" s="99"/>
      <c r="M31" s="99"/>
      <c r="N31" s="99"/>
      <c r="O31" s="99"/>
      <c r="P31" s="99"/>
      <c r="Q31" s="8"/>
      <c r="R31" s="8"/>
      <c r="S31" s="8"/>
      <c r="T31" s="8"/>
      <c r="U31" s="8"/>
      <c r="V31" s="8"/>
      <c r="W31" s="8"/>
      <c r="X31" s="8"/>
      <c r="Y31" s="8"/>
      <c r="Z31" s="8"/>
    </row>
    <row r="32" spans="1:26" ht="12.75" customHeight="1">
      <c r="A32" s="42"/>
      <c r="B32" s="110"/>
      <c r="C32" s="115"/>
      <c r="D32" s="116"/>
      <c r="E32" s="107"/>
      <c r="F32" s="116"/>
      <c r="G32" s="99"/>
      <c r="H32" s="107"/>
      <c r="I32" s="107"/>
      <c r="J32" s="99"/>
      <c r="K32" s="99"/>
      <c r="L32" s="99"/>
      <c r="M32" s="99"/>
      <c r="N32" s="99"/>
      <c r="O32" s="99"/>
      <c r="P32" s="99"/>
      <c r="Q32" s="8"/>
      <c r="R32" s="8"/>
      <c r="S32" s="8"/>
      <c r="T32" s="8"/>
      <c r="U32" s="8"/>
      <c r="V32" s="8"/>
      <c r="W32" s="8"/>
      <c r="X32" s="8"/>
      <c r="Y32" s="8"/>
      <c r="Z32" s="8"/>
    </row>
    <row r="33" spans="1:26" ht="12.75" customHeight="1">
      <c r="A33" s="42"/>
      <c r="B33" s="110"/>
      <c r="C33" s="115"/>
      <c r="D33" s="116"/>
      <c r="E33" s="107"/>
      <c r="F33" s="116"/>
      <c r="G33" s="99"/>
      <c r="H33" s="107"/>
      <c r="I33" s="107"/>
      <c r="J33" s="99"/>
      <c r="K33" s="99"/>
      <c r="L33" s="99"/>
      <c r="M33" s="99"/>
      <c r="N33" s="99"/>
      <c r="O33" s="99"/>
      <c r="P33" s="99"/>
      <c r="Q33" s="8"/>
      <c r="R33" s="8"/>
      <c r="S33" s="8"/>
      <c r="T33" s="8"/>
      <c r="U33" s="8"/>
      <c r="V33" s="8"/>
      <c r="W33" s="8"/>
      <c r="X33" s="8"/>
      <c r="Y33" s="8"/>
      <c r="Z33" s="8"/>
    </row>
    <row r="34" spans="1:26" ht="12.75" customHeight="1">
      <c r="A34" s="42"/>
      <c r="B34" s="110"/>
      <c r="C34" s="115"/>
      <c r="D34" s="115"/>
      <c r="E34" s="106"/>
      <c r="F34" s="105"/>
      <c r="G34" s="99"/>
      <c r="H34" s="106"/>
      <c r="I34" s="99"/>
      <c r="J34" s="99"/>
      <c r="K34" s="99"/>
      <c r="L34" s="99"/>
      <c r="M34" s="99"/>
      <c r="N34" s="99"/>
      <c r="O34" s="99"/>
      <c r="P34" s="99"/>
      <c r="Q34" s="8"/>
      <c r="R34" s="8"/>
      <c r="S34" s="8"/>
      <c r="T34" s="8"/>
      <c r="U34" s="8"/>
      <c r="V34" s="8"/>
      <c r="W34" s="8"/>
      <c r="X34" s="8"/>
      <c r="Y34" s="8"/>
      <c r="Z34" s="8"/>
    </row>
    <row r="35" spans="1:26" ht="12.75" customHeight="1">
      <c r="A35" s="42"/>
      <c r="B35" s="110"/>
      <c r="C35" s="115"/>
      <c r="D35" s="115"/>
      <c r="E35" s="106"/>
      <c r="F35" s="105"/>
      <c r="G35" s="99"/>
      <c r="H35" s="106"/>
      <c r="I35" s="99"/>
      <c r="J35" s="99"/>
      <c r="K35" s="99"/>
      <c r="L35" s="99"/>
      <c r="M35" s="99"/>
      <c r="N35" s="99"/>
      <c r="O35" s="99"/>
      <c r="P35" s="99"/>
      <c r="Q35" s="8"/>
      <c r="R35" s="8"/>
      <c r="S35" s="8"/>
      <c r="T35" s="8"/>
      <c r="U35" s="8"/>
      <c r="V35" s="8"/>
      <c r="W35" s="8"/>
      <c r="X35" s="8"/>
      <c r="Y35" s="8"/>
      <c r="Z35" s="8"/>
    </row>
    <row r="36" spans="1:26" ht="12.75" customHeight="1">
      <c r="A36" s="42"/>
      <c r="B36" s="110"/>
      <c r="C36" s="115"/>
      <c r="D36" s="115"/>
      <c r="E36" s="106"/>
      <c r="F36" s="105"/>
      <c r="G36" s="99"/>
      <c r="H36" s="106"/>
      <c r="I36" s="99"/>
      <c r="J36" s="99"/>
      <c r="K36" s="99"/>
      <c r="L36" s="99"/>
      <c r="M36" s="99"/>
      <c r="N36" s="99"/>
      <c r="O36" s="99"/>
      <c r="P36" s="99"/>
      <c r="Q36" s="8"/>
      <c r="R36" s="8"/>
      <c r="S36" s="8"/>
      <c r="T36" s="8"/>
      <c r="U36" s="8"/>
      <c r="V36" s="8"/>
      <c r="W36" s="8"/>
      <c r="X36" s="8"/>
      <c r="Y36" s="8"/>
      <c r="Z36" s="8"/>
    </row>
    <row r="37" spans="1:26" ht="12.75" customHeight="1">
      <c r="A37" s="42"/>
      <c r="B37" s="110"/>
      <c r="C37" s="115"/>
      <c r="D37" s="115"/>
      <c r="E37" s="106"/>
      <c r="F37" s="105"/>
      <c r="G37" s="99"/>
      <c r="H37" s="106"/>
      <c r="I37" s="99"/>
      <c r="J37" s="99"/>
      <c r="K37" s="99"/>
      <c r="L37" s="99"/>
      <c r="M37" s="99"/>
      <c r="N37" s="99"/>
      <c r="O37" s="99"/>
      <c r="P37" s="99"/>
      <c r="Q37" s="8"/>
      <c r="R37" s="8"/>
      <c r="S37" s="8"/>
      <c r="T37" s="8"/>
      <c r="U37" s="8"/>
      <c r="V37" s="8"/>
      <c r="W37" s="8"/>
      <c r="X37" s="8"/>
      <c r="Y37" s="8"/>
      <c r="Z37" s="8"/>
    </row>
    <row r="38" spans="1:26" ht="12.75" customHeight="1">
      <c r="A38" s="42"/>
      <c r="B38" s="110"/>
      <c r="C38" s="115"/>
      <c r="D38" s="115"/>
      <c r="E38" s="106"/>
      <c r="F38" s="105"/>
      <c r="G38" s="99"/>
      <c r="H38" s="106"/>
      <c r="I38" s="99"/>
      <c r="J38" s="99"/>
      <c r="K38" s="99"/>
      <c r="L38" s="99"/>
      <c r="M38" s="99"/>
      <c r="N38" s="99"/>
      <c r="O38" s="99"/>
      <c r="P38" s="99"/>
      <c r="Q38" s="8"/>
      <c r="R38" s="8"/>
      <c r="S38" s="8"/>
      <c r="T38" s="8"/>
      <c r="U38" s="8"/>
      <c r="V38" s="8"/>
      <c r="W38" s="8"/>
      <c r="X38" s="8"/>
      <c r="Y38" s="8"/>
      <c r="Z38" s="8"/>
    </row>
    <row r="39" spans="1:26" ht="12.75" customHeight="1">
      <c r="A39" s="42"/>
      <c r="B39" s="110"/>
      <c r="C39" s="115"/>
      <c r="D39" s="115"/>
      <c r="E39" s="106"/>
      <c r="F39" s="105"/>
      <c r="G39" s="99"/>
      <c r="H39" s="106"/>
      <c r="I39" s="99"/>
      <c r="J39" s="99"/>
      <c r="K39" s="99"/>
      <c r="L39" s="99"/>
      <c r="M39" s="99"/>
      <c r="N39" s="99"/>
      <c r="O39" s="99"/>
      <c r="P39" s="99"/>
      <c r="Q39" s="8"/>
      <c r="R39" s="8"/>
      <c r="S39" s="8"/>
      <c r="T39" s="8"/>
      <c r="U39" s="8"/>
      <c r="V39" s="8"/>
      <c r="W39" s="8"/>
      <c r="X39" s="8"/>
      <c r="Y39" s="8"/>
      <c r="Z39" s="8"/>
    </row>
    <row r="40" spans="1:26" ht="12.75" customHeight="1">
      <c r="A40" s="42"/>
      <c r="B40" s="110"/>
      <c r="C40" s="115"/>
      <c r="D40" s="115"/>
      <c r="E40" s="106"/>
      <c r="F40" s="105"/>
      <c r="G40" s="99"/>
      <c r="H40" s="106"/>
      <c r="I40" s="99"/>
      <c r="J40" s="99"/>
      <c r="K40" s="99"/>
      <c r="L40" s="99"/>
      <c r="M40" s="99"/>
      <c r="N40" s="99"/>
      <c r="O40" s="99"/>
      <c r="P40" s="99"/>
      <c r="Q40" s="8"/>
      <c r="R40" s="8"/>
      <c r="S40" s="8"/>
      <c r="T40" s="8"/>
      <c r="U40" s="8"/>
      <c r="V40" s="8"/>
      <c r="W40" s="8"/>
      <c r="X40" s="8"/>
      <c r="Y40" s="8"/>
      <c r="Z40" s="8"/>
    </row>
    <row r="41" spans="1:26" ht="12.75" customHeight="1">
      <c r="A41" s="42"/>
      <c r="B41" s="110"/>
      <c r="C41" s="115"/>
      <c r="D41" s="115"/>
      <c r="E41" s="106"/>
      <c r="F41" s="105"/>
      <c r="G41" s="99"/>
      <c r="H41" s="106"/>
      <c r="I41" s="99"/>
      <c r="J41" s="99"/>
      <c r="K41" s="99"/>
      <c r="L41" s="99"/>
      <c r="M41" s="99"/>
      <c r="N41" s="99"/>
      <c r="O41" s="99"/>
      <c r="P41" s="99"/>
      <c r="Q41" s="8"/>
      <c r="R41" s="8"/>
      <c r="S41" s="8"/>
      <c r="T41" s="8"/>
      <c r="U41" s="8"/>
      <c r="V41" s="8"/>
      <c r="W41" s="8"/>
      <c r="X41" s="8"/>
      <c r="Y41" s="8"/>
      <c r="Z41" s="8"/>
    </row>
    <row r="42" spans="1:26" ht="12.75" customHeight="1">
      <c r="A42" s="42"/>
      <c r="B42" s="110"/>
      <c r="C42" s="115"/>
      <c r="D42" s="115"/>
      <c r="E42" s="106"/>
      <c r="F42" s="105"/>
      <c r="G42" s="99"/>
      <c r="H42" s="106"/>
      <c r="I42" s="99"/>
      <c r="J42" s="99"/>
      <c r="K42" s="99"/>
      <c r="L42" s="99"/>
      <c r="M42" s="99"/>
      <c r="N42" s="99"/>
      <c r="O42" s="99"/>
      <c r="P42" s="99"/>
      <c r="Q42" s="8"/>
      <c r="R42" s="8"/>
      <c r="S42" s="8"/>
      <c r="T42" s="8"/>
      <c r="U42" s="8"/>
      <c r="V42" s="8"/>
      <c r="W42" s="8"/>
      <c r="X42" s="8"/>
      <c r="Y42" s="8"/>
      <c r="Z42" s="8"/>
    </row>
    <row r="43" spans="1:26" ht="12.75" customHeight="1">
      <c r="A43" s="42"/>
      <c r="B43" s="110"/>
      <c r="C43" s="115"/>
      <c r="D43" s="115"/>
      <c r="E43" s="106"/>
      <c r="F43" s="105"/>
      <c r="G43" s="99"/>
      <c r="H43" s="106"/>
      <c r="I43" s="99"/>
      <c r="J43" s="99"/>
      <c r="K43" s="99"/>
      <c r="L43" s="99"/>
      <c r="M43" s="99"/>
      <c r="N43" s="99"/>
      <c r="O43" s="99"/>
      <c r="P43" s="99"/>
      <c r="Q43" s="8"/>
      <c r="R43" s="8"/>
      <c r="S43" s="8"/>
      <c r="T43" s="8"/>
      <c r="U43" s="8"/>
      <c r="V43" s="8"/>
      <c r="W43" s="8"/>
      <c r="X43" s="8"/>
      <c r="Y43" s="8"/>
      <c r="Z43" s="8"/>
    </row>
    <row r="44" spans="1:26" ht="12.75" customHeight="1">
      <c r="A44" s="117"/>
      <c r="B44" s="117"/>
      <c r="C44" s="117"/>
      <c r="D44" s="118"/>
      <c r="E44" s="99"/>
      <c r="F44" s="118"/>
      <c r="G44" s="99"/>
      <c r="H44" s="99"/>
      <c r="I44" s="99"/>
      <c r="J44" s="99"/>
      <c r="K44" s="99"/>
      <c r="L44" s="99"/>
      <c r="M44" s="99"/>
      <c r="N44" s="99"/>
      <c r="O44" s="99"/>
      <c r="P44" s="99"/>
      <c r="Q44" s="8"/>
      <c r="R44" s="8"/>
      <c r="S44" s="8"/>
      <c r="T44" s="8"/>
      <c r="U44" s="8"/>
      <c r="V44" s="8"/>
      <c r="W44" s="8"/>
      <c r="X44" s="8"/>
      <c r="Y44" s="8"/>
      <c r="Z44" s="8"/>
    </row>
    <row r="45" spans="1:26" ht="12.75" customHeight="1">
      <c r="A45" s="117"/>
      <c r="B45" s="117"/>
      <c r="C45" s="117"/>
      <c r="D45" s="118"/>
      <c r="E45" s="99"/>
      <c r="F45" s="118"/>
      <c r="G45" s="99"/>
      <c r="H45" s="99"/>
      <c r="I45" s="99"/>
      <c r="J45" s="99"/>
      <c r="K45" s="99"/>
      <c r="L45" s="99"/>
      <c r="M45" s="99"/>
      <c r="N45" s="99"/>
      <c r="O45" s="99"/>
      <c r="P45" s="99"/>
      <c r="Q45" s="8"/>
      <c r="R45" s="8"/>
      <c r="S45" s="8"/>
      <c r="T45" s="8"/>
      <c r="U45" s="8"/>
      <c r="V45" s="8"/>
      <c r="W45" s="8"/>
      <c r="X45" s="8"/>
      <c r="Y45" s="8"/>
      <c r="Z45" s="8"/>
    </row>
    <row r="46" spans="1:26" ht="12.75" customHeight="1">
      <c r="A46" s="117"/>
      <c r="B46" s="117"/>
      <c r="C46" s="117"/>
      <c r="D46" s="118"/>
      <c r="E46" s="99"/>
      <c r="F46" s="118"/>
      <c r="G46" s="99"/>
      <c r="H46" s="99"/>
      <c r="I46" s="99"/>
      <c r="J46" s="99"/>
      <c r="K46" s="99"/>
      <c r="L46" s="99"/>
      <c r="M46" s="99"/>
      <c r="N46" s="99"/>
      <c r="O46" s="99"/>
      <c r="P46" s="99"/>
      <c r="Q46" s="8"/>
      <c r="R46" s="8"/>
      <c r="S46" s="8"/>
      <c r="T46" s="8"/>
      <c r="U46" s="8"/>
      <c r="V46" s="8"/>
      <c r="W46" s="8"/>
      <c r="X46" s="8"/>
      <c r="Y46" s="8"/>
      <c r="Z46" s="8"/>
    </row>
    <row r="47" spans="1:26" ht="12.75" customHeight="1">
      <c r="A47" s="117"/>
      <c r="B47" s="117"/>
      <c r="C47" s="117"/>
      <c r="D47" s="118"/>
      <c r="E47" s="99"/>
      <c r="F47" s="118"/>
      <c r="G47" s="99"/>
      <c r="H47" s="99"/>
      <c r="I47" s="99"/>
      <c r="J47" s="99"/>
      <c r="K47" s="99"/>
      <c r="L47" s="99"/>
      <c r="M47" s="99"/>
      <c r="N47" s="99"/>
      <c r="O47" s="99"/>
      <c r="P47" s="99"/>
      <c r="Q47" s="8"/>
      <c r="R47" s="8"/>
      <c r="S47" s="8"/>
      <c r="T47" s="8"/>
      <c r="U47" s="8"/>
      <c r="V47" s="8"/>
      <c r="W47" s="8"/>
      <c r="X47" s="8"/>
      <c r="Y47" s="8"/>
      <c r="Z47" s="8"/>
    </row>
    <row r="48" spans="1:26" ht="12.75" customHeight="1">
      <c r="A48" s="117"/>
      <c r="B48" s="117"/>
      <c r="C48" s="117"/>
      <c r="D48" s="118"/>
      <c r="E48" s="99"/>
      <c r="F48" s="118"/>
      <c r="G48" s="99"/>
      <c r="H48" s="99"/>
      <c r="I48" s="99"/>
      <c r="J48" s="99"/>
      <c r="K48" s="99"/>
      <c r="L48" s="99"/>
      <c r="M48" s="99"/>
      <c r="N48" s="99"/>
      <c r="O48" s="99"/>
      <c r="P48" s="99"/>
      <c r="Q48" s="8"/>
      <c r="R48" s="8"/>
      <c r="S48" s="8"/>
      <c r="T48" s="8"/>
      <c r="U48" s="8"/>
      <c r="V48" s="8"/>
      <c r="W48" s="8"/>
      <c r="X48" s="8"/>
      <c r="Y48" s="8"/>
      <c r="Z48" s="8"/>
    </row>
    <row r="49" spans="1:26" ht="12.75" customHeight="1">
      <c r="A49" s="117"/>
      <c r="B49" s="117"/>
      <c r="C49" s="117"/>
      <c r="D49" s="118"/>
      <c r="E49" s="99"/>
      <c r="F49" s="118"/>
      <c r="G49" s="99"/>
      <c r="H49" s="99"/>
      <c r="I49" s="99"/>
      <c r="J49" s="99"/>
      <c r="K49" s="99"/>
      <c r="L49" s="99"/>
      <c r="M49" s="99"/>
      <c r="N49" s="99"/>
      <c r="O49" s="99"/>
      <c r="P49" s="99"/>
      <c r="Q49" s="8"/>
      <c r="R49" s="8"/>
      <c r="S49" s="8"/>
      <c r="T49" s="8"/>
      <c r="U49" s="8"/>
      <c r="V49" s="8"/>
      <c r="W49" s="8"/>
      <c r="X49" s="8"/>
      <c r="Y49" s="8"/>
      <c r="Z49" s="8"/>
    </row>
    <row r="50" spans="1:26" ht="12.75" customHeight="1">
      <c r="A50" s="117"/>
      <c r="B50" s="117"/>
      <c r="C50" s="117"/>
      <c r="D50" s="118"/>
      <c r="E50" s="99"/>
      <c r="F50" s="118"/>
      <c r="G50" s="99"/>
      <c r="H50" s="99"/>
      <c r="I50" s="99"/>
      <c r="J50" s="99"/>
      <c r="K50" s="99"/>
      <c r="L50" s="99"/>
      <c r="M50" s="99"/>
      <c r="N50" s="99"/>
      <c r="O50" s="99"/>
      <c r="P50" s="99"/>
      <c r="Q50" s="8"/>
      <c r="R50" s="8"/>
      <c r="S50" s="8"/>
      <c r="T50" s="8"/>
      <c r="U50" s="8"/>
      <c r="V50" s="8"/>
      <c r="W50" s="8"/>
      <c r="X50" s="8"/>
      <c r="Y50" s="8"/>
      <c r="Z50" s="8"/>
    </row>
    <row r="51" spans="1:26" ht="12.75" customHeight="1">
      <c r="A51" s="117"/>
      <c r="B51" s="117"/>
      <c r="C51" s="117"/>
      <c r="D51" s="118"/>
      <c r="E51" s="99"/>
      <c r="F51" s="118"/>
      <c r="G51" s="99"/>
      <c r="H51" s="99"/>
      <c r="I51" s="99"/>
      <c r="J51" s="99"/>
      <c r="K51" s="99"/>
      <c r="L51" s="99"/>
      <c r="M51" s="99"/>
      <c r="N51" s="99"/>
      <c r="O51" s="99"/>
      <c r="P51" s="99"/>
      <c r="Q51" s="8"/>
      <c r="R51" s="8"/>
      <c r="S51" s="8"/>
      <c r="T51" s="8"/>
      <c r="U51" s="8"/>
      <c r="V51" s="8"/>
      <c r="W51" s="8"/>
      <c r="X51" s="8"/>
      <c r="Y51" s="8"/>
      <c r="Z51" s="8"/>
    </row>
    <row r="52" spans="1:26" ht="12.75" customHeight="1">
      <c r="A52" s="117"/>
      <c r="B52" s="117"/>
      <c r="C52" s="117"/>
      <c r="D52" s="118"/>
      <c r="E52" s="99"/>
      <c r="F52" s="118"/>
      <c r="G52" s="99"/>
      <c r="H52" s="99"/>
      <c r="I52" s="99"/>
      <c r="J52" s="99"/>
      <c r="K52" s="99"/>
      <c r="L52" s="99"/>
      <c r="M52" s="99"/>
      <c r="N52" s="99"/>
      <c r="O52" s="99"/>
      <c r="P52" s="99"/>
      <c r="Q52" s="8"/>
      <c r="R52" s="8"/>
      <c r="S52" s="8"/>
      <c r="T52" s="8"/>
      <c r="U52" s="8"/>
      <c r="V52" s="8"/>
      <c r="W52" s="8"/>
      <c r="X52" s="8"/>
      <c r="Y52" s="8"/>
      <c r="Z52" s="8"/>
    </row>
    <row r="53" spans="1:26" ht="12.75" customHeight="1">
      <c r="A53" s="117"/>
      <c r="B53" s="117"/>
      <c r="C53" s="117"/>
      <c r="D53" s="118"/>
      <c r="E53" s="99"/>
      <c r="F53" s="118"/>
      <c r="G53" s="99"/>
      <c r="H53" s="99"/>
      <c r="I53" s="99"/>
      <c r="J53" s="99"/>
      <c r="K53" s="99"/>
      <c r="L53" s="99"/>
      <c r="M53" s="99"/>
      <c r="N53" s="99"/>
      <c r="O53" s="99"/>
      <c r="P53" s="99"/>
      <c r="Q53" s="8"/>
      <c r="R53" s="8"/>
      <c r="S53" s="8"/>
      <c r="T53" s="8"/>
      <c r="U53" s="8"/>
      <c r="V53" s="8"/>
      <c r="W53" s="8"/>
      <c r="X53" s="8"/>
      <c r="Y53" s="8"/>
      <c r="Z53" s="8"/>
    </row>
    <row r="54" spans="1:26" ht="12.75" customHeight="1">
      <c r="A54" s="117"/>
      <c r="B54" s="117"/>
      <c r="C54" s="117"/>
      <c r="D54" s="118"/>
      <c r="E54" s="99"/>
      <c r="F54" s="118"/>
      <c r="G54" s="99"/>
      <c r="H54" s="99"/>
      <c r="I54" s="99"/>
      <c r="J54" s="99"/>
      <c r="K54" s="99"/>
      <c r="L54" s="99"/>
      <c r="M54" s="99"/>
      <c r="N54" s="99"/>
      <c r="O54" s="99"/>
      <c r="P54" s="99"/>
      <c r="Q54" s="8"/>
      <c r="R54" s="8"/>
      <c r="S54" s="8"/>
      <c r="T54" s="8"/>
      <c r="U54" s="8"/>
      <c r="V54" s="8"/>
      <c r="W54" s="8"/>
      <c r="X54" s="8"/>
      <c r="Y54" s="8"/>
      <c r="Z54" s="8"/>
    </row>
    <row r="55" spans="1:26" ht="12.75" customHeight="1">
      <c r="A55" s="117"/>
      <c r="B55" s="117"/>
      <c r="C55" s="117"/>
      <c r="D55" s="118"/>
      <c r="E55" s="99"/>
      <c r="F55" s="118"/>
      <c r="G55" s="99"/>
      <c r="H55" s="99"/>
      <c r="I55" s="99"/>
      <c r="J55" s="99"/>
      <c r="K55" s="99"/>
      <c r="L55" s="99"/>
      <c r="M55" s="99"/>
      <c r="N55" s="99"/>
      <c r="O55" s="99"/>
      <c r="P55" s="99"/>
      <c r="Q55" s="8"/>
      <c r="R55" s="8"/>
      <c r="S55" s="8"/>
      <c r="T55" s="8"/>
      <c r="U55" s="8"/>
      <c r="V55" s="8"/>
      <c r="W55" s="8"/>
      <c r="X55" s="8"/>
      <c r="Y55" s="8"/>
      <c r="Z55" s="8"/>
    </row>
    <row r="56" spans="1:26" ht="12.75" customHeight="1">
      <c r="A56" s="117"/>
      <c r="B56" s="117"/>
      <c r="C56" s="117"/>
      <c r="D56" s="118"/>
      <c r="E56" s="99"/>
      <c r="F56" s="118"/>
      <c r="G56" s="99"/>
      <c r="H56" s="99"/>
      <c r="I56" s="99"/>
      <c r="J56" s="99"/>
      <c r="K56" s="99"/>
      <c r="L56" s="99"/>
      <c r="M56" s="99"/>
      <c r="N56" s="99"/>
      <c r="O56" s="99"/>
      <c r="P56" s="99"/>
      <c r="Q56" s="8"/>
      <c r="R56" s="8"/>
      <c r="S56" s="8"/>
      <c r="T56" s="8"/>
      <c r="U56" s="8"/>
      <c r="V56" s="8"/>
      <c r="W56" s="8"/>
      <c r="X56" s="8"/>
      <c r="Y56" s="8"/>
      <c r="Z56" s="8"/>
    </row>
    <row r="57" spans="1:26" ht="12.75" customHeight="1">
      <c r="A57" s="117"/>
      <c r="B57" s="117"/>
      <c r="C57" s="117"/>
      <c r="D57" s="118"/>
      <c r="E57" s="99"/>
      <c r="F57" s="118"/>
      <c r="G57" s="99"/>
      <c r="H57" s="99"/>
      <c r="I57" s="99"/>
      <c r="J57" s="99"/>
      <c r="K57" s="99"/>
      <c r="L57" s="99"/>
      <c r="M57" s="99"/>
      <c r="N57" s="99"/>
      <c r="O57" s="99"/>
      <c r="P57" s="99"/>
      <c r="Q57" s="8"/>
      <c r="R57" s="8"/>
      <c r="S57" s="8"/>
      <c r="T57" s="8"/>
      <c r="U57" s="8"/>
      <c r="V57" s="8"/>
      <c r="W57" s="8"/>
      <c r="X57" s="8"/>
      <c r="Y57" s="8"/>
      <c r="Z57" s="8"/>
    </row>
    <row r="58" spans="1:26" ht="12.75" customHeight="1">
      <c r="A58" s="117"/>
      <c r="B58" s="117"/>
      <c r="C58" s="117"/>
      <c r="D58" s="118"/>
      <c r="E58" s="99"/>
      <c r="F58" s="118"/>
      <c r="G58" s="99"/>
      <c r="H58" s="99"/>
      <c r="I58" s="99"/>
      <c r="J58" s="99"/>
      <c r="K58" s="99"/>
      <c r="L58" s="99"/>
      <c r="M58" s="99"/>
      <c r="N58" s="99"/>
      <c r="O58" s="99"/>
      <c r="P58" s="99"/>
      <c r="Q58" s="8"/>
      <c r="R58" s="8"/>
      <c r="S58" s="8"/>
      <c r="T58" s="8"/>
      <c r="U58" s="8"/>
      <c r="V58" s="8"/>
      <c r="W58" s="8"/>
      <c r="X58" s="8"/>
      <c r="Y58" s="8"/>
      <c r="Z58" s="8"/>
    </row>
    <row r="59" spans="1:26" ht="12.75" customHeight="1">
      <c r="A59" s="117"/>
      <c r="B59" s="117"/>
      <c r="C59" s="117"/>
      <c r="D59" s="118"/>
      <c r="E59" s="99"/>
      <c r="F59" s="118"/>
      <c r="G59" s="99"/>
      <c r="H59" s="99"/>
      <c r="I59" s="99"/>
      <c r="J59" s="99"/>
      <c r="K59" s="99"/>
      <c r="L59" s="99"/>
      <c r="M59" s="99"/>
      <c r="N59" s="99"/>
      <c r="O59" s="99"/>
      <c r="P59" s="99"/>
      <c r="Q59" s="8"/>
      <c r="R59" s="8"/>
      <c r="S59" s="8"/>
      <c r="T59" s="8"/>
      <c r="U59" s="8"/>
      <c r="V59" s="8"/>
      <c r="W59" s="8"/>
      <c r="X59" s="8"/>
      <c r="Y59" s="8"/>
      <c r="Z59" s="8"/>
    </row>
    <row r="60" spans="1:26" ht="12.75" customHeight="1">
      <c r="A60" s="117"/>
      <c r="B60" s="117"/>
      <c r="C60" s="117"/>
      <c r="D60" s="118"/>
      <c r="E60" s="99"/>
      <c r="F60" s="118"/>
      <c r="G60" s="99"/>
      <c r="H60" s="99"/>
      <c r="I60" s="99"/>
      <c r="J60" s="99"/>
      <c r="K60" s="99"/>
      <c r="L60" s="99"/>
      <c r="M60" s="99"/>
      <c r="N60" s="99"/>
      <c r="O60" s="99"/>
      <c r="P60" s="99"/>
      <c r="Q60" s="8"/>
      <c r="R60" s="8"/>
      <c r="S60" s="8"/>
      <c r="T60" s="8"/>
      <c r="U60" s="8"/>
      <c r="V60" s="8"/>
      <c r="W60" s="8"/>
      <c r="X60" s="8"/>
      <c r="Y60" s="8"/>
      <c r="Z60" s="8"/>
    </row>
    <row r="61" spans="1:26" ht="12.75" customHeight="1">
      <c r="A61" s="117"/>
      <c r="B61" s="117"/>
      <c r="C61" s="117"/>
      <c r="D61" s="118"/>
      <c r="E61" s="99"/>
      <c r="F61" s="118"/>
      <c r="G61" s="99"/>
      <c r="H61" s="99"/>
      <c r="I61" s="99"/>
      <c r="J61" s="99"/>
      <c r="K61" s="99"/>
      <c r="L61" s="99"/>
      <c r="M61" s="99"/>
      <c r="N61" s="99"/>
      <c r="O61" s="99"/>
      <c r="P61" s="99"/>
      <c r="Q61" s="8"/>
      <c r="R61" s="8"/>
      <c r="S61" s="8"/>
      <c r="T61" s="8"/>
      <c r="U61" s="8"/>
      <c r="V61" s="8"/>
      <c r="W61" s="8"/>
      <c r="X61" s="8"/>
      <c r="Y61" s="8"/>
      <c r="Z61" s="8"/>
    </row>
    <row r="62" spans="1:26" ht="12.75" customHeight="1">
      <c r="A62" s="117"/>
      <c r="B62" s="117"/>
      <c r="C62" s="117"/>
      <c r="D62" s="118"/>
      <c r="E62" s="99"/>
      <c r="F62" s="118"/>
      <c r="G62" s="99"/>
      <c r="H62" s="99"/>
      <c r="I62" s="99"/>
      <c r="J62" s="99"/>
      <c r="K62" s="99"/>
      <c r="L62" s="99"/>
      <c r="M62" s="99"/>
      <c r="N62" s="99"/>
      <c r="O62" s="99"/>
      <c r="P62" s="99"/>
      <c r="Q62" s="8"/>
      <c r="R62" s="8"/>
      <c r="S62" s="8"/>
      <c r="T62" s="8"/>
      <c r="U62" s="8"/>
      <c r="V62" s="8"/>
      <c r="W62" s="8"/>
      <c r="X62" s="8"/>
      <c r="Y62" s="8"/>
      <c r="Z62" s="8"/>
    </row>
    <row r="63" spans="1:26" ht="12.75" customHeight="1">
      <c r="A63" s="117"/>
      <c r="B63" s="117"/>
      <c r="C63" s="117"/>
      <c r="D63" s="118"/>
      <c r="E63" s="99"/>
      <c r="F63" s="118"/>
      <c r="G63" s="99"/>
      <c r="H63" s="99"/>
      <c r="I63" s="99"/>
      <c r="J63" s="99"/>
      <c r="K63" s="99"/>
      <c r="L63" s="99"/>
      <c r="M63" s="99"/>
      <c r="N63" s="99"/>
      <c r="O63" s="99"/>
      <c r="P63" s="99"/>
      <c r="Q63" s="8"/>
      <c r="R63" s="8"/>
      <c r="S63" s="8"/>
      <c r="T63" s="8"/>
      <c r="U63" s="8"/>
      <c r="V63" s="8"/>
      <c r="W63" s="8"/>
      <c r="X63" s="8"/>
      <c r="Y63" s="8"/>
      <c r="Z63" s="8"/>
    </row>
    <row r="64" spans="1:26" ht="12.75" customHeight="1">
      <c r="A64" s="117"/>
      <c r="B64" s="117"/>
      <c r="C64" s="117"/>
      <c r="D64" s="118"/>
      <c r="E64" s="99"/>
      <c r="F64" s="118"/>
      <c r="G64" s="99"/>
      <c r="H64" s="99"/>
      <c r="I64" s="99"/>
      <c r="J64" s="99"/>
      <c r="K64" s="99"/>
      <c r="L64" s="99"/>
      <c r="M64" s="99"/>
      <c r="N64" s="99"/>
      <c r="O64" s="99"/>
      <c r="P64" s="99"/>
      <c r="Q64" s="8"/>
      <c r="R64" s="8"/>
      <c r="S64" s="8"/>
      <c r="T64" s="8"/>
      <c r="U64" s="8"/>
      <c r="V64" s="8"/>
      <c r="W64" s="8"/>
      <c r="X64" s="8"/>
      <c r="Y64" s="8"/>
      <c r="Z64" s="8"/>
    </row>
    <row r="65" spans="1:26" ht="12.75" customHeight="1">
      <c r="A65" s="117"/>
      <c r="B65" s="117"/>
      <c r="C65" s="117"/>
      <c r="D65" s="118"/>
      <c r="E65" s="99"/>
      <c r="F65" s="118"/>
      <c r="G65" s="99"/>
      <c r="H65" s="99"/>
      <c r="I65" s="99"/>
      <c r="J65" s="99"/>
      <c r="K65" s="99"/>
      <c r="L65" s="99"/>
      <c r="M65" s="99"/>
      <c r="N65" s="99"/>
      <c r="O65" s="99"/>
      <c r="P65" s="99"/>
      <c r="Q65" s="8"/>
      <c r="R65" s="8"/>
      <c r="S65" s="8"/>
      <c r="T65" s="8"/>
      <c r="U65" s="8"/>
      <c r="V65" s="8"/>
      <c r="W65" s="8"/>
      <c r="X65" s="8"/>
      <c r="Y65" s="8"/>
      <c r="Z65" s="8"/>
    </row>
    <row r="66" spans="1:26" ht="12.75" customHeight="1">
      <c r="A66" s="117"/>
      <c r="B66" s="117"/>
      <c r="C66" s="117"/>
      <c r="D66" s="118"/>
      <c r="E66" s="99"/>
      <c r="F66" s="118"/>
      <c r="G66" s="99"/>
      <c r="H66" s="99"/>
      <c r="I66" s="99"/>
      <c r="J66" s="99"/>
      <c r="K66" s="99"/>
      <c r="L66" s="99"/>
      <c r="M66" s="99"/>
      <c r="N66" s="99"/>
      <c r="O66" s="99"/>
      <c r="P66" s="99"/>
      <c r="Q66" s="8"/>
      <c r="R66" s="8"/>
      <c r="S66" s="8"/>
      <c r="T66" s="8"/>
      <c r="U66" s="8"/>
      <c r="V66" s="8"/>
      <c r="W66" s="8"/>
      <c r="X66" s="8"/>
      <c r="Y66" s="8"/>
      <c r="Z66" s="8"/>
    </row>
    <row r="67" spans="1:26" ht="12.75" customHeight="1">
      <c r="A67" s="117"/>
      <c r="B67" s="117"/>
      <c r="C67" s="117"/>
      <c r="D67" s="118"/>
      <c r="E67" s="99"/>
      <c r="F67" s="118"/>
      <c r="G67" s="99"/>
      <c r="H67" s="99"/>
      <c r="I67" s="99"/>
      <c r="J67" s="99"/>
      <c r="K67" s="99"/>
      <c r="L67" s="99"/>
      <c r="M67" s="99"/>
      <c r="N67" s="99"/>
      <c r="O67" s="99"/>
      <c r="P67" s="99"/>
      <c r="Q67" s="8"/>
      <c r="R67" s="8"/>
      <c r="S67" s="8"/>
      <c r="T67" s="8"/>
      <c r="U67" s="8"/>
      <c r="V67" s="8"/>
      <c r="W67" s="8"/>
      <c r="X67" s="8"/>
      <c r="Y67" s="8"/>
      <c r="Z67" s="8"/>
    </row>
    <row r="68" spans="1:26" ht="12.75" customHeight="1">
      <c r="A68" s="117"/>
      <c r="B68" s="117"/>
      <c r="C68" s="117"/>
      <c r="D68" s="118"/>
      <c r="E68" s="99"/>
      <c r="F68" s="118"/>
      <c r="G68" s="99"/>
      <c r="H68" s="99"/>
      <c r="I68" s="99"/>
      <c r="J68" s="99"/>
      <c r="K68" s="99"/>
      <c r="L68" s="99"/>
      <c r="M68" s="99"/>
      <c r="N68" s="99"/>
      <c r="O68" s="99"/>
      <c r="P68" s="99"/>
      <c r="Q68" s="8"/>
      <c r="R68" s="8"/>
      <c r="S68" s="8"/>
      <c r="T68" s="8"/>
      <c r="U68" s="8"/>
      <c r="V68" s="8"/>
      <c r="W68" s="8"/>
      <c r="X68" s="8"/>
      <c r="Y68" s="8"/>
      <c r="Z68" s="8"/>
    </row>
    <row r="69" spans="1:26" ht="12.75" customHeight="1">
      <c r="A69" s="117"/>
      <c r="B69" s="117"/>
      <c r="C69" s="117"/>
      <c r="D69" s="118"/>
      <c r="E69" s="99"/>
      <c r="F69" s="118"/>
      <c r="G69" s="99"/>
      <c r="H69" s="99"/>
      <c r="I69" s="99"/>
      <c r="J69" s="99"/>
      <c r="K69" s="99"/>
      <c r="L69" s="99"/>
      <c r="M69" s="99"/>
      <c r="N69" s="99"/>
      <c r="O69" s="99"/>
      <c r="P69" s="99"/>
      <c r="Q69" s="8"/>
      <c r="R69" s="8"/>
      <c r="S69" s="8"/>
      <c r="T69" s="8"/>
      <c r="U69" s="8"/>
      <c r="V69" s="8"/>
      <c r="W69" s="8"/>
      <c r="X69" s="8"/>
      <c r="Y69" s="8"/>
      <c r="Z69" s="8"/>
    </row>
    <row r="70" spans="1:26" ht="12.75" customHeight="1">
      <c r="A70" s="117"/>
      <c r="B70" s="117"/>
      <c r="C70" s="117"/>
      <c r="D70" s="118"/>
      <c r="E70" s="99"/>
      <c r="F70" s="118"/>
      <c r="G70" s="99"/>
      <c r="H70" s="99"/>
      <c r="I70" s="99"/>
      <c r="J70" s="99"/>
      <c r="K70" s="99"/>
      <c r="L70" s="99"/>
      <c r="M70" s="99"/>
      <c r="N70" s="99"/>
      <c r="O70" s="99"/>
      <c r="P70" s="99"/>
      <c r="Q70" s="8"/>
      <c r="R70" s="8"/>
      <c r="S70" s="8"/>
      <c r="T70" s="8"/>
      <c r="U70" s="8"/>
      <c r="V70" s="8"/>
      <c r="W70" s="8"/>
      <c r="X70" s="8"/>
      <c r="Y70" s="8"/>
      <c r="Z70" s="8"/>
    </row>
    <row r="71" spans="1:26" ht="12.75" customHeight="1">
      <c r="A71" s="117"/>
      <c r="B71" s="117"/>
      <c r="C71" s="117"/>
      <c r="D71" s="118"/>
      <c r="E71" s="99"/>
      <c r="F71" s="118"/>
      <c r="G71" s="99"/>
      <c r="H71" s="99"/>
      <c r="I71" s="99"/>
      <c r="J71" s="99"/>
      <c r="K71" s="99"/>
      <c r="L71" s="99"/>
      <c r="M71" s="99"/>
      <c r="N71" s="99"/>
      <c r="O71" s="99"/>
      <c r="P71" s="99"/>
      <c r="Q71" s="8"/>
      <c r="R71" s="8"/>
      <c r="S71" s="8"/>
      <c r="T71" s="8"/>
      <c r="U71" s="8"/>
      <c r="V71" s="8"/>
      <c r="W71" s="8"/>
      <c r="X71" s="8"/>
      <c r="Y71" s="8"/>
      <c r="Z71" s="8"/>
    </row>
    <row r="72" spans="1:26" ht="12.75" customHeight="1">
      <c r="A72" s="117"/>
      <c r="B72" s="117"/>
      <c r="C72" s="117"/>
      <c r="D72" s="118"/>
      <c r="E72" s="99"/>
      <c r="F72" s="118"/>
      <c r="G72" s="99"/>
      <c r="H72" s="99"/>
      <c r="I72" s="99"/>
      <c r="J72" s="99"/>
      <c r="K72" s="99"/>
      <c r="L72" s="99"/>
      <c r="M72" s="99"/>
      <c r="N72" s="99"/>
      <c r="O72" s="99"/>
      <c r="P72" s="99"/>
      <c r="Q72" s="8"/>
      <c r="R72" s="8"/>
      <c r="S72" s="8"/>
      <c r="T72" s="8"/>
      <c r="U72" s="8"/>
      <c r="V72" s="8"/>
      <c r="W72" s="8"/>
      <c r="X72" s="8"/>
      <c r="Y72" s="8"/>
      <c r="Z72" s="8"/>
    </row>
    <row r="73" spans="1:26" ht="12.75" customHeight="1">
      <c r="A73" s="117"/>
      <c r="B73" s="117"/>
      <c r="C73" s="117"/>
      <c r="D73" s="118"/>
      <c r="E73" s="99"/>
      <c r="F73" s="118"/>
      <c r="G73" s="99"/>
      <c r="H73" s="99"/>
      <c r="I73" s="99"/>
      <c r="J73" s="99"/>
      <c r="K73" s="99"/>
      <c r="L73" s="99"/>
      <c r="M73" s="99"/>
      <c r="N73" s="99"/>
      <c r="O73" s="99"/>
      <c r="P73" s="99"/>
      <c r="Q73" s="8"/>
      <c r="R73" s="8"/>
      <c r="S73" s="8"/>
      <c r="T73" s="8"/>
      <c r="U73" s="8"/>
      <c r="V73" s="8"/>
      <c r="W73" s="8"/>
      <c r="X73" s="8"/>
      <c r="Y73" s="8"/>
      <c r="Z73" s="8"/>
    </row>
    <row r="74" spans="1:26" ht="12.75" customHeight="1">
      <c r="A74" s="117"/>
      <c r="B74" s="117"/>
      <c r="C74" s="117"/>
      <c r="D74" s="118"/>
      <c r="E74" s="99"/>
      <c r="F74" s="118"/>
      <c r="G74" s="99"/>
      <c r="H74" s="99"/>
      <c r="I74" s="99"/>
      <c r="J74" s="99"/>
      <c r="K74" s="99"/>
      <c r="L74" s="99"/>
      <c r="M74" s="99"/>
      <c r="N74" s="99"/>
      <c r="O74" s="99"/>
      <c r="P74" s="99"/>
      <c r="Q74" s="8"/>
      <c r="R74" s="8"/>
      <c r="S74" s="8"/>
      <c r="T74" s="8"/>
      <c r="U74" s="8"/>
      <c r="V74" s="8"/>
      <c r="W74" s="8"/>
      <c r="X74" s="8"/>
      <c r="Y74" s="8"/>
      <c r="Z74" s="8"/>
    </row>
    <row r="75" spans="1:26" ht="12.75" customHeight="1">
      <c r="A75" s="117"/>
      <c r="B75" s="117"/>
      <c r="C75" s="117"/>
      <c r="D75" s="118"/>
      <c r="E75" s="99"/>
      <c r="F75" s="118"/>
      <c r="G75" s="99"/>
      <c r="H75" s="99"/>
      <c r="I75" s="99"/>
      <c r="J75" s="99"/>
      <c r="K75" s="99"/>
      <c r="L75" s="99"/>
      <c r="M75" s="99"/>
      <c r="N75" s="99"/>
      <c r="O75" s="99"/>
      <c r="P75" s="99"/>
      <c r="Q75" s="8"/>
      <c r="R75" s="8"/>
      <c r="S75" s="8"/>
      <c r="T75" s="8"/>
      <c r="U75" s="8"/>
      <c r="V75" s="8"/>
      <c r="W75" s="8"/>
      <c r="X75" s="8"/>
      <c r="Y75" s="8"/>
      <c r="Z75" s="8"/>
    </row>
    <row r="76" spans="1:26" ht="12.75" customHeight="1">
      <c r="A76" s="117"/>
      <c r="B76" s="117"/>
      <c r="C76" s="117"/>
      <c r="D76" s="118"/>
      <c r="E76" s="99"/>
      <c r="F76" s="118"/>
      <c r="G76" s="99"/>
      <c r="H76" s="99"/>
      <c r="I76" s="99"/>
      <c r="J76" s="99"/>
      <c r="K76" s="99"/>
      <c r="L76" s="99"/>
      <c r="M76" s="99"/>
      <c r="N76" s="99"/>
      <c r="O76" s="99"/>
      <c r="P76" s="99"/>
      <c r="Q76" s="8"/>
      <c r="R76" s="8"/>
      <c r="S76" s="8"/>
      <c r="T76" s="8"/>
      <c r="U76" s="8"/>
      <c r="V76" s="8"/>
      <c r="W76" s="8"/>
      <c r="X76" s="8"/>
      <c r="Y76" s="8"/>
      <c r="Z76" s="8"/>
    </row>
    <row r="77" spans="1:26" ht="12.75" customHeight="1">
      <c r="A77" s="117"/>
      <c r="B77" s="117"/>
      <c r="C77" s="117"/>
      <c r="D77" s="118"/>
      <c r="E77" s="99"/>
      <c r="F77" s="118"/>
      <c r="G77" s="99"/>
      <c r="H77" s="99"/>
      <c r="I77" s="99"/>
      <c r="J77" s="99"/>
      <c r="K77" s="99"/>
      <c r="L77" s="99"/>
      <c r="M77" s="99"/>
      <c r="N77" s="99"/>
      <c r="O77" s="99"/>
      <c r="P77" s="99"/>
      <c r="Q77" s="8"/>
      <c r="R77" s="8"/>
      <c r="S77" s="8"/>
      <c r="T77" s="8"/>
      <c r="U77" s="8"/>
      <c r="V77" s="8"/>
      <c r="W77" s="8"/>
      <c r="X77" s="8"/>
      <c r="Y77" s="8"/>
      <c r="Z77" s="8"/>
    </row>
    <row r="78" spans="1:26" ht="12.75" customHeight="1">
      <c r="A78" s="117"/>
      <c r="B78" s="117"/>
      <c r="C78" s="117"/>
      <c r="D78" s="118"/>
      <c r="E78" s="99"/>
      <c r="F78" s="118"/>
      <c r="G78" s="99"/>
      <c r="H78" s="99"/>
      <c r="I78" s="99"/>
      <c r="J78" s="99"/>
      <c r="K78" s="99"/>
      <c r="L78" s="99"/>
      <c r="M78" s="99"/>
      <c r="N78" s="99"/>
      <c r="O78" s="99"/>
      <c r="P78" s="99"/>
      <c r="Q78" s="8"/>
      <c r="R78" s="8"/>
      <c r="S78" s="8"/>
      <c r="T78" s="8"/>
      <c r="U78" s="8"/>
      <c r="V78" s="8"/>
      <c r="W78" s="8"/>
      <c r="X78" s="8"/>
      <c r="Y78" s="8"/>
      <c r="Z78" s="8"/>
    </row>
    <row r="79" spans="1:26" ht="12.75" customHeight="1">
      <c r="A79" s="117"/>
      <c r="B79" s="117"/>
      <c r="C79" s="117"/>
      <c r="D79" s="118"/>
      <c r="E79" s="99"/>
      <c r="F79" s="118"/>
      <c r="G79" s="99"/>
      <c r="H79" s="99"/>
      <c r="I79" s="99"/>
      <c r="J79" s="99"/>
      <c r="K79" s="99"/>
      <c r="L79" s="99"/>
      <c r="M79" s="99"/>
      <c r="N79" s="99"/>
      <c r="O79" s="99"/>
      <c r="P79" s="99"/>
      <c r="Q79" s="8"/>
      <c r="R79" s="8"/>
      <c r="S79" s="8"/>
      <c r="T79" s="8"/>
      <c r="U79" s="8"/>
      <c r="V79" s="8"/>
      <c r="W79" s="8"/>
      <c r="X79" s="8"/>
      <c r="Y79" s="8"/>
      <c r="Z79" s="8"/>
    </row>
    <row r="80" spans="1:26" ht="12.75" customHeight="1">
      <c r="A80" s="117"/>
      <c r="B80" s="117"/>
      <c r="C80" s="117"/>
      <c r="D80" s="118"/>
      <c r="E80" s="99"/>
      <c r="F80" s="118"/>
      <c r="G80" s="99"/>
      <c r="H80" s="99"/>
      <c r="I80" s="99"/>
      <c r="J80" s="99"/>
      <c r="K80" s="99"/>
      <c r="L80" s="99"/>
      <c r="M80" s="99"/>
      <c r="N80" s="99"/>
      <c r="O80" s="99"/>
      <c r="P80" s="99"/>
      <c r="Q80" s="8"/>
      <c r="R80" s="8"/>
      <c r="S80" s="8"/>
      <c r="T80" s="8"/>
      <c r="U80" s="8"/>
      <c r="V80" s="8"/>
      <c r="W80" s="8"/>
      <c r="X80" s="8"/>
      <c r="Y80" s="8"/>
      <c r="Z80" s="8"/>
    </row>
    <row r="81" spans="1:26" ht="12.75" customHeight="1">
      <c r="A81" s="117"/>
      <c r="B81" s="117"/>
      <c r="C81" s="117"/>
      <c r="D81" s="118"/>
      <c r="E81" s="99"/>
      <c r="F81" s="118"/>
      <c r="G81" s="99"/>
      <c r="H81" s="99"/>
      <c r="I81" s="99"/>
      <c r="J81" s="99"/>
      <c r="K81" s="99"/>
      <c r="L81" s="99"/>
      <c r="M81" s="99"/>
      <c r="N81" s="99"/>
      <c r="O81" s="99"/>
      <c r="P81" s="99"/>
      <c r="Q81" s="8"/>
      <c r="R81" s="8"/>
      <c r="S81" s="8"/>
      <c r="T81" s="8"/>
      <c r="U81" s="8"/>
      <c r="V81" s="8"/>
      <c r="W81" s="8"/>
      <c r="X81" s="8"/>
      <c r="Y81" s="8"/>
      <c r="Z81" s="8"/>
    </row>
    <row r="82" spans="1:26" ht="12.75" customHeight="1">
      <c r="A82" s="117"/>
      <c r="B82" s="117"/>
      <c r="C82" s="117"/>
      <c r="D82" s="118"/>
      <c r="E82" s="99"/>
      <c r="F82" s="118"/>
      <c r="G82" s="99"/>
      <c r="H82" s="99"/>
      <c r="I82" s="99"/>
      <c r="J82" s="99"/>
      <c r="K82" s="99"/>
      <c r="L82" s="99"/>
      <c r="M82" s="99"/>
      <c r="N82" s="99"/>
      <c r="O82" s="99"/>
      <c r="P82" s="99"/>
      <c r="Q82" s="8"/>
      <c r="R82" s="8"/>
      <c r="S82" s="8"/>
      <c r="T82" s="8"/>
      <c r="U82" s="8"/>
      <c r="V82" s="8"/>
      <c r="W82" s="8"/>
      <c r="X82" s="8"/>
      <c r="Y82" s="8"/>
      <c r="Z82" s="8"/>
    </row>
    <row r="83" spans="1:26" ht="12.75" customHeight="1">
      <c r="A83" s="117"/>
      <c r="B83" s="117"/>
      <c r="C83" s="117"/>
      <c r="D83" s="118"/>
      <c r="E83" s="99"/>
      <c r="F83" s="118"/>
      <c r="G83" s="99"/>
      <c r="H83" s="99"/>
      <c r="I83" s="99"/>
      <c r="J83" s="99"/>
      <c r="K83" s="99"/>
      <c r="L83" s="99"/>
      <c r="M83" s="99"/>
      <c r="N83" s="99"/>
      <c r="O83" s="99"/>
      <c r="P83" s="99"/>
      <c r="Q83" s="8"/>
      <c r="R83" s="8"/>
      <c r="S83" s="8"/>
      <c r="T83" s="8"/>
      <c r="U83" s="8"/>
      <c r="V83" s="8"/>
      <c r="W83" s="8"/>
      <c r="X83" s="8"/>
      <c r="Y83" s="8"/>
      <c r="Z83" s="8"/>
    </row>
    <row r="84" spans="1:26" ht="12.75" customHeight="1">
      <c r="A84" s="117"/>
      <c r="B84" s="117"/>
      <c r="C84" s="117"/>
      <c r="D84" s="118"/>
      <c r="E84" s="99"/>
      <c r="F84" s="118"/>
      <c r="G84" s="99"/>
      <c r="H84" s="99"/>
      <c r="I84" s="99"/>
      <c r="J84" s="99"/>
      <c r="K84" s="99"/>
      <c r="L84" s="99"/>
      <c r="M84" s="99"/>
      <c r="N84" s="99"/>
      <c r="O84" s="99"/>
      <c r="P84" s="99"/>
      <c r="Q84" s="8"/>
      <c r="R84" s="8"/>
      <c r="S84" s="8"/>
      <c r="T84" s="8"/>
      <c r="U84" s="8"/>
      <c r="V84" s="8"/>
      <c r="W84" s="8"/>
      <c r="X84" s="8"/>
      <c r="Y84" s="8"/>
      <c r="Z84" s="8"/>
    </row>
    <row r="85" spans="1:26" ht="12.75" customHeight="1">
      <c r="A85" s="117"/>
      <c r="B85" s="117"/>
      <c r="C85" s="117"/>
      <c r="D85" s="118"/>
      <c r="E85" s="99"/>
      <c r="F85" s="118"/>
      <c r="G85" s="99"/>
      <c r="H85" s="99"/>
      <c r="I85" s="99"/>
      <c r="J85" s="99"/>
      <c r="K85" s="99"/>
      <c r="L85" s="99"/>
      <c r="M85" s="99"/>
      <c r="N85" s="99"/>
      <c r="O85" s="99"/>
      <c r="P85" s="99"/>
      <c r="Q85" s="8"/>
      <c r="R85" s="8"/>
      <c r="S85" s="8"/>
      <c r="T85" s="8"/>
      <c r="U85" s="8"/>
      <c r="V85" s="8"/>
      <c r="W85" s="8"/>
      <c r="X85" s="8"/>
      <c r="Y85" s="8"/>
      <c r="Z85" s="8"/>
    </row>
    <row r="86" spans="1:26" ht="12.75" customHeight="1">
      <c r="A86" s="117"/>
      <c r="B86" s="117"/>
      <c r="C86" s="117"/>
      <c r="D86" s="118"/>
      <c r="E86" s="99"/>
      <c r="F86" s="118"/>
      <c r="G86" s="99"/>
      <c r="H86" s="99"/>
      <c r="I86" s="99"/>
      <c r="J86" s="99"/>
      <c r="K86" s="99"/>
      <c r="L86" s="99"/>
      <c r="M86" s="99"/>
      <c r="N86" s="99"/>
      <c r="O86" s="99"/>
      <c r="P86" s="99"/>
      <c r="Q86" s="8"/>
      <c r="R86" s="8"/>
      <c r="S86" s="8"/>
      <c r="T86" s="8"/>
      <c r="U86" s="8"/>
      <c r="V86" s="8"/>
      <c r="W86" s="8"/>
      <c r="X86" s="8"/>
      <c r="Y86" s="8"/>
      <c r="Z86" s="8"/>
    </row>
    <row r="87" spans="1:26" ht="12.75" customHeight="1">
      <c r="A87" s="117"/>
      <c r="B87" s="117"/>
      <c r="C87" s="117"/>
      <c r="D87" s="118"/>
      <c r="E87" s="99"/>
      <c r="F87" s="118"/>
      <c r="G87" s="99"/>
      <c r="H87" s="99"/>
      <c r="I87" s="99"/>
      <c r="J87" s="99"/>
      <c r="K87" s="99"/>
      <c r="L87" s="99"/>
      <c r="M87" s="99"/>
      <c r="N87" s="99"/>
      <c r="O87" s="99"/>
      <c r="P87" s="99"/>
      <c r="Q87" s="8"/>
      <c r="R87" s="8"/>
      <c r="S87" s="8"/>
      <c r="T87" s="8"/>
      <c r="U87" s="8"/>
      <c r="V87" s="8"/>
      <c r="W87" s="8"/>
      <c r="X87" s="8"/>
      <c r="Y87" s="8"/>
      <c r="Z87" s="8"/>
    </row>
    <row r="88" spans="1:26" ht="12.75" customHeight="1">
      <c r="A88" s="117"/>
      <c r="B88" s="117"/>
      <c r="C88" s="117"/>
      <c r="D88" s="118"/>
      <c r="E88" s="99"/>
      <c r="F88" s="118"/>
      <c r="G88" s="99"/>
      <c r="H88" s="99"/>
      <c r="I88" s="99"/>
      <c r="J88" s="99"/>
      <c r="K88" s="99"/>
      <c r="L88" s="99"/>
      <c r="M88" s="99"/>
      <c r="N88" s="99"/>
      <c r="O88" s="99"/>
      <c r="P88" s="99"/>
      <c r="Q88" s="8"/>
      <c r="R88" s="8"/>
      <c r="S88" s="8"/>
      <c r="T88" s="8"/>
      <c r="U88" s="8"/>
      <c r="V88" s="8"/>
      <c r="W88" s="8"/>
      <c r="X88" s="8"/>
      <c r="Y88" s="8"/>
      <c r="Z88" s="8"/>
    </row>
    <row r="89" spans="1:26" ht="12.75" customHeight="1">
      <c r="A89" s="117"/>
      <c r="B89" s="117"/>
      <c r="C89" s="117"/>
      <c r="D89" s="118"/>
      <c r="E89" s="99"/>
      <c r="F89" s="118"/>
      <c r="G89" s="99"/>
      <c r="H89" s="99"/>
      <c r="I89" s="99"/>
      <c r="J89" s="99"/>
      <c r="K89" s="99"/>
      <c r="L89" s="99"/>
      <c r="M89" s="99"/>
      <c r="N89" s="99"/>
      <c r="O89" s="99"/>
      <c r="P89" s="99"/>
      <c r="Q89" s="8"/>
      <c r="R89" s="8"/>
      <c r="S89" s="8"/>
      <c r="T89" s="8"/>
      <c r="U89" s="8"/>
      <c r="V89" s="8"/>
      <c r="W89" s="8"/>
      <c r="X89" s="8"/>
      <c r="Y89" s="8"/>
      <c r="Z89" s="8"/>
    </row>
    <row r="90" spans="1:26" ht="12.75" customHeight="1">
      <c r="A90" s="117"/>
      <c r="B90" s="117"/>
      <c r="C90" s="117"/>
      <c r="D90" s="118"/>
      <c r="E90" s="99"/>
      <c r="F90" s="118"/>
      <c r="G90" s="99"/>
      <c r="H90" s="99"/>
      <c r="I90" s="99"/>
      <c r="J90" s="99"/>
      <c r="K90" s="99"/>
      <c r="L90" s="99"/>
      <c r="M90" s="99"/>
      <c r="N90" s="99"/>
      <c r="O90" s="99"/>
      <c r="P90" s="99"/>
      <c r="Q90" s="8"/>
      <c r="R90" s="8"/>
      <c r="S90" s="8"/>
      <c r="T90" s="8"/>
      <c r="U90" s="8"/>
      <c r="V90" s="8"/>
      <c r="W90" s="8"/>
      <c r="X90" s="8"/>
      <c r="Y90" s="8"/>
      <c r="Z90" s="8"/>
    </row>
    <row r="91" spans="1:26" ht="12.75" customHeight="1">
      <c r="A91" s="117"/>
      <c r="B91" s="117"/>
      <c r="C91" s="117"/>
      <c r="D91" s="118"/>
      <c r="E91" s="99"/>
      <c r="F91" s="118"/>
      <c r="G91" s="99"/>
      <c r="H91" s="99"/>
      <c r="I91" s="99"/>
      <c r="J91" s="99"/>
      <c r="K91" s="99"/>
      <c r="L91" s="99"/>
      <c r="M91" s="99"/>
      <c r="N91" s="99"/>
      <c r="O91" s="99"/>
      <c r="P91" s="99"/>
      <c r="Q91" s="8"/>
      <c r="R91" s="8"/>
      <c r="S91" s="8"/>
      <c r="T91" s="8"/>
      <c r="U91" s="8"/>
      <c r="V91" s="8"/>
      <c r="W91" s="8"/>
      <c r="X91" s="8"/>
      <c r="Y91" s="8"/>
      <c r="Z91" s="8"/>
    </row>
    <row r="92" spans="1:26" ht="12.75" customHeight="1">
      <c r="A92" s="117"/>
      <c r="B92" s="117"/>
      <c r="C92" s="117"/>
      <c r="D92" s="118"/>
      <c r="E92" s="99"/>
      <c r="F92" s="118"/>
      <c r="G92" s="99"/>
      <c r="H92" s="99"/>
      <c r="I92" s="99"/>
      <c r="J92" s="99"/>
      <c r="K92" s="99"/>
      <c r="L92" s="99"/>
      <c r="M92" s="99"/>
      <c r="N92" s="99"/>
      <c r="O92" s="99"/>
      <c r="P92" s="99"/>
      <c r="Q92" s="8"/>
      <c r="R92" s="8"/>
      <c r="S92" s="8"/>
      <c r="T92" s="8"/>
      <c r="U92" s="8"/>
      <c r="V92" s="8"/>
      <c r="W92" s="8"/>
      <c r="X92" s="8"/>
      <c r="Y92" s="8"/>
      <c r="Z92" s="8"/>
    </row>
    <row r="93" spans="1:26" ht="12.75" customHeight="1">
      <c r="A93" s="117"/>
      <c r="B93" s="117"/>
      <c r="C93" s="117"/>
      <c r="D93" s="118"/>
      <c r="E93" s="99"/>
      <c r="F93" s="118"/>
      <c r="G93" s="99"/>
      <c r="H93" s="99"/>
      <c r="I93" s="99"/>
      <c r="J93" s="99"/>
      <c r="K93" s="99"/>
      <c r="L93" s="99"/>
      <c r="M93" s="99"/>
      <c r="N93" s="99"/>
      <c r="O93" s="99"/>
      <c r="P93" s="99"/>
      <c r="Q93" s="8"/>
      <c r="R93" s="8"/>
      <c r="S93" s="8"/>
      <c r="T93" s="8"/>
      <c r="U93" s="8"/>
      <c r="V93" s="8"/>
      <c r="W93" s="8"/>
      <c r="X93" s="8"/>
      <c r="Y93" s="8"/>
      <c r="Z93" s="8"/>
    </row>
    <row r="94" spans="1:26" ht="12.75" customHeight="1">
      <c r="A94" s="117"/>
      <c r="B94" s="117"/>
      <c r="C94" s="117"/>
      <c r="D94" s="118"/>
      <c r="E94" s="99"/>
      <c r="F94" s="118"/>
      <c r="G94" s="99"/>
      <c r="H94" s="99"/>
      <c r="I94" s="99"/>
      <c r="J94" s="99"/>
      <c r="K94" s="99"/>
      <c r="L94" s="99"/>
      <c r="M94" s="99"/>
      <c r="N94" s="99"/>
      <c r="O94" s="99"/>
      <c r="P94" s="99"/>
      <c r="Q94" s="8"/>
      <c r="R94" s="8"/>
      <c r="S94" s="8"/>
      <c r="T94" s="8"/>
      <c r="U94" s="8"/>
      <c r="V94" s="8"/>
      <c r="W94" s="8"/>
      <c r="X94" s="8"/>
      <c r="Y94" s="8"/>
      <c r="Z94" s="8"/>
    </row>
    <row r="95" spans="1:26" ht="12.75" customHeight="1">
      <c r="A95" s="117"/>
      <c r="B95" s="117"/>
      <c r="C95" s="117"/>
      <c r="D95" s="118"/>
      <c r="E95" s="99"/>
      <c r="F95" s="118"/>
      <c r="G95" s="99"/>
      <c r="H95" s="99"/>
      <c r="I95" s="99"/>
      <c r="J95" s="99"/>
      <c r="K95" s="99"/>
      <c r="L95" s="99"/>
      <c r="M95" s="99"/>
      <c r="N95" s="99"/>
      <c r="O95" s="99"/>
      <c r="P95" s="99"/>
      <c r="Q95" s="8"/>
      <c r="R95" s="8"/>
      <c r="S95" s="8"/>
      <c r="T95" s="8"/>
      <c r="U95" s="8"/>
      <c r="V95" s="8"/>
      <c r="W95" s="8"/>
      <c r="X95" s="8"/>
      <c r="Y95" s="8"/>
      <c r="Z95" s="8"/>
    </row>
    <row r="96" spans="1:26" ht="12.75" customHeight="1">
      <c r="A96" s="117"/>
      <c r="B96" s="117"/>
      <c r="C96" s="117"/>
      <c r="D96" s="118"/>
      <c r="E96" s="99"/>
      <c r="F96" s="118"/>
      <c r="G96" s="99"/>
      <c r="H96" s="99"/>
      <c r="I96" s="99"/>
      <c r="J96" s="99"/>
      <c r="K96" s="99"/>
      <c r="L96" s="99"/>
      <c r="M96" s="99"/>
      <c r="N96" s="99"/>
      <c r="O96" s="99"/>
      <c r="P96" s="99"/>
      <c r="Q96" s="8"/>
      <c r="R96" s="8"/>
      <c r="S96" s="8"/>
      <c r="T96" s="8"/>
      <c r="U96" s="8"/>
      <c r="V96" s="8"/>
      <c r="W96" s="8"/>
      <c r="X96" s="8"/>
      <c r="Y96" s="8"/>
      <c r="Z96" s="8"/>
    </row>
    <row r="97" spans="1:26" ht="12.75" customHeight="1">
      <c r="A97" s="117"/>
      <c r="B97" s="117"/>
      <c r="C97" s="117"/>
      <c r="D97" s="118"/>
      <c r="E97" s="99"/>
      <c r="F97" s="118"/>
      <c r="G97" s="99"/>
      <c r="H97" s="99"/>
      <c r="I97" s="99"/>
      <c r="J97" s="99"/>
      <c r="K97" s="99"/>
      <c r="L97" s="99"/>
      <c r="M97" s="99"/>
      <c r="N97" s="99"/>
      <c r="O97" s="99"/>
      <c r="P97" s="99"/>
      <c r="Q97" s="8"/>
      <c r="R97" s="8"/>
      <c r="S97" s="8"/>
      <c r="T97" s="8"/>
      <c r="U97" s="8"/>
      <c r="V97" s="8"/>
      <c r="W97" s="8"/>
      <c r="X97" s="8"/>
      <c r="Y97" s="8"/>
      <c r="Z97" s="8"/>
    </row>
    <row r="98" spans="1:26" ht="12.75" customHeight="1">
      <c r="A98" s="117"/>
      <c r="B98" s="117"/>
      <c r="C98" s="117"/>
      <c r="D98" s="118"/>
      <c r="E98" s="99"/>
      <c r="F98" s="118"/>
      <c r="G98" s="99"/>
      <c r="H98" s="99"/>
      <c r="I98" s="99"/>
      <c r="J98" s="99"/>
      <c r="K98" s="99"/>
      <c r="L98" s="99"/>
      <c r="M98" s="99"/>
      <c r="N98" s="99"/>
      <c r="O98" s="99"/>
      <c r="P98" s="99"/>
      <c r="Q98" s="8"/>
      <c r="R98" s="8"/>
      <c r="S98" s="8"/>
      <c r="T98" s="8"/>
      <c r="U98" s="8"/>
      <c r="V98" s="8"/>
      <c r="W98" s="8"/>
      <c r="X98" s="8"/>
      <c r="Y98" s="8"/>
      <c r="Z98" s="8"/>
    </row>
    <row r="99" spans="1:26" ht="12.75" customHeight="1">
      <c r="A99" s="117"/>
      <c r="B99" s="117"/>
      <c r="C99" s="117"/>
      <c r="D99" s="118"/>
      <c r="E99" s="99"/>
      <c r="F99" s="118"/>
      <c r="G99" s="99"/>
      <c r="H99" s="99"/>
      <c r="I99" s="99"/>
      <c r="J99" s="99"/>
      <c r="K99" s="99"/>
      <c r="L99" s="99"/>
      <c r="M99" s="99"/>
      <c r="N99" s="99"/>
      <c r="O99" s="99"/>
      <c r="P99" s="99"/>
      <c r="Q99" s="8"/>
      <c r="R99" s="8"/>
      <c r="S99" s="8"/>
      <c r="T99" s="8"/>
      <c r="U99" s="8"/>
      <c r="V99" s="8"/>
      <c r="W99" s="8"/>
      <c r="X99" s="8"/>
      <c r="Y99" s="8"/>
      <c r="Z99" s="8"/>
    </row>
    <row r="100" spans="1:26" ht="12.75" customHeight="1">
      <c r="A100" s="117"/>
      <c r="B100" s="117"/>
      <c r="C100" s="117"/>
      <c r="D100" s="118"/>
      <c r="E100" s="99"/>
      <c r="F100" s="118"/>
      <c r="G100" s="99"/>
      <c r="H100" s="99"/>
      <c r="I100" s="99"/>
      <c r="J100" s="99"/>
      <c r="K100" s="99"/>
      <c r="L100" s="99"/>
      <c r="M100" s="99"/>
      <c r="N100" s="99"/>
      <c r="O100" s="99"/>
      <c r="P100" s="99"/>
      <c r="Q100" s="8"/>
      <c r="R100" s="8"/>
      <c r="S100" s="8"/>
      <c r="T100" s="8"/>
      <c r="U100" s="8"/>
      <c r="V100" s="8"/>
      <c r="W100" s="8"/>
      <c r="X100" s="8"/>
      <c r="Y100" s="8"/>
      <c r="Z100" s="8"/>
    </row>
    <row r="101" spans="1:26" ht="12.75" customHeight="1">
      <c r="A101" s="117"/>
      <c r="B101" s="117"/>
      <c r="C101" s="117"/>
      <c r="D101" s="118"/>
      <c r="E101" s="99"/>
      <c r="F101" s="118"/>
      <c r="G101" s="99"/>
      <c r="H101" s="99"/>
      <c r="I101" s="99"/>
      <c r="J101" s="99"/>
      <c r="K101" s="99"/>
      <c r="L101" s="99"/>
      <c r="M101" s="99"/>
      <c r="N101" s="99"/>
      <c r="O101" s="99"/>
      <c r="P101" s="99"/>
      <c r="Q101" s="8"/>
      <c r="R101" s="8"/>
      <c r="S101" s="8"/>
      <c r="T101" s="8"/>
      <c r="U101" s="8"/>
      <c r="V101" s="8"/>
      <c r="W101" s="8"/>
      <c r="X101" s="8"/>
      <c r="Y101" s="8"/>
      <c r="Z101" s="8"/>
    </row>
    <row r="102" spans="1:26" ht="12.75" customHeight="1">
      <c r="A102" s="117"/>
      <c r="B102" s="117"/>
      <c r="C102" s="117"/>
      <c r="D102" s="118"/>
      <c r="E102" s="99"/>
      <c r="F102" s="118"/>
      <c r="G102" s="99"/>
      <c r="H102" s="99"/>
      <c r="I102" s="99"/>
      <c r="J102" s="99"/>
      <c r="K102" s="99"/>
      <c r="L102" s="99"/>
      <c r="M102" s="99"/>
      <c r="N102" s="99"/>
      <c r="O102" s="99"/>
      <c r="P102" s="99"/>
      <c r="Q102" s="8"/>
      <c r="R102" s="8"/>
      <c r="S102" s="8"/>
      <c r="T102" s="8"/>
      <c r="U102" s="8"/>
      <c r="V102" s="8"/>
      <c r="W102" s="8"/>
      <c r="X102" s="8"/>
      <c r="Y102" s="8"/>
      <c r="Z102" s="8"/>
    </row>
    <row r="103" spans="1:26" ht="12.75" customHeight="1">
      <c r="A103" s="117"/>
      <c r="B103" s="117"/>
      <c r="C103" s="117"/>
      <c r="D103" s="118"/>
      <c r="E103" s="99"/>
      <c r="F103" s="118"/>
      <c r="G103" s="99"/>
      <c r="H103" s="99"/>
      <c r="I103" s="99"/>
      <c r="J103" s="99"/>
      <c r="K103" s="99"/>
      <c r="L103" s="99"/>
      <c r="M103" s="99"/>
      <c r="N103" s="99"/>
      <c r="O103" s="99"/>
      <c r="P103" s="99"/>
      <c r="Q103" s="8"/>
      <c r="R103" s="8"/>
      <c r="S103" s="8"/>
      <c r="T103" s="8"/>
      <c r="U103" s="8"/>
      <c r="V103" s="8"/>
      <c r="W103" s="8"/>
      <c r="X103" s="8"/>
      <c r="Y103" s="8"/>
      <c r="Z103" s="8"/>
    </row>
    <row r="104" spans="1:26" ht="12.75" customHeight="1">
      <c r="A104" s="117"/>
      <c r="B104" s="117"/>
      <c r="C104" s="117"/>
      <c r="D104" s="118"/>
      <c r="E104" s="99"/>
      <c r="F104" s="118"/>
      <c r="G104" s="99"/>
      <c r="H104" s="99"/>
      <c r="I104" s="99"/>
      <c r="J104" s="99"/>
      <c r="K104" s="99"/>
      <c r="L104" s="99"/>
      <c r="M104" s="99"/>
      <c r="N104" s="99"/>
      <c r="O104" s="99"/>
      <c r="P104" s="99"/>
      <c r="Q104" s="8"/>
      <c r="R104" s="8"/>
      <c r="S104" s="8"/>
      <c r="T104" s="8"/>
      <c r="U104" s="8"/>
      <c r="V104" s="8"/>
      <c r="W104" s="8"/>
      <c r="X104" s="8"/>
      <c r="Y104" s="8"/>
      <c r="Z104" s="8"/>
    </row>
    <row r="105" spans="1:26" ht="12.75" customHeight="1">
      <c r="A105" s="117"/>
      <c r="B105" s="117"/>
      <c r="C105" s="117"/>
      <c r="D105" s="118"/>
      <c r="E105" s="99"/>
      <c r="F105" s="118"/>
      <c r="G105" s="99"/>
      <c r="H105" s="99"/>
      <c r="I105" s="99"/>
      <c r="J105" s="99"/>
      <c r="K105" s="99"/>
      <c r="L105" s="99"/>
      <c r="M105" s="99"/>
      <c r="N105" s="99"/>
      <c r="O105" s="99"/>
      <c r="P105" s="99"/>
      <c r="Q105" s="8"/>
      <c r="R105" s="8"/>
      <c r="S105" s="8"/>
      <c r="T105" s="8"/>
      <c r="U105" s="8"/>
      <c r="V105" s="8"/>
      <c r="W105" s="8"/>
      <c r="X105" s="8"/>
      <c r="Y105" s="8"/>
      <c r="Z105" s="8"/>
    </row>
    <row r="106" spans="1:26" ht="12.75" customHeight="1">
      <c r="A106" s="117"/>
      <c r="B106" s="117"/>
      <c r="C106" s="117"/>
      <c r="D106" s="118"/>
      <c r="E106" s="99"/>
      <c r="F106" s="118"/>
      <c r="G106" s="99"/>
      <c r="H106" s="99"/>
      <c r="I106" s="99"/>
      <c r="J106" s="99"/>
      <c r="K106" s="99"/>
      <c r="L106" s="99"/>
      <c r="M106" s="99"/>
      <c r="N106" s="99"/>
      <c r="O106" s="99"/>
      <c r="P106" s="99"/>
      <c r="Q106" s="8"/>
      <c r="R106" s="8"/>
      <c r="S106" s="8"/>
      <c r="T106" s="8"/>
      <c r="U106" s="8"/>
      <c r="V106" s="8"/>
      <c r="W106" s="8"/>
      <c r="X106" s="8"/>
      <c r="Y106" s="8"/>
      <c r="Z106" s="8"/>
    </row>
    <row r="107" spans="1:26" ht="12.75" customHeight="1">
      <c r="A107" s="117"/>
      <c r="B107" s="117"/>
      <c r="C107" s="117"/>
      <c r="D107" s="118"/>
      <c r="E107" s="99"/>
      <c r="F107" s="118"/>
      <c r="G107" s="99"/>
      <c r="H107" s="99"/>
      <c r="I107" s="99"/>
      <c r="J107" s="99"/>
      <c r="K107" s="99"/>
      <c r="L107" s="99"/>
      <c r="M107" s="99"/>
      <c r="N107" s="99"/>
      <c r="O107" s="99"/>
      <c r="P107" s="99"/>
      <c r="Q107" s="8"/>
      <c r="R107" s="8"/>
      <c r="S107" s="8"/>
      <c r="T107" s="8"/>
      <c r="U107" s="8"/>
      <c r="V107" s="8"/>
      <c r="W107" s="8"/>
      <c r="X107" s="8"/>
      <c r="Y107" s="8"/>
      <c r="Z107" s="8"/>
    </row>
    <row r="108" spans="1:26" ht="12.75" customHeight="1">
      <c r="A108" s="117"/>
      <c r="B108" s="117"/>
      <c r="C108" s="117"/>
      <c r="D108" s="118"/>
      <c r="E108" s="99"/>
      <c r="F108" s="118"/>
      <c r="G108" s="99"/>
      <c r="H108" s="99"/>
      <c r="I108" s="99"/>
      <c r="J108" s="99"/>
      <c r="K108" s="99"/>
      <c r="L108" s="99"/>
      <c r="M108" s="99"/>
      <c r="N108" s="99"/>
      <c r="O108" s="99"/>
      <c r="P108" s="99"/>
      <c r="Q108" s="8"/>
      <c r="R108" s="8"/>
      <c r="S108" s="8"/>
      <c r="T108" s="8"/>
      <c r="U108" s="8"/>
      <c r="V108" s="8"/>
      <c r="W108" s="8"/>
      <c r="X108" s="8"/>
      <c r="Y108" s="8"/>
      <c r="Z108" s="8"/>
    </row>
    <row r="109" spans="1:26" ht="12.75" customHeight="1">
      <c r="A109" s="117"/>
      <c r="B109" s="117"/>
      <c r="C109" s="117"/>
      <c r="D109" s="118"/>
      <c r="E109" s="99"/>
      <c r="F109" s="118"/>
      <c r="G109" s="99"/>
      <c r="H109" s="99"/>
      <c r="I109" s="99"/>
      <c r="J109" s="99"/>
      <c r="K109" s="99"/>
      <c r="L109" s="99"/>
      <c r="M109" s="99"/>
      <c r="N109" s="99"/>
      <c r="O109" s="99"/>
      <c r="P109" s="99"/>
      <c r="Q109" s="8"/>
      <c r="R109" s="8"/>
      <c r="S109" s="8"/>
      <c r="T109" s="8"/>
      <c r="U109" s="8"/>
      <c r="V109" s="8"/>
      <c r="W109" s="8"/>
      <c r="X109" s="8"/>
      <c r="Y109" s="8"/>
      <c r="Z109" s="8"/>
    </row>
    <row r="110" spans="1:26" ht="12.75" customHeight="1">
      <c r="A110" s="117"/>
      <c r="B110" s="117"/>
      <c r="C110" s="117"/>
      <c r="D110" s="118"/>
      <c r="E110" s="99"/>
      <c r="F110" s="118"/>
      <c r="G110" s="99"/>
      <c r="H110" s="99"/>
      <c r="I110" s="99"/>
      <c r="J110" s="99"/>
      <c r="K110" s="99"/>
      <c r="L110" s="99"/>
      <c r="M110" s="99"/>
      <c r="N110" s="99"/>
      <c r="O110" s="99"/>
      <c r="P110" s="99"/>
      <c r="Q110" s="8"/>
      <c r="R110" s="8"/>
      <c r="S110" s="8"/>
      <c r="T110" s="8"/>
      <c r="U110" s="8"/>
      <c r="V110" s="8"/>
      <c r="W110" s="8"/>
      <c r="X110" s="8"/>
      <c r="Y110" s="8"/>
      <c r="Z110" s="8"/>
    </row>
    <row r="111" spans="1:26" ht="12.75" customHeight="1">
      <c r="A111" s="117"/>
      <c r="B111" s="117"/>
      <c r="C111" s="117"/>
      <c r="D111" s="118"/>
      <c r="E111" s="99"/>
      <c r="F111" s="118"/>
      <c r="G111" s="99"/>
      <c r="H111" s="99"/>
      <c r="I111" s="99"/>
      <c r="J111" s="99"/>
      <c r="K111" s="99"/>
      <c r="L111" s="99"/>
      <c r="M111" s="99"/>
      <c r="N111" s="99"/>
      <c r="O111" s="99"/>
      <c r="P111" s="99"/>
      <c r="Q111" s="8"/>
      <c r="R111" s="8"/>
      <c r="S111" s="8"/>
      <c r="T111" s="8"/>
      <c r="U111" s="8"/>
      <c r="V111" s="8"/>
      <c r="W111" s="8"/>
      <c r="X111" s="8"/>
      <c r="Y111" s="8"/>
      <c r="Z111" s="8"/>
    </row>
    <row r="112" spans="1:26" ht="12.75" customHeight="1">
      <c r="A112" s="117"/>
      <c r="B112" s="117"/>
      <c r="C112" s="117"/>
      <c r="D112" s="118"/>
      <c r="E112" s="99"/>
      <c r="F112" s="118"/>
      <c r="G112" s="99"/>
      <c r="H112" s="99"/>
      <c r="I112" s="99"/>
      <c r="J112" s="99"/>
      <c r="K112" s="99"/>
      <c r="L112" s="99"/>
      <c r="M112" s="99"/>
      <c r="N112" s="99"/>
      <c r="O112" s="99"/>
      <c r="P112" s="99"/>
      <c r="Q112" s="8"/>
      <c r="R112" s="8"/>
      <c r="S112" s="8"/>
      <c r="T112" s="8"/>
      <c r="U112" s="8"/>
      <c r="V112" s="8"/>
      <c r="W112" s="8"/>
      <c r="X112" s="8"/>
      <c r="Y112" s="8"/>
      <c r="Z112" s="8"/>
    </row>
    <row r="113" spans="1:26" ht="12.75" customHeight="1">
      <c r="A113" s="117"/>
      <c r="B113" s="117"/>
      <c r="C113" s="117"/>
      <c r="D113" s="118"/>
      <c r="E113" s="99"/>
      <c r="F113" s="118"/>
      <c r="G113" s="99"/>
      <c r="H113" s="99"/>
      <c r="I113" s="99"/>
      <c r="J113" s="99"/>
      <c r="K113" s="99"/>
      <c r="L113" s="99"/>
      <c r="M113" s="99"/>
      <c r="N113" s="99"/>
      <c r="O113" s="99"/>
      <c r="P113" s="99"/>
      <c r="Q113" s="8"/>
      <c r="R113" s="8"/>
      <c r="S113" s="8"/>
      <c r="T113" s="8"/>
      <c r="U113" s="8"/>
      <c r="V113" s="8"/>
      <c r="W113" s="8"/>
      <c r="X113" s="8"/>
      <c r="Y113" s="8"/>
      <c r="Z113" s="8"/>
    </row>
    <row r="114" spans="1:26" ht="12.75" customHeight="1">
      <c r="A114" s="117"/>
      <c r="B114" s="117"/>
      <c r="C114" s="117"/>
      <c r="D114" s="118"/>
      <c r="E114" s="99"/>
      <c r="F114" s="118"/>
      <c r="G114" s="99"/>
      <c r="H114" s="99"/>
      <c r="I114" s="99"/>
      <c r="J114" s="99"/>
      <c r="K114" s="99"/>
      <c r="L114" s="99"/>
      <c r="M114" s="99"/>
      <c r="N114" s="99"/>
      <c r="O114" s="99"/>
      <c r="P114" s="99"/>
      <c r="Q114" s="8"/>
      <c r="R114" s="8"/>
      <c r="S114" s="8"/>
      <c r="T114" s="8"/>
      <c r="U114" s="8"/>
      <c r="V114" s="8"/>
      <c r="W114" s="8"/>
      <c r="X114" s="8"/>
      <c r="Y114" s="8"/>
      <c r="Z114" s="8"/>
    </row>
    <row r="115" spans="1:26" ht="12.75" customHeight="1">
      <c r="A115" s="117"/>
      <c r="B115" s="117"/>
      <c r="C115" s="117"/>
      <c r="D115" s="118"/>
      <c r="E115" s="99"/>
      <c r="F115" s="118"/>
      <c r="G115" s="99"/>
      <c r="H115" s="99"/>
      <c r="I115" s="99"/>
      <c r="J115" s="99"/>
      <c r="K115" s="99"/>
      <c r="L115" s="99"/>
      <c r="M115" s="99"/>
      <c r="N115" s="99"/>
      <c r="O115" s="99"/>
      <c r="P115" s="99"/>
      <c r="Q115" s="8"/>
      <c r="R115" s="8"/>
      <c r="S115" s="8"/>
      <c r="T115" s="8"/>
      <c r="U115" s="8"/>
      <c r="V115" s="8"/>
      <c r="W115" s="8"/>
      <c r="X115" s="8"/>
      <c r="Y115" s="8"/>
      <c r="Z115" s="8"/>
    </row>
    <row r="116" spans="1:26" ht="12.75" customHeight="1">
      <c r="A116" s="117"/>
      <c r="B116" s="117"/>
      <c r="C116" s="117"/>
      <c r="D116" s="118"/>
      <c r="E116" s="99"/>
      <c r="F116" s="118"/>
      <c r="G116" s="99"/>
      <c r="H116" s="99"/>
      <c r="I116" s="99"/>
      <c r="J116" s="99"/>
      <c r="K116" s="99"/>
      <c r="L116" s="99"/>
      <c r="M116" s="99"/>
      <c r="N116" s="99"/>
      <c r="O116" s="99"/>
      <c r="P116" s="99"/>
      <c r="Q116" s="8"/>
      <c r="R116" s="8"/>
      <c r="S116" s="8"/>
      <c r="T116" s="8"/>
      <c r="U116" s="8"/>
      <c r="V116" s="8"/>
      <c r="W116" s="8"/>
      <c r="X116" s="8"/>
      <c r="Y116" s="8"/>
      <c r="Z116" s="8"/>
    </row>
    <row r="117" spans="1:26" ht="12.75" customHeight="1">
      <c r="A117" s="117"/>
      <c r="B117" s="117"/>
      <c r="C117" s="117"/>
      <c r="D117" s="118"/>
      <c r="E117" s="99"/>
      <c r="F117" s="118"/>
      <c r="G117" s="99"/>
      <c r="H117" s="99"/>
      <c r="I117" s="99"/>
      <c r="J117" s="99"/>
      <c r="K117" s="99"/>
      <c r="L117" s="99"/>
      <c r="M117" s="99"/>
      <c r="N117" s="99"/>
      <c r="O117" s="99"/>
      <c r="P117" s="99"/>
      <c r="Q117" s="8"/>
      <c r="R117" s="8"/>
      <c r="S117" s="8"/>
      <c r="T117" s="8"/>
      <c r="U117" s="8"/>
      <c r="V117" s="8"/>
      <c r="W117" s="8"/>
      <c r="X117" s="8"/>
      <c r="Y117" s="8"/>
      <c r="Z117" s="8"/>
    </row>
    <row r="118" spans="1:26" ht="12.75" customHeight="1">
      <c r="A118" s="117"/>
      <c r="B118" s="117"/>
      <c r="C118" s="117"/>
      <c r="D118" s="118"/>
      <c r="E118" s="99"/>
      <c r="F118" s="118"/>
      <c r="G118" s="99"/>
      <c r="H118" s="99"/>
      <c r="I118" s="99"/>
      <c r="J118" s="99"/>
      <c r="K118" s="99"/>
      <c r="L118" s="99"/>
      <c r="M118" s="99"/>
      <c r="N118" s="99"/>
      <c r="O118" s="99"/>
      <c r="P118" s="99"/>
      <c r="Q118" s="8"/>
      <c r="R118" s="8"/>
      <c r="S118" s="8"/>
      <c r="T118" s="8"/>
      <c r="U118" s="8"/>
      <c r="V118" s="8"/>
      <c r="W118" s="8"/>
      <c r="X118" s="8"/>
      <c r="Y118" s="8"/>
      <c r="Z118" s="8"/>
    </row>
    <row r="119" spans="1:26" ht="12.75" customHeight="1">
      <c r="A119" s="117"/>
      <c r="B119" s="117"/>
      <c r="C119" s="117"/>
      <c r="D119" s="118"/>
      <c r="E119" s="99"/>
      <c r="F119" s="118"/>
      <c r="G119" s="99"/>
      <c r="H119" s="99"/>
      <c r="I119" s="99"/>
      <c r="J119" s="99"/>
      <c r="K119" s="99"/>
      <c r="L119" s="99"/>
      <c r="M119" s="99"/>
      <c r="N119" s="99"/>
      <c r="O119" s="99"/>
      <c r="P119" s="99"/>
      <c r="Q119" s="8"/>
      <c r="R119" s="8"/>
      <c r="S119" s="8"/>
      <c r="T119" s="8"/>
      <c r="U119" s="8"/>
      <c r="V119" s="8"/>
      <c r="W119" s="8"/>
      <c r="X119" s="8"/>
      <c r="Y119" s="8"/>
      <c r="Z119" s="8"/>
    </row>
    <row r="120" spans="1:26" ht="12.75" customHeight="1">
      <c r="A120" s="117"/>
      <c r="B120" s="117"/>
      <c r="C120" s="117"/>
      <c r="D120" s="118"/>
      <c r="E120" s="99"/>
      <c r="F120" s="118"/>
      <c r="G120" s="99"/>
      <c r="H120" s="99"/>
      <c r="I120" s="99"/>
      <c r="J120" s="99"/>
      <c r="K120" s="99"/>
      <c r="L120" s="99"/>
      <c r="M120" s="99"/>
      <c r="N120" s="99"/>
      <c r="O120" s="99"/>
      <c r="P120" s="99"/>
      <c r="Q120" s="8"/>
      <c r="R120" s="8"/>
      <c r="S120" s="8"/>
      <c r="T120" s="8"/>
      <c r="U120" s="8"/>
      <c r="V120" s="8"/>
      <c r="W120" s="8"/>
      <c r="X120" s="8"/>
      <c r="Y120" s="8"/>
      <c r="Z120" s="8"/>
    </row>
    <row r="121" spans="1:26" ht="12.75" customHeight="1">
      <c r="A121" s="117"/>
      <c r="B121" s="117"/>
      <c r="C121" s="117"/>
      <c r="D121" s="118"/>
      <c r="E121" s="99"/>
      <c r="F121" s="118"/>
      <c r="G121" s="99"/>
      <c r="H121" s="99"/>
      <c r="I121" s="99"/>
      <c r="J121" s="99"/>
      <c r="K121" s="99"/>
      <c r="L121" s="99"/>
      <c r="M121" s="99"/>
      <c r="N121" s="99"/>
      <c r="O121" s="99"/>
      <c r="P121" s="99"/>
      <c r="Q121" s="8"/>
      <c r="R121" s="8"/>
      <c r="S121" s="8"/>
      <c r="T121" s="8"/>
      <c r="U121" s="8"/>
      <c r="V121" s="8"/>
      <c r="W121" s="8"/>
      <c r="X121" s="8"/>
      <c r="Y121" s="8"/>
      <c r="Z121" s="8"/>
    </row>
    <row r="122" spans="1:26" ht="12.75" customHeight="1">
      <c r="A122" s="117"/>
      <c r="B122" s="117"/>
      <c r="C122" s="117"/>
      <c r="D122" s="118"/>
      <c r="E122" s="99"/>
      <c r="F122" s="118"/>
      <c r="G122" s="99"/>
      <c r="H122" s="99"/>
      <c r="I122" s="99"/>
      <c r="J122" s="99"/>
      <c r="K122" s="99"/>
      <c r="L122" s="99"/>
      <c r="M122" s="99"/>
      <c r="N122" s="99"/>
      <c r="O122" s="99"/>
      <c r="P122" s="99"/>
      <c r="Q122" s="8"/>
      <c r="R122" s="8"/>
      <c r="S122" s="8"/>
      <c r="T122" s="8"/>
      <c r="U122" s="8"/>
      <c r="V122" s="8"/>
      <c r="W122" s="8"/>
      <c r="X122" s="8"/>
      <c r="Y122" s="8"/>
      <c r="Z122" s="8"/>
    </row>
    <row r="123" spans="1:26" ht="12.75" customHeight="1">
      <c r="A123" s="117"/>
      <c r="B123" s="117"/>
      <c r="C123" s="117"/>
      <c r="D123" s="118"/>
      <c r="E123" s="99"/>
      <c r="F123" s="118"/>
      <c r="G123" s="99"/>
      <c r="H123" s="99"/>
      <c r="I123" s="99"/>
      <c r="J123" s="99"/>
      <c r="K123" s="99"/>
      <c r="L123" s="99"/>
      <c r="M123" s="99"/>
      <c r="N123" s="99"/>
      <c r="O123" s="99"/>
      <c r="P123" s="99"/>
      <c r="Q123" s="8"/>
      <c r="R123" s="8"/>
      <c r="S123" s="8"/>
      <c r="T123" s="8"/>
      <c r="U123" s="8"/>
      <c r="V123" s="8"/>
      <c r="W123" s="8"/>
      <c r="X123" s="8"/>
      <c r="Y123" s="8"/>
      <c r="Z123" s="8"/>
    </row>
    <row r="124" spans="1:26" ht="12.75" customHeight="1">
      <c r="A124" s="117"/>
      <c r="B124" s="117"/>
      <c r="C124" s="117"/>
      <c r="D124" s="118"/>
      <c r="E124" s="99"/>
      <c r="F124" s="118"/>
      <c r="G124" s="99"/>
      <c r="H124" s="99"/>
      <c r="I124" s="99"/>
      <c r="J124" s="99"/>
      <c r="K124" s="99"/>
      <c r="L124" s="99"/>
      <c r="M124" s="99"/>
      <c r="N124" s="99"/>
      <c r="O124" s="99"/>
      <c r="P124" s="99"/>
      <c r="Q124" s="8"/>
      <c r="R124" s="8"/>
      <c r="S124" s="8"/>
      <c r="T124" s="8"/>
      <c r="U124" s="8"/>
      <c r="V124" s="8"/>
      <c r="W124" s="8"/>
      <c r="X124" s="8"/>
      <c r="Y124" s="8"/>
      <c r="Z124" s="8"/>
    </row>
    <row r="125" spans="1:26" ht="12.75" customHeight="1">
      <c r="A125" s="117"/>
      <c r="B125" s="117"/>
      <c r="C125" s="117"/>
      <c r="D125" s="118"/>
      <c r="E125" s="99"/>
      <c r="F125" s="118"/>
      <c r="G125" s="99"/>
      <c r="H125" s="99"/>
      <c r="I125" s="99"/>
      <c r="J125" s="99"/>
      <c r="K125" s="99"/>
      <c r="L125" s="99"/>
      <c r="M125" s="99"/>
      <c r="N125" s="99"/>
      <c r="O125" s="99"/>
      <c r="P125" s="99"/>
      <c r="Q125" s="8"/>
      <c r="R125" s="8"/>
      <c r="S125" s="8"/>
      <c r="T125" s="8"/>
      <c r="U125" s="8"/>
      <c r="V125" s="8"/>
      <c r="W125" s="8"/>
      <c r="X125" s="8"/>
      <c r="Y125" s="8"/>
      <c r="Z125" s="8"/>
    </row>
    <row r="126" spans="1:26" ht="12.75" customHeight="1">
      <c r="A126" s="117"/>
      <c r="B126" s="117"/>
      <c r="C126" s="117"/>
      <c r="D126" s="118"/>
      <c r="E126" s="99"/>
      <c r="F126" s="118"/>
      <c r="G126" s="99"/>
      <c r="H126" s="99"/>
      <c r="I126" s="99"/>
      <c r="J126" s="99"/>
      <c r="K126" s="99"/>
      <c r="L126" s="99"/>
      <c r="M126" s="99"/>
      <c r="N126" s="99"/>
      <c r="O126" s="99"/>
      <c r="P126" s="99"/>
      <c r="Q126" s="8"/>
      <c r="R126" s="8"/>
      <c r="S126" s="8"/>
      <c r="T126" s="8"/>
      <c r="U126" s="8"/>
      <c r="V126" s="8"/>
      <c r="W126" s="8"/>
      <c r="X126" s="8"/>
      <c r="Y126" s="8"/>
      <c r="Z126" s="8"/>
    </row>
    <row r="127" spans="1:26" ht="12.75" customHeight="1">
      <c r="A127" s="117"/>
      <c r="B127" s="117"/>
      <c r="C127" s="117"/>
      <c r="D127" s="118"/>
      <c r="E127" s="99"/>
      <c r="F127" s="118"/>
      <c r="G127" s="99"/>
      <c r="H127" s="99"/>
      <c r="I127" s="99"/>
      <c r="J127" s="99"/>
      <c r="K127" s="99"/>
      <c r="L127" s="99"/>
      <c r="M127" s="99"/>
      <c r="N127" s="99"/>
      <c r="O127" s="99"/>
      <c r="P127" s="99"/>
      <c r="Q127" s="8"/>
      <c r="R127" s="8"/>
      <c r="S127" s="8"/>
      <c r="T127" s="8"/>
      <c r="U127" s="8"/>
      <c r="V127" s="8"/>
      <c r="W127" s="8"/>
      <c r="X127" s="8"/>
      <c r="Y127" s="8"/>
      <c r="Z127" s="8"/>
    </row>
    <row r="128" spans="1:26" ht="12.75" customHeight="1">
      <c r="A128" s="117"/>
      <c r="B128" s="117"/>
      <c r="C128" s="117"/>
      <c r="D128" s="118"/>
      <c r="E128" s="99"/>
      <c r="F128" s="118"/>
      <c r="G128" s="99"/>
      <c r="H128" s="99"/>
      <c r="I128" s="99"/>
      <c r="J128" s="99"/>
      <c r="K128" s="99"/>
      <c r="L128" s="99"/>
      <c r="M128" s="99"/>
      <c r="N128" s="99"/>
      <c r="O128" s="99"/>
      <c r="P128" s="99"/>
      <c r="Q128" s="8"/>
      <c r="R128" s="8"/>
      <c r="S128" s="8"/>
      <c r="T128" s="8"/>
      <c r="U128" s="8"/>
      <c r="V128" s="8"/>
      <c r="W128" s="8"/>
      <c r="X128" s="8"/>
      <c r="Y128" s="8"/>
      <c r="Z128" s="8"/>
    </row>
    <row r="129" spans="1:26" ht="12.75" customHeight="1">
      <c r="A129" s="117"/>
      <c r="B129" s="117"/>
      <c r="C129" s="117"/>
      <c r="D129" s="118"/>
      <c r="E129" s="99"/>
      <c r="F129" s="118"/>
      <c r="G129" s="99"/>
      <c r="H129" s="99"/>
      <c r="I129" s="99"/>
      <c r="J129" s="99"/>
      <c r="K129" s="99"/>
      <c r="L129" s="99"/>
      <c r="M129" s="99"/>
      <c r="N129" s="99"/>
      <c r="O129" s="99"/>
      <c r="P129" s="99"/>
      <c r="Q129" s="8"/>
      <c r="R129" s="8"/>
      <c r="S129" s="8"/>
      <c r="T129" s="8"/>
      <c r="U129" s="8"/>
      <c r="V129" s="8"/>
      <c r="W129" s="8"/>
      <c r="X129" s="8"/>
      <c r="Y129" s="8"/>
      <c r="Z129" s="8"/>
    </row>
    <row r="130" spans="1:26" ht="12.75" customHeight="1">
      <c r="A130" s="117"/>
      <c r="B130" s="117"/>
      <c r="C130" s="117"/>
      <c r="D130" s="118"/>
      <c r="E130" s="99"/>
      <c r="F130" s="118"/>
      <c r="G130" s="99"/>
      <c r="H130" s="99"/>
      <c r="I130" s="99"/>
      <c r="J130" s="99"/>
      <c r="K130" s="99"/>
      <c r="L130" s="99"/>
      <c r="M130" s="99"/>
      <c r="N130" s="99"/>
      <c r="O130" s="99"/>
      <c r="P130" s="99"/>
      <c r="Q130" s="8"/>
      <c r="R130" s="8"/>
      <c r="S130" s="8"/>
      <c r="T130" s="8"/>
      <c r="U130" s="8"/>
      <c r="V130" s="8"/>
      <c r="W130" s="8"/>
      <c r="X130" s="8"/>
      <c r="Y130" s="8"/>
      <c r="Z130" s="8"/>
    </row>
    <row r="131" spans="1:26" ht="12.75" customHeight="1">
      <c r="A131" s="117"/>
      <c r="B131" s="117"/>
      <c r="C131" s="117"/>
      <c r="D131" s="118"/>
      <c r="E131" s="99"/>
      <c r="F131" s="42"/>
      <c r="G131" s="99"/>
      <c r="H131" s="99"/>
      <c r="I131" s="99"/>
      <c r="J131" s="99"/>
      <c r="K131" s="99"/>
      <c r="L131" s="99"/>
      <c r="M131" s="99"/>
      <c r="N131" s="99"/>
      <c r="O131" s="99"/>
      <c r="P131" s="99"/>
      <c r="Q131" s="8"/>
      <c r="R131" s="8"/>
      <c r="S131" s="8"/>
      <c r="T131" s="8"/>
      <c r="U131" s="8"/>
      <c r="V131" s="8"/>
      <c r="W131" s="8"/>
      <c r="X131" s="8"/>
      <c r="Y131" s="8"/>
      <c r="Z131" s="8"/>
    </row>
    <row r="132" spans="1:26" ht="12.75" customHeight="1">
      <c r="A132" s="117"/>
      <c r="B132" s="117"/>
      <c r="C132" s="117"/>
      <c r="D132" s="118"/>
      <c r="E132" s="99"/>
      <c r="F132" s="118"/>
      <c r="G132" s="99"/>
      <c r="H132" s="99"/>
      <c r="I132" s="99"/>
      <c r="J132" s="99"/>
      <c r="K132" s="99"/>
      <c r="L132" s="99"/>
      <c r="M132" s="99"/>
      <c r="N132" s="99"/>
      <c r="O132" s="99"/>
      <c r="P132" s="99"/>
      <c r="Q132" s="8"/>
      <c r="R132" s="8"/>
      <c r="S132" s="8"/>
      <c r="T132" s="8"/>
      <c r="U132" s="8"/>
      <c r="V132" s="8"/>
      <c r="W132" s="8"/>
      <c r="X132" s="8"/>
      <c r="Y132" s="8"/>
      <c r="Z132" s="8"/>
    </row>
    <row r="133" spans="1:26" ht="12.75" customHeight="1">
      <c r="A133" s="117"/>
      <c r="B133" s="117"/>
      <c r="C133" s="117"/>
      <c r="D133" s="118"/>
      <c r="E133" s="99"/>
      <c r="F133" s="118"/>
      <c r="G133" s="99"/>
      <c r="H133" s="99"/>
      <c r="I133" s="99"/>
      <c r="J133" s="99"/>
      <c r="K133" s="99"/>
      <c r="L133" s="99"/>
      <c r="M133" s="99"/>
      <c r="N133" s="99"/>
      <c r="O133" s="99"/>
      <c r="P133" s="99"/>
      <c r="Q133" s="8"/>
      <c r="R133" s="8"/>
      <c r="S133" s="8"/>
      <c r="T133" s="8"/>
      <c r="U133" s="8"/>
      <c r="V133" s="8"/>
      <c r="W133" s="8"/>
      <c r="X133" s="8"/>
      <c r="Y133" s="8"/>
      <c r="Z133" s="8"/>
    </row>
    <row r="134" spans="1:26" ht="12.75" customHeight="1">
      <c r="A134" s="117"/>
      <c r="B134" s="117"/>
      <c r="C134" s="117"/>
      <c r="D134" s="118"/>
      <c r="E134" s="99"/>
      <c r="F134" s="118"/>
      <c r="G134" s="99"/>
      <c r="H134" s="99"/>
      <c r="I134" s="99"/>
      <c r="J134" s="99"/>
      <c r="K134" s="99"/>
      <c r="L134" s="99"/>
      <c r="M134" s="99"/>
      <c r="N134" s="99"/>
      <c r="O134" s="99"/>
      <c r="P134" s="99"/>
      <c r="Q134" s="8"/>
      <c r="R134" s="8"/>
      <c r="S134" s="8"/>
      <c r="T134" s="8"/>
      <c r="U134" s="8"/>
      <c r="V134" s="8"/>
      <c r="W134" s="8"/>
      <c r="X134" s="8"/>
      <c r="Y134" s="8"/>
      <c r="Z134" s="8"/>
    </row>
    <row r="135" spans="1:26" ht="12.75" customHeight="1">
      <c r="A135" s="117"/>
      <c r="B135" s="117"/>
      <c r="C135" s="117"/>
      <c r="D135" s="118"/>
      <c r="E135" s="99"/>
      <c r="F135" s="118"/>
      <c r="G135" s="99"/>
      <c r="H135" s="99"/>
      <c r="I135" s="99"/>
      <c r="J135" s="99"/>
      <c r="K135" s="99"/>
      <c r="L135" s="99"/>
      <c r="M135" s="99"/>
      <c r="N135" s="99"/>
      <c r="O135" s="99"/>
      <c r="P135" s="99"/>
      <c r="Q135" s="8"/>
      <c r="R135" s="8"/>
      <c r="S135" s="8"/>
      <c r="T135" s="8"/>
      <c r="U135" s="8"/>
      <c r="V135" s="8"/>
      <c r="W135" s="8"/>
      <c r="X135" s="8"/>
      <c r="Y135" s="8"/>
      <c r="Z135" s="8"/>
    </row>
    <row r="136" spans="1:26" ht="12.75" customHeight="1">
      <c r="A136" s="117"/>
      <c r="B136" s="117"/>
      <c r="C136" s="117"/>
      <c r="D136" s="118"/>
      <c r="E136" s="99"/>
      <c r="F136" s="118"/>
      <c r="G136" s="99"/>
      <c r="H136" s="99"/>
      <c r="I136" s="99"/>
      <c r="J136" s="99"/>
      <c r="K136" s="99"/>
      <c r="L136" s="99"/>
      <c r="M136" s="99"/>
      <c r="N136" s="99"/>
      <c r="O136" s="99"/>
      <c r="P136" s="99"/>
      <c r="Q136" s="8"/>
      <c r="R136" s="8"/>
      <c r="S136" s="8"/>
      <c r="T136" s="8"/>
      <c r="U136" s="8"/>
      <c r="V136" s="8"/>
      <c r="W136" s="8"/>
      <c r="X136" s="8"/>
      <c r="Y136" s="8"/>
      <c r="Z136" s="8"/>
    </row>
    <row r="137" spans="1:26" ht="12.75" customHeight="1">
      <c r="A137" s="117"/>
      <c r="B137" s="117"/>
      <c r="C137" s="117"/>
      <c r="D137" s="118"/>
      <c r="E137" s="99"/>
      <c r="F137" s="118"/>
      <c r="G137" s="99"/>
      <c r="H137" s="99"/>
      <c r="I137" s="99"/>
      <c r="J137" s="99"/>
      <c r="K137" s="99"/>
      <c r="L137" s="99"/>
      <c r="M137" s="99"/>
      <c r="N137" s="99"/>
      <c r="O137" s="99"/>
      <c r="P137" s="99"/>
      <c r="Q137" s="8"/>
      <c r="R137" s="8"/>
      <c r="S137" s="8"/>
      <c r="T137" s="8"/>
      <c r="U137" s="8"/>
      <c r="V137" s="8"/>
      <c r="W137" s="8"/>
      <c r="X137" s="8"/>
      <c r="Y137" s="8"/>
      <c r="Z137" s="8"/>
    </row>
    <row r="138" spans="1:26" ht="12.75" customHeight="1">
      <c r="A138" s="117"/>
      <c r="B138" s="117"/>
      <c r="C138" s="117"/>
      <c r="D138" s="118"/>
      <c r="E138" s="99"/>
      <c r="F138" s="118"/>
      <c r="G138" s="99"/>
      <c r="H138" s="99"/>
      <c r="I138" s="99"/>
      <c r="J138" s="99"/>
      <c r="K138" s="99"/>
      <c r="L138" s="99"/>
      <c r="M138" s="99"/>
      <c r="N138" s="99"/>
      <c r="O138" s="99"/>
      <c r="P138" s="99"/>
      <c r="Q138" s="8"/>
      <c r="R138" s="8"/>
      <c r="S138" s="8"/>
      <c r="T138" s="8"/>
      <c r="U138" s="8"/>
      <c r="V138" s="8"/>
      <c r="W138" s="8"/>
      <c r="X138" s="8"/>
      <c r="Y138" s="8"/>
      <c r="Z138" s="8"/>
    </row>
    <row r="139" spans="1:26" ht="12.75" customHeight="1">
      <c r="A139" s="117"/>
      <c r="B139" s="117"/>
      <c r="C139" s="117"/>
      <c r="D139" s="118"/>
      <c r="E139" s="99"/>
      <c r="F139" s="118"/>
      <c r="G139" s="99"/>
      <c r="H139" s="99"/>
      <c r="I139" s="99"/>
      <c r="J139" s="99"/>
      <c r="K139" s="99"/>
      <c r="L139" s="99"/>
      <c r="M139" s="99"/>
      <c r="N139" s="99"/>
      <c r="O139" s="99"/>
      <c r="P139" s="99"/>
      <c r="Q139" s="8"/>
      <c r="R139" s="8"/>
      <c r="S139" s="8"/>
      <c r="T139" s="8"/>
      <c r="U139" s="8"/>
      <c r="V139" s="8"/>
      <c r="W139" s="8"/>
      <c r="X139" s="8"/>
      <c r="Y139" s="8"/>
      <c r="Z139" s="8"/>
    </row>
    <row r="140" spans="1:26" ht="12.75" customHeight="1">
      <c r="A140" s="117"/>
      <c r="B140" s="117"/>
      <c r="C140" s="117"/>
      <c r="D140" s="118"/>
      <c r="E140" s="99"/>
      <c r="F140" s="118"/>
      <c r="G140" s="99"/>
      <c r="H140" s="99"/>
      <c r="I140" s="99"/>
      <c r="J140" s="99"/>
      <c r="K140" s="99"/>
      <c r="L140" s="99"/>
      <c r="M140" s="99"/>
      <c r="N140" s="99"/>
      <c r="O140" s="99"/>
      <c r="P140" s="99"/>
      <c r="Q140" s="8"/>
      <c r="R140" s="8"/>
      <c r="S140" s="8"/>
      <c r="T140" s="8"/>
      <c r="U140" s="8"/>
      <c r="V140" s="8"/>
      <c r="W140" s="8"/>
      <c r="X140" s="8"/>
      <c r="Y140" s="8"/>
      <c r="Z140" s="8"/>
    </row>
    <row r="141" spans="1:26" ht="12.75" customHeight="1">
      <c r="A141" s="117"/>
      <c r="B141" s="117"/>
      <c r="C141" s="117"/>
      <c r="D141" s="118"/>
      <c r="E141" s="99"/>
      <c r="F141" s="118"/>
      <c r="G141" s="99"/>
      <c r="H141" s="99"/>
      <c r="I141" s="99"/>
      <c r="J141" s="99"/>
      <c r="K141" s="99"/>
      <c r="L141" s="99"/>
      <c r="M141" s="99"/>
      <c r="N141" s="99"/>
      <c r="O141" s="99"/>
      <c r="P141" s="99"/>
      <c r="Q141" s="8"/>
      <c r="R141" s="8"/>
      <c r="S141" s="8"/>
      <c r="T141" s="8"/>
      <c r="U141" s="8"/>
      <c r="V141" s="8"/>
      <c r="W141" s="8"/>
      <c r="X141" s="8"/>
      <c r="Y141" s="8"/>
      <c r="Z141" s="8"/>
    </row>
    <row r="142" spans="1:26" ht="12.75" customHeight="1">
      <c r="A142" s="117"/>
      <c r="B142" s="117"/>
      <c r="C142" s="117"/>
      <c r="D142" s="118"/>
      <c r="E142" s="99"/>
      <c r="F142" s="118"/>
      <c r="G142" s="99"/>
      <c r="H142" s="99"/>
      <c r="I142" s="99"/>
      <c r="J142" s="99"/>
      <c r="K142" s="99"/>
      <c r="L142" s="99"/>
      <c r="M142" s="99"/>
      <c r="N142" s="99"/>
      <c r="O142" s="99"/>
      <c r="P142" s="99"/>
      <c r="Q142" s="8"/>
      <c r="R142" s="8"/>
      <c r="S142" s="8"/>
      <c r="T142" s="8"/>
      <c r="U142" s="8"/>
      <c r="V142" s="8"/>
      <c r="W142" s="8"/>
      <c r="X142" s="8"/>
      <c r="Y142" s="8"/>
      <c r="Z142" s="8"/>
    </row>
    <row r="143" spans="1:26" ht="12.75" customHeight="1">
      <c r="A143" s="117"/>
      <c r="B143" s="117"/>
      <c r="C143" s="117"/>
      <c r="D143" s="118"/>
      <c r="E143" s="99"/>
      <c r="F143" s="118"/>
      <c r="G143" s="99"/>
      <c r="H143" s="99"/>
      <c r="I143" s="99"/>
      <c r="J143" s="99"/>
      <c r="K143" s="99"/>
      <c r="L143" s="99"/>
      <c r="M143" s="99"/>
      <c r="N143" s="99"/>
      <c r="O143" s="99"/>
      <c r="P143" s="99"/>
      <c r="Q143" s="8"/>
      <c r="R143" s="8"/>
      <c r="S143" s="8"/>
      <c r="T143" s="8"/>
      <c r="U143" s="8"/>
      <c r="V143" s="8"/>
      <c r="W143" s="8"/>
      <c r="X143" s="8"/>
      <c r="Y143" s="8"/>
      <c r="Z143" s="8"/>
    </row>
    <row r="144" spans="1:26" ht="12.75" customHeight="1">
      <c r="A144" s="117"/>
      <c r="B144" s="117"/>
      <c r="C144" s="117"/>
      <c r="D144" s="118"/>
      <c r="E144" s="99"/>
      <c r="F144" s="118"/>
      <c r="G144" s="99"/>
      <c r="H144" s="99"/>
      <c r="I144" s="99"/>
      <c r="J144" s="99"/>
      <c r="K144" s="99"/>
      <c r="L144" s="99"/>
      <c r="M144" s="99"/>
      <c r="N144" s="99"/>
      <c r="O144" s="99"/>
      <c r="P144" s="99"/>
      <c r="Q144" s="8"/>
      <c r="R144" s="8"/>
      <c r="S144" s="8"/>
      <c r="T144" s="8"/>
      <c r="U144" s="8"/>
      <c r="V144" s="8"/>
      <c r="W144" s="8"/>
      <c r="X144" s="8"/>
      <c r="Y144" s="8"/>
      <c r="Z144" s="8"/>
    </row>
    <row r="145" spans="1:26" ht="12.75" customHeight="1">
      <c r="A145" s="117"/>
      <c r="B145" s="117"/>
      <c r="C145" s="117"/>
      <c r="D145" s="118"/>
      <c r="E145" s="99"/>
      <c r="F145" s="118"/>
      <c r="G145" s="99"/>
      <c r="H145" s="99"/>
      <c r="I145" s="99"/>
      <c r="J145" s="99"/>
      <c r="K145" s="99"/>
      <c r="L145" s="99"/>
      <c r="M145" s="99"/>
      <c r="N145" s="99"/>
      <c r="O145" s="99"/>
      <c r="P145" s="99"/>
      <c r="Q145" s="8"/>
      <c r="R145" s="8"/>
      <c r="S145" s="8"/>
      <c r="T145" s="8"/>
      <c r="U145" s="8"/>
      <c r="V145" s="8"/>
      <c r="W145" s="8"/>
      <c r="X145" s="8"/>
      <c r="Y145" s="8"/>
      <c r="Z145" s="8"/>
    </row>
    <row r="146" spans="1:26" ht="12.75" customHeight="1">
      <c r="A146" s="117"/>
      <c r="B146" s="117"/>
      <c r="C146" s="117"/>
      <c r="D146" s="118"/>
      <c r="E146" s="99"/>
      <c r="F146" s="118"/>
      <c r="G146" s="99"/>
      <c r="H146" s="99"/>
      <c r="I146" s="99"/>
      <c r="J146" s="99"/>
      <c r="K146" s="99"/>
      <c r="L146" s="99"/>
      <c r="M146" s="99"/>
      <c r="N146" s="99"/>
      <c r="O146" s="99"/>
      <c r="P146" s="99"/>
      <c r="Q146" s="8"/>
      <c r="R146" s="8"/>
      <c r="S146" s="8"/>
      <c r="T146" s="8"/>
      <c r="U146" s="8"/>
      <c r="V146" s="8"/>
      <c r="W146" s="8"/>
      <c r="X146" s="8"/>
      <c r="Y146" s="8"/>
      <c r="Z146" s="8"/>
    </row>
    <row r="147" spans="1:26" ht="12.75" customHeight="1">
      <c r="A147" s="117"/>
      <c r="B147" s="117"/>
      <c r="C147" s="117"/>
      <c r="D147" s="118"/>
      <c r="E147" s="99"/>
      <c r="F147" s="118"/>
      <c r="G147" s="99"/>
      <c r="H147" s="99"/>
      <c r="I147" s="99"/>
      <c r="J147" s="99"/>
      <c r="K147" s="99"/>
      <c r="L147" s="99"/>
      <c r="M147" s="99"/>
      <c r="N147" s="99"/>
      <c r="O147" s="99"/>
      <c r="P147" s="99"/>
      <c r="Q147" s="8"/>
      <c r="R147" s="8"/>
      <c r="S147" s="8"/>
      <c r="T147" s="8"/>
      <c r="U147" s="8"/>
      <c r="V147" s="8"/>
      <c r="W147" s="8"/>
      <c r="X147" s="8"/>
      <c r="Y147" s="8"/>
      <c r="Z147" s="8"/>
    </row>
    <row r="148" spans="1:26" ht="12.75" customHeight="1">
      <c r="A148" s="117"/>
      <c r="B148" s="117"/>
      <c r="C148" s="117"/>
      <c r="D148" s="118"/>
      <c r="E148" s="99"/>
      <c r="F148" s="118"/>
      <c r="G148" s="99"/>
      <c r="H148" s="99"/>
      <c r="I148" s="99"/>
      <c r="J148" s="99"/>
      <c r="K148" s="99"/>
      <c r="L148" s="99"/>
      <c r="M148" s="99"/>
      <c r="N148" s="99"/>
      <c r="O148" s="99"/>
      <c r="P148" s="99"/>
      <c r="Q148" s="8"/>
      <c r="R148" s="8"/>
      <c r="S148" s="8"/>
      <c r="T148" s="8"/>
      <c r="U148" s="8"/>
      <c r="V148" s="8"/>
      <c r="W148" s="8"/>
      <c r="X148" s="8"/>
      <c r="Y148" s="8"/>
      <c r="Z148" s="8"/>
    </row>
    <row r="149" spans="1:26" ht="12.75" customHeight="1">
      <c r="A149" s="117"/>
      <c r="B149" s="117"/>
      <c r="C149" s="117"/>
      <c r="D149" s="118"/>
      <c r="E149" s="99"/>
      <c r="F149" s="118"/>
      <c r="G149" s="99"/>
      <c r="H149" s="99"/>
      <c r="I149" s="99"/>
      <c r="J149" s="99"/>
      <c r="K149" s="99"/>
      <c r="L149" s="99"/>
      <c r="M149" s="99"/>
      <c r="N149" s="99"/>
      <c r="O149" s="99"/>
      <c r="P149" s="99"/>
      <c r="Q149" s="8"/>
      <c r="R149" s="8"/>
      <c r="S149" s="8"/>
      <c r="T149" s="8"/>
      <c r="U149" s="8"/>
      <c r="V149" s="8"/>
      <c r="W149" s="8"/>
      <c r="X149" s="8"/>
      <c r="Y149" s="8"/>
      <c r="Z149" s="8"/>
    </row>
    <row r="150" spans="1:26" ht="12.75" customHeight="1">
      <c r="A150" s="117"/>
      <c r="B150" s="117"/>
      <c r="C150" s="117"/>
      <c r="D150" s="118"/>
      <c r="E150" s="99"/>
      <c r="F150" s="118"/>
      <c r="G150" s="99"/>
      <c r="H150" s="99"/>
      <c r="I150" s="99"/>
      <c r="J150" s="99"/>
      <c r="K150" s="99"/>
      <c r="L150" s="99"/>
      <c r="M150" s="99"/>
      <c r="N150" s="99"/>
      <c r="O150" s="99"/>
      <c r="P150" s="99"/>
      <c r="Q150" s="8"/>
      <c r="R150" s="8"/>
      <c r="S150" s="8"/>
      <c r="T150" s="8"/>
      <c r="U150" s="8"/>
      <c r="V150" s="8"/>
      <c r="W150" s="8"/>
      <c r="X150" s="8"/>
      <c r="Y150" s="8"/>
      <c r="Z150" s="8"/>
    </row>
    <row r="151" spans="1:26" ht="12.75" customHeight="1">
      <c r="A151" s="117"/>
      <c r="B151" s="117"/>
      <c r="C151" s="117"/>
      <c r="D151" s="118"/>
      <c r="E151" s="99"/>
      <c r="F151" s="118"/>
      <c r="G151" s="99"/>
      <c r="H151" s="99"/>
      <c r="I151" s="99"/>
      <c r="J151" s="99"/>
      <c r="K151" s="99"/>
      <c r="L151" s="99"/>
      <c r="M151" s="99"/>
      <c r="N151" s="99"/>
      <c r="O151" s="99"/>
      <c r="P151" s="99"/>
      <c r="Q151" s="8"/>
      <c r="R151" s="8"/>
      <c r="S151" s="8"/>
      <c r="T151" s="8"/>
      <c r="U151" s="8"/>
      <c r="V151" s="8"/>
      <c r="W151" s="8"/>
      <c r="X151" s="8"/>
      <c r="Y151" s="8"/>
      <c r="Z151" s="8"/>
    </row>
    <row r="152" spans="1:26" ht="12.75" customHeight="1">
      <c r="A152" s="117"/>
      <c r="B152" s="117"/>
      <c r="C152" s="117"/>
      <c r="D152" s="118"/>
      <c r="E152" s="99"/>
      <c r="F152" s="118"/>
      <c r="G152" s="99"/>
      <c r="H152" s="99"/>
      <c r="I152" s="99"/>
      <c r="J152" s="99"/>
      <c r="K152" s="99"/>
      <c r="L152" s="99"/>
      <c r="M152" s="99"/>
      <c r="N152" s="99"/>
      <c r="O152" s="99"/>
      <c r="P152" s="99"/>
      <c r="Q152" s="8"/>
      <c r="R152" s="8"/>
      <c r="S152" s="8"/>
      <c r="T152" s="8"/>
      <c r="U152" s="8"/>
      <c r="V152" s="8"/>
      <c r="W152" s="8"/>
      <c r="X152" s="8"/>
      <c r="Y152" s="8"/>
      <c r="Z152" s="8"/>
    </row>
    <row r="153" spans="1:26" ht="12.75" customHeight="1">
      <c r="A153" s="117"/>
      <c r="B153" s="117"/>
      <c r="C153" s="117"/>
      <c r="D153" s="118"/>
      <c r="E153" s="99"/>
      <c r="F153" s="118"/>
      <c r="G153" s="99"/>
      <c r="H153" s="99"/>
      <c r="I153" s="99"/>
      <c r="J153" s="99"/>
      <c r="K153" s="99"/>
      <c r="L153" s="99"/>
      <c r="M153" s="99"/>
      <c r="N153" s="99"/>
      <c r="O153" s="99"/>
      <c r="P153" s="99"/>
      <c r="Q153" s="8"/>
      <c r="R153" s="8"/>
      <c r="S153" s="8"/>
      <c r="T153" s="8"/>
      <c r="U153" s="8"/>
      <c r="V153" s="8"/>
      <c r="W153" s="8"/>
      <c r="X153" s="8"/>
      <c r="Y153" s="8"/>
      <c r="Z153" s="8"/>
    </row>
    <row r="154" spans="1:26" ht="12.75" customHeight="1">
      <c r="A154" s="117"/>
      <c r="B154" s="117"/>
      <c r="C154" s="117"/>
      <c r="D154" s="118"/>
      <c r="E154" s="99"/>
      <c r="F154" s="118"/>
      <c r="G154" s="99"/>
      <c r="H154" s="99"/>
      <c r="I154" s="99"/>
      <c r="J154" s="99"/>
      <c r="K154" s="99"/>
      <c r="L154" s="99"/>
      <c r="M154" s="99"/>
      <c r="N154" s="99"/>
      <c r="O154" s="99"/>
      <c r="P154" s="99"/>
      <c r="Q154" s="8"/>
      <c r="R154" s="8"/>
      <c r="S154" s="8"/>
      <c r="T154" s="8"/>
      <c r="U154" s="8"/>
      <c r="V154" s="8"/>
      <c r="W154" s="8"/>
      <c r="X154" s="8"/>
      <c r="Y154" s="8"/>
      <c r="Z154" s="8"/>
    </row>
    <row r="155" spans="1:26" ht="12.75" customHeight="1">
      <c r="A155" s="117"/>
      <c r="B155" s="117"/>
      <c r="C155" s="117"/>
      <c r="D155" s="118"/>
      <c r="E155" s="99"/>
      <c r="F155" s="118"/>
      <c r="G155" s="99"/>
      <c r="H155" s="99"/>
      <c r="I155" s="99"/>
      <c r="J155" s="99"/>
      <c r="K155" s="99"/>
      <c r="L155" s="99"/>
      <c r="M155" s="99"/>
      <c r="N155" s="99"/>
      <c r="O155" s="99"/>
      <c r="P155" s="99"/>
      <c r="Q155" s="8"/>
      <c r="R155" s="8"/>
      <c r="S155" s="8"/>
      <c r="T155" s="8"/>
      <c r="U155" s="8"/>
      <c r="V155" s="8"/>
      <c r="W155" s="8"/>
      <c r="X155" s="8"/>
      <c r="Y155" s="8"/>
      <c r="Z155" s="8"/>
    </row>
    <row r="156" spans="1:26" ht="12.75" customHeight="1">
      <c r="A156" s="117"/>
      <c r="B156" s="117"/>
      <c r="C156" s="117"/>
      <c r="D156" s="118"/>
      <c r="E156" s="99"/>
      <c r="F156" s="118"/>
      <c r="G156" s="99"/>
      <c r="H156" s="99"/>
      <c r="I156" s="99"/>
      <c r="J156" s="99"/>
      <c r="K156" s="99"/>
      <c r="L156" s="99"/>
      <c r="M156" s="99"/>
      <c r="N156" s="99"/>
      <c r="O156" s="99"/>
      <c r="P156" s="99"/>
      <c r="Q156" s="8"/>
      <c r="R156" s="8"/>
      <c r="S156" s="8"/>
      <c r="T156" s="8"/>
      <c r="U156" s="8"/>
      <c r="V156" s="8"/>
      <c r="W156" s="8"/>
      <c r="X156" s="8"/>
      <c r="Y156" s="8"/>
      <c r="Z156" s="8"/>
    </row>
    <row r="157" spans="1:26" ht="12.75" customHeight="1">
      <c r="A157" s="117"/>
      <c r="B157" s="117"/>
      <c r="C157" s="117"/>
      <c r="D157" s="118"/>
      <c r="E157" s="99"/>
      <c r="F157" s="118"/>
      <c r="G157" s="99"/>
      <c r="H157" s="99"/>
      <c r="I157" s="99"/>
      <c r="J157" s="99"/>
      <c r="K157" s="99"/>
      <c r="L157" s="99"/>
      <c r="M157" s="99"/>
      <c r="N157" s="99"/>
      <c r="O157" s="99"/>
      <c r="P157" s="99"/>
      <c r="Q157" s="8"/>
      <c r="R157" s="8"/>
      <c r="S157" s="8"/>
      <c r="T157" s="8"/>
      <c r="U157" s="8"/>
      <c r="V157" s="8"/>
      <c r="W157" s="8"/>
      <c r="X157" s="8"/>
      <c r="Y157" s="8"/>
      <c r="Z157" s="8"/>
    </row>
    <row r="158" spans="1:26" ht="12.75" customHeight="1">
      <c r="A158" s="117"/>
      <c r="B158" s="117"/>
      <c r="C158" s="117"/>
      <c r="D158" s="118"/>
      <c r="E158" s="99"/>
      <c r="F158" s="42"/>
      <c r="G158" s="99"/>
      <c r="H158" s="99"/>
      <c r="I158" s="99"/>
      <c r="J158" s="99"/>
      <c r="K158" s="99"/>
      <c r="L158" s="99"/>
      <c r="M158" s="99"/>
      <c r="N158" s="99"/>
      <c r="O158" s="99"/>
      <c r="P158" s="99"/>
      <c r="Q158" s="8"/>
      <c r="R158" s="8"/>
      <c r="S158" s="8"/>
      <c r="T158" s="8"/>
      <c r="U158" s="8"/>
      <c r="V158" s="8"/>
      <c r="W158" s="8"/>
      <c r="X158" s="8"/>
      <c r="Y158" s="8"/>
      <c r="Z158" s="8"/>
    </row>
    <row r="159" spans="1:26" ht="12.75" customHeight="1">
      <c r="A159" s="117"/>
      <c r="B159" s="117"/>
      <c r="C159" s="117"/>
      <c r="D159" s="118"/>
      <c r="E159" s="99"/>
      <c r="F159" s="118"/>
      <c r="G159" s="99"/>
      <c r="H159" s="99"/>
      <c r="I159" s="99"/>
      <c r="J159" s="99"/>
      <c r="K159" s="99"/>
      <c r="L159" s="99"/>
      <c r="M159" s="99"/>
      <c r="N159" s="99"/>
      <c r="O159" s="99"/>
      <c r="P159" s="99"/>
      <c r="Q159" s="8"/>
      <c r="R159" s="8"/>
      <c r="S159" s="8"/>
      <c r="T159" s="8"/>
      <c r="U159" s="8"/>
      <c r="V159" s="8"/>
      <c r="W159" s="8"/>
      <c r="X159" s="8"/>
      <c r="Y159" s="8"/>
      <c r="Z159" s="8"/>
    </row>
    <row r="160" spans="1:26" ht="12.75" customHeight="1">
      <c r="A160" s="117"/>
      <c r="B160" s="117"/>
      <c r="C160" s="117"/>
      <c r="D160" s="118"/>
      <c r="E160" s="99"/>
      <c r="F160" s="118"/>
      <c r="G160" s="99"/>
      <c r="H160" s="99"/>
      <c r="I160" s="99"/>
      <c r="J160" s="99"/>
      <c r="K160" s="99"/>
      <c r="L160" s="99"/>
      <c r="M160" s="99"/>
      <c r="N160" s="99"/>
      <c r="O160" s="99"/>
      <c r="P160" s="99"/>
      <c r="Q160" s="8"/>
      <c r="R160" s="8"/>
      <c r="S160" s="8"/>
      <c r="T160" s="8"/>
      <c r="U160" s="8"/>
      <c r="V160" s="8"/>
      <c r="W160" s="8"/>
      <c r="X160" s="8"/>
      <c r="Y160" s="8"/>
      <c r="Z160" s="8"/>
    </row>
    <row r="161" spans="1:26" ht="12.75" customHeight="1">
      <c r="A161" s="117"/>
      <c r="B161" s="117"/>
      <c r="C161" s="117"/>
      <c r="D161" s="118"/>
      <c r="E161" s="99"/>
      <c r="F161" s="118"/>
      <c r="G161" s="99"/>
      <c r="H161" s="99"/>
      <c r="I161" s="99"/>
      <c r="J161" s="99"/>
      <c r="K161" s="99"/>
      <c r="L161" s="99"/>
      <c r="M161" s="99"/>
      <c r="N161" s="99"/>
      <c r="O161" s="99"/>
      <c r="P161" s="99"/>
      <c r="Q161" s="8"/>
      <c r="R161" s="8"/>
      <c r="S161" s="8"/>
      <c r="T161" s="8"/>
      <c r="U161" s="8"/>
      <c r="V161" s="8"/>
      <c r="W161" s="8"/>
      <c r="X161" s="8"/>
      <c r="Y161" s="8"/>
      <c r="Z161" s="8"/>
    </row>
    <row r="162" spans="1:26" ht="12.75" customHeight="1">
      <c r="A162" s="117"/>
      <c r="B162" s="117"/>
      <c r="C162" s="117"/>
      <c r="D162" s="118"/>
      <c r="E162" s="99"/>
      <c r="F162" s="118"/>
      <c r="G162" s="99"/>
      <c r="H162" s="99"/>
      <c r="I162" s="99"/>
      <c r="J162" s="99"/>
      <c r="K162" s="99"/>
      <c r="L162" s="99"/>
      <c r="M162" s="99"/>
      <c r="N162" s="99"/>
      <c r="O162" s="99"/>
      <c r="P162" s="99"/>
      <c r="Q162" s="8"/>
      <c r="R162" s="8"/>
      <c r="S162" s="8"/>
      <c r="T162" s="8"/>
      <c r="U162" s="8"/>
      <c r="V162" s="8"/>
      <c r="W162" s="8"/>
      <c r="X162" s="8"/>
      <c r="Y162" s="8"/>
      <c r="Z162" s="8"/>
    </row>
    <row r="163" spans="1:26" ht="12.75" customHeight="1">
      <c r="A163" s="117"/>
      <c r="B163" s="117"/>
      <c r="C163" s="117"/>
      <c r="D163" s="118"/>
      <c r="E163" s="99"/>
      <c r="F163" s="118"/>
      <c r="G163" s="99"/>
      <c r="H163" s="99"/>
      <c r="I163" s="99"/>
      <c r="J163" s="99"/>
      <c r="K163" s="99"/>
      <c r="L163" s="99"/>
      <c r="M163" s="99"/>
      <c r="N163" s="99"/>
      <c r="O163" s="99"/>
      <c r="P163" s="99"/>
      <c r="Q163" s="8"/>
      <c r="R163" s="8"/>
      <c r="S163" s="8"/>
      <c r="T163" s="8"/>
      <c r="U163" s="8"/>
      <c r="V163" s="8"/>
      <c r="W163" s="8"/>
      <c r="X163" s="8"/>
      <c r="Y163" s="8"/>
      <c r="Z163" s="8"/>
    </row>
    <row r="164" spans="1:26" ht="12.75" customHeight="1">
      <c r="A164" s="117"/>
      <c r="B164" s="117"/>
      <c r="C164" s="117"/>
      <c r="D164" s="118"/>
      <c r="E164" s="99"/>
      <c r="F164" s="118"/>
      <c r="G164" s="99"/>
      <c r="H164" s="99"/>
      <c r="I164" s="99"/>
      <c r="J164" s="99"/>
      <c r="K164" s="99"/>
      <c r="L164" s="99"/>
      <c r="M164" s="99"/>
      <c r="N164" s="99"/>
      <c r="O164" s="99"/>
      <c r="P164" s="99"/>
      <c r="Q164" s="8"/>
      <c r="R164" s="8"/>
      <c r="S164" s="8"/>
      <c r="T164" s="8"/>
      <c r="U164" s="8"/>
      <c r="V164" s="8"/>
      <c r="W164" s="8"/>
      <c r="X164" s="8"/>
      <c r="Y164" s="8"/>
      <c r="Z164" s="8"/>
    </row>
    <row r="165" spans="1:26" ht="12.75" customHeight="1">
      <c r="A165" s="117"/>
      <c r="B165" s="117"/>
      <c r="C165" s="117"/>
      <c r="D165" s="118"/>
      <c r="E165" s="99"/>
      <c r="F165" s="118"/>
      <c r="G165" s="99"/>
      <c r="H165" s="99"/>
      <c r="I165" s="99"/>
      <c r="J165" s="99"/>
      <c r="K165" s="99"/>
      <c r="L165" s="99"/>
      <c r="M165" s="99"/>
      <c r="N165" s="99"/>
      <c r="O165" s="99"/>
      <c r="P165" s="99"/>
      <c r="Q165" s="8"/>
      <c r="R165" s="8"/>
      <c r="S165" s="8"/>
      <c r="T165" s="8"/>
      <c r="U165" s="8"/>
      <c r="V165" s="8"/>
      <c r="W165" s="8"/>
      <c r="X165" s="8"/>
      <c r="Y165" s="8"/>
      <c r="Z165" s="8"/>
    </row>
    <row r="166" spans="1:26" ht="12.75" customHeight="1">
      <c r="A166" s="117"/>
      <c r="B166" s="117"/>
      <c r="C166" s="117"/>
      <c r="D166" s="118"/>
      <c r="E166" s="99"/>
      <c r="F166" s="118"/>
      <c r="G166" s="99"/>
      <c r="H166" s="99"/>
      <c r="I166" s="99"/>
      <c r="J166" s="99"/>
      <c r="K166" s="99"/>
      <c r="L166" s="99"/>
      <c r="M166" s="99"/>
      <c r="N166" s="99"/>
      <c r="O166" s="99"/>
      <c r="P166" s="99"/>
      <c r="Q166" s="8"/>
      <c r="R166" s="8"/>
      <c r="S166" s="8"/>
      <c r="T166" s="8"/>
      <c r="U166" s="8"/>
      <c r="V166" s="8"/>
      <c r="W166" s="8"/>
      <c r="X166" s="8"/>
      <c r="Y166" s="8"/>
      <c r="Z166" s="8"/>
    </row>
    <row r="167" spans="1:26" ht="12.75" customHeight="1">
      <c r="A167" s="117"/>
      <c r="B167" s="117"/>
      <c r="C167" s="117"/>
      <c r="D167" s="118"/>
      <c r="E167" s="99"/>
      <c r="F167" s="118"/>
      <c r="G167" s="99"/>
      <c r="H167" s="99"/>
      <c r="I167" s="99"/>
      <c r="J167" s="99"/>
      <c r="K167" s="99"/>
      <c r="L167" s="99"/>
      <c r="M167" s="99"/>
      <c r="N167" s="99"/>
      <c r="O167" s="99"/>
      <c r="P167" s="99"/>
      <c r="Q167" s="8"/>
      <c r="R167" s="8"/>
      <c r="S167" s="8"/>
      <c r="T167" s="8"/>
      <c r="U167" s="8"/>
      <c r="V167" s="8"/>
      <c r="W167" s="8"/>
      <c r="X167" s="8"/>
      <c r="Y167" s="8"/>
      <c r="Z167" s="8"/>
    </row>
    <row r="168" spans="1:26" ht="12.75" customHeight="1">
      <c r="A168" s="117"/>
      <c r="B168" s="117"/>
      <c r="C168" s="117"/>
      <c r="D168" s="118"/>
      <c r="E168" s="99"/>
      <c r="F168" s="42"/>
      <c r="G168" s="99"/>
      <c r="H168" s="99"/>
      <c r="I168" s="99"/>
      <c r="J168" s="99"/>
      <c r="K168" s="99"/>
      <c r="L168" s="99"/>
      <c r="M168" s="99"/>
      <c r="N168" s="99"/>
      <c r="O168" s="99"/>
      <c r="P168" s="99"/>
      <c r="Q168" s="8"/>
      <c r="R168" s="8"/>
      <c r="S168" s="8"/>
      <c r="T168" s="8"/>
      <c r="U168" s="8"/>
      <c r="V168" s="8"/>
      <c r="W168" s="8"/>
      <c r="X168" s="8"/>
      <c r="Y168" s="8"/>
      <c r="Z168" s="8"/>
    </row>
    <row r="169" spans="1:26" ht="12.75" customHeight="1">
      <c r="A169" s="117"/>
      <c r="B169" s="117"/>
      <c r="C169" s="117"/>
      <c r="D169" s="118"/>
      <c r="E169" s="99"/>
      <c r="F169" s="118"/>
      <c r="G169" s="99"/>
      <c r="H169" s="99"/>
      <c r="I169" s="99"/>
      <c r="J169" s="99"/>
      <c r="K169" s="99"/>
      <c r="L169" s="99"/>
      <c r="M169" s="99"/>
      <c r="N169" s="99"/>
      <c r="O169" s="99"/>
      <c r="P169" s="99"/>
      <c r="Q169" s="8"/>
      <c r="R169" s="8"/>
      <c r="S169" s="8"/>
      <c r="T169" s="8"/>
      <c r="U169" s="8"/>
      <c r="V169" s="8"/>
      <c r="W169" s="8"/>
      <c r="X169" s="8"/>
      <c r="Y169" s="8"/>
      <c r="Z169" s="8"/>
    </row>
    <row r="170" spans="1:26" ht="12.75" customHeight="1">
      <c r="A170" s="117"/>
      <c r="B170" s="117"/>
      <c r="C170" s="117"/>
      <c r="D170" s="118"/>
      <c r="E170" s="99"/>
      <c r="F170" s="118"/>
      <c r="G170" s="99"/>
      <c r="H170" s="99"/>
      <c r="I170" s="99"/>
      <c r="J170" s="99"/>
      <c r="K170" s="99"/>
      <c r="L170" s="99"/>
      <c r="M170" s="99"/>
      <c r="N170" s="99"/>
      <c r="O170" s="99"/>
      <c r="P170" s="99"/>
      <c r="Q170" s="8"/>
      <c r="R170" s="8"/>
      <c r="S170" s="8"/>
      <c r="T170" s="8"/>
      <c r="U170" s="8"/>
      <c r="V170" s="8"/>
      <c r="W170" s="8"/>
      <c r="X170" s="8"/>
      <c r="Y170" s="8"/>
      <c r="Z170" s="8"/>
    </row>
    <row r="171" spans="1:26" ht="12.75" customHeight="1">
      <c r="A171" s="117"/>
      <c r="B171" s="117"/>
      <c r="C171" s="117"/>
      <c r="D171" s="118"/>
      <c r="E171" s="99"/>
      <c r="F171" s="118"/>
      <c r="G171" s="99"/>
      <c r="H171" s="99"/>
      <c r="I171" s="99"/>
      <c r="J171" s="99"/>
      <c r="K171" s="99"/>
      <c r="L171" s="99"/>
      <c r="M171" s="99"/>
      <c r="N171" s="99"/>
      <c r="O171" s="99"/>
      <c r="P171" s="99"/>
      <c r="Q171" s="8"/>
      <c r="R171" s="8"/>
      <c r="S171" s="8"/>
      <c r="T171" s="8"/>
      <c r="U171" s="8"/>
      <c r="V171" s="8"/>
      <c r="W171" s="8"/>
      <c r="X171" s="8"/>
      <c r="Y171" s="8"/>
      <c r="Z171" s="8"/>
    </row>
    <row r="172" spans="1:26" ht="12.75" customHeight="1">
      <c r="A172" s="117"/>
      <c r="B172" s="117"/>
      <c r="C172" s="117"/>
      <c r="D172" s="118"/>
      <c r="E172" s="99"/>
      <c r="F172" s="118"/>
      <c r="G172" s="99"/>
      <c r="H172" s="99"/>
      <c r="I172" s="99"/>
      <c r="J172" s="99"/>
      <c r="K172" s="99"/>
      <c r="L172" s="99"/>
      <c r="M172" s="99"/>
      <c r="N172" s="99"/>
      <c r="O172" s="99"/>
      <c r="P172" s="99"/>
      <c r="Q172" s="8"/>
      <c r="R172" s="8"/>
      <c r="S172" s="8"/>
      <c r="T172" s="8"/>
      <c r="U172" s="8"/>
      <c r="V172" s="8"/>
      <c r="W172" s="8"/>
      <c r="X172" s="8"/>
      <c r="Y172" s="8"/>
      <c r="Z172" s="8"/>
    </row>
    <row r="173" spans="1:26" ht="12.75" customHeight="1">
      <c r="A173" s="117"/>
      <c r="B173" s="117"/>
      <c r="C173" s="117"/>
      <c r="D173" s="118"/>
      <c r="E173" s="99"/>
      <c r="F173" s="118"/>
      <c r="G173" s="99"/>
      <c r="H173" s="99"/>
      <c r="I173" s="99"/>
      <c r="J173" s="99"/>
      <c r="K173" s="99"/>
      <c r="L173" s="99"/>
      <c r="M173" s="99"/>
      <c r="N173" s="99"/>
      <c r="O173" s="99"/>
      <c r="P173" s="99"/>
      <c r="Q173" s="8"/>
      <c r="R173" s="8"/>
      <c r="S173" s="8"/>
      <c r="T173" s="8"/>
      <c r="U173" s="8"/>
      <c r="V173" s="8"/>
      <c r="W173" s="8"/>
      <c r="X173" s="8"/>
      <c r="Y173" s="8"/>
      <c r="Z173" s="8"/>
    </row>
    <row r="174" spans="1:26" ht="12.75" customHeight="1">
      <c r="A174" s="117"/>
      <c r="B174" s="117"/>
      <c r="C174" s="117"/>
      <c r="D174" s="118"/>
      <c r="E174" s="99"/>
      <c r="F174" s="118"/>
      <c r="G174" s="99"/>
      <c r="H174" s="99"/>
      <c r="I174" s="99"/>
      <c r="J174" s="99"/>
      <c r="K174" s="99"/>
      <c r="L174" s="99"/>
      <c r="M174" s="99"/>
      <c r="N174" s="99"/>
      <c r="O174" s="99"/>
      <c r="P174" s="99"/>
      <c r="Q174" s="8"/>
      <c r="R174" s="8"/>
      <c r="S174" s="8"/>
      <c r="T174" s="8"/>
      <c r="U174" s="8"/>
      <c r="V174" s="8"/>
      <c r="W174" s="8"/>
      <c r="X174" s="8"/>
      <c r="Y174" s="8"/>
      <c r="Z174" s="8"/>
    </row>
    <row r="175" spans="1:26" ht="12.75" customHeight="1">
      <c r="A175" s="117"/>
      <c r="B175" s="117"/>
      <c r="C175" s="117"/>
      <c r="D175" s="118"/>
      <c r="E175" s="99"/>
      <c r="F175" s="118"/>
      <c r="G175" s="99"/>
      <c r="H175" s="99"/>
      <c r="I175" s="99"/>
      <c r="J175" s="99"/>
      <c r="K175" s="99"/>
      <c r="L175" s="99"/>
      <c r="M175" s="99"/>
      <c r="N175" s="99"/>
      <c r="O175" s="99"/>
      <c r="P175" s="99"/>
      <c r="Q175" s="8"/>
      <c r="R175" s="8"/>
      <c r="S175" s="8"/>
      <c r="T175" s="8"/>
      <c r="U175" s="8"/>
      <c r="V175" s="8"/>
      <c r="W175" s="8"/>
      <c r="X175" s="8"/>
      <c r="Y175" s="8"/>
      <c r="Z175" s="8"/>
    </row>
    <row r="176" spans="1:26" ht="12.75" customHeight="1">
      <c r="A176" s="117"/>
      <c r="B176" s="117"/>
      <c r="C176" s="117"/>
      <c r="D176" s="118"/>
      <c r="E176" s="99"/>
      <c r="F176" s="118"/>
      <c r="G176" s="99"/>
      <c r="H176" s="99"/>
      <c r="I176" s="99"/>
      <c r="J176" s="99"/>
      <c r="K176" s="99"/>
      <c r="L176" s="99"/>
      <c r="M176" s="99"/>
      <c r="N176" s="99"/>
      <c r="O176" s="99"/>
      <c r="P176" s="99"/>
      <c r="Q176" s="8"/>
      <c r="R176" s="8"/>
      <c r="S176" s="8"/>
      <c r="T176" s="8"/>
      <c r="U176" s="8"/>
      <c r="V176" s="8"/>
      <c r="W176" s="8"/>
      <c r="X176" s="8"/>
      <c r="Y176" s="8"/>
      <c r="Z176" s="8"/>
    </row>
    <row r="177" spans="1:26" ht="12.75" customHeight="1">
      <c r="A177" s="117"/>
      <c r="B177" s="117"/>
      <c r="C177" s="117"/>
      <c r="D177" s="118"/>
      <c r="E177" s="99"/>
      <c r="F177" s="118"/>
      <c r="G177" s="99"/>
      <c r="H177" s="99"/>
      <c r="I177" s="99"/>
      <c r="J177" s="99"/>
      <c r="K177" s="99"/>
      <c r="L177" s="99"/>
      <c r="M177" s="99"/>
      <c r="N177" s="99"/>
      <c r="O177" s="99"/>
      <c r="P177" s="99"/>
      <c r="Q177" s="8"/>
      <c r="R177" s="8"/>
      <c r="S177" s="8"/>
      <c r="T177" s="8"/>
      <c r="U177" s="8"/>
      <c r="V177" s="8"/>
      <c r="W177" s="8"/>
      <c r="X177" s="8"/>
      <c r="Y177" s="8"/>
      <c r="Z177" s="8"/>
    </row>
    <row r="178" spans="1:26" ht="12.75" customHeight="1">
      <c r="A178" s="117"/>
      <c r="B178" s="117"/>
      <c r="C178" s="117"/>
      <c r="D178" s="118"/>
      <c r="E178" s="99"/>
      <c r="F178" s="118"/>
      <c r="G178" s="99"/>
      <c r="H178" s="99"/>
      <c r="I178" s="99"/>
      <c r="J178" s="99"/>
      <c r="K178" s="99"/>
      <c r="L178" s="99"/>
      <c r="M178" s="99"/>
      <c r="N178" s="99"/>
      <c r="O178" s="99"/>
      <c r="P178" s="99"/>
      <c r="Q178" s="8"/>
      <c r="R178" s="8"/>
      <c r="S178" s="8"/>
      <c r="T178" s="8"/>
      <c r="U178" s="8"/>
      <c r="V178" s="8"/>
      <c r="W178" s="8"/>
      <c r="X178" s="8"/>
      <c r="Y178" s="8"/>
      <c r="Z178" s="8"/>
    </row>
    <row r="179" spans="1:26" ht="12.75" customHeight="1">
      <c r="A179" s="117"/>
      <c r="B179" s="117"/>
      <c r="C179" s="117"/>
      <c r="D179" s="118"/>
      <c r="E179" s="99"/>
      <c r="F179" s="118"/>
      <c r="G179" s="99"/>
      <c r="H179" s="99"/>
      <c r="I179" s="99"/>
      <c r="J179" s="99"/>
      <c r="K179" s="99"/>
      <c r="L179" s="99"/>
      <c r="M179" s="99"/>
      <c r="N179" s="99"/>
      <c r="O179" s="99"/>
      <c r="P179" s="99"/>
      <c r="Q179" s="8"/>
      <c r="R179" s="8"/>
      <c r="S179" s="8"/>
      <c r="T179" s="8"/>
      <c r="U179" s="8"/>
      <c r="V179" s="8"/>
      <c r="W179" s="8"/>
      <c r="X179" s="8"/>
      <c r="Y179" s="8"/>
      <c r="Z179" s="8"/>
    </row>
    <row r="180" spans="1:26" ht="12.75" customHeight="1">
      <c r="A180" s="117"/>
      <c r="B180" s="117"/>
      <c r="C180" s="117"/>
      <c r="D180" s="118"/>
      <c r="E180" s="99"/>
      <c r="F180" s="118"/>
      <c r="G180" s="99"/>
      <c r="H180" s="99"/>
      <c r="I180" s="99"/>
      <c r="J180" s="99"/>
      <c r="K180" s="99"/>
      <c r="L180" s="99"/>
      <c r="M180" s="99"/>
      <c r="N180" s="99"/>
      <c r="O180" s="99"/>
      <c r="P180" s="99"/>
      <c r="Q180" s="8"/>
      <c r="R180" s="8"/>
      <c r="S180" s="8"/>
      <c r="T180" s="8"/>
      <c r="U180" s="8"/>
      <c r="V180" s="8"/>
      <c r="W180" s="8"/>
      <c r="X180" s="8"/>
      <c r="Y180" s="8"/>
      <c r="Z180" s="8"/>
    </row>
    <row r="181" spans="1:26" ht="12.75" customHeight="1">
      <c r="A181" s="117"/>
      <c r="B181" s="117"/>
      <c r="C181" s="117"/>
      <c r="D181" s="118"/>
      <c r="E181" s="99"/>
      <c r="F181" s="118"/>
      <c r="G181" s="99"/>
      <c r="H181" s="99"/>
      <c r="I181" s="99"/>
      <c r="J181" s="99"/>
      <c r="K181" s="99"/>
      <c r="L181" s="99"/>
      <c r="M181" s="99"/>
      <c r="N181" s="99"/>
      <c r="O181" s="99"/>
      <c r="P181" s="99"/>
      <c r="Q181" s="8"/>
      <c r="R181" s="8"/>
      <c r="S181" s="8"/>
      <c r="T181" s="8"/>
      <c r="U181" s="8"/>
      <c r="V181" s="8"/>
      <c r="W181" s="8"/>
      <c r="X181" s="8"/>
      <c r="Y181" s="8"/>
      <c r="Z181" s="8"/>
    </row>
    <row r="182" spans="1:26" ht="12.75" customHeight="1">
      <c r="A182" s="117"/>
      <c r="B182" s="117"/>
      <c r="C182" s="117"/>
      <c r="D182" s="118"/>
      <c r="E182" s="99"/>
      <c r="F182" s="118"/>
      <c r="G182" s="99"/>
      <c r="H182" s="99"/>
      <c r="I182" s="99"/>
      <c r="J182" s="99"/>
      <c r="K182" s="99"/>
      <c r="L182" s="99"/>
      <c r="M182" s="99"/>
      <c r="N182" s="99"/>
      <c r="O182" s="99"/>
      <c r="P182" s="99"/>
      <c r="Q182" s="8"/>
      <c r="R182" s="8"/>
      <c r="S182" s="8"/>
      <c r="T182" s="8"/>
      <c r="U182" s="8"/>
      <c r="V182" s="8"/>
      <c r="W182" s="8"/>
      <c r="X182" s="8"/>
      <c r="Y182" s="8"/>
      <c r="Z182" s="8"/>
    </row>
    <row r="183" spans="1:26" ht="12.75" customHeight="1">
      <c r="A183" s="117"/>
      <c r="B183" s="117"/>
      <c r="C183" s="117"/>
      <c r="D183" s="118"/>
      <c r="E183" s="99"/>
      <c r="F183" s="118"/>
      <c r="G183" s="99"/>
      <c r="H183" s="99"/>
      <c r="I183" s="99"/>
      <c r="J183" s="99"/>
      <c r="K183" s="99"/>
      <c r="L183" s="99"/>
      <c r="M183" s="99"/>
      <c r="N183" s="99"/>
      <c r="O183" s="99"/>
      <c r="P183" s="99"/>
      <c r="Q183" s="8"/>
      <c r="R183" s="8"/>
      <c r="S183" s="8"/>
      <c r="T183" s="8"/>
      <c r="U183" s="8"/>
      <c r="V183" s="8"/>
      <c r="W183" s="8"/>
      <c r="X183" s="8"/>
      <c r="Y183" s="8"/>
      <c r="Z183" s="8"/>
    </row>
    <row r="184" spans="1:26" ht="12.75" customHeight="1">
      <c r="A184" s="117"/>
      <c r="B184" s="117"/>
      <c r="C184" s="117"/>
      <c r="D184" s="118"/>
      <c r="E184" s="99"/>
      <c r="F184" s="118"/>
      <c r="G184" s="99"/>
      <c r="H184" s="99"/>
      <c r="I184" s="99"/>
      <c r="J184" s="99"/>
      <c r="K184" s="99"/>
      <c r="L184" s="99"/>
      <c r="M184" s="99"/>
      <c r="N184" s="99"/>
      <c r="O184" s="99"/>
      <c r="P184" s="99"/>
      <c r="Q184" s="8"/>
      <c r="R184" s="8"/>
      <c r="S184" s="8"/>
      <c r="T184" s="8"/>
      <c r="U184" s="8"/>
      <c r="V184" s="8"/>
      <c r="W184" s="8"/>
      <c r="X184" s="8"/>
      <c r="Y184" s="8"/>
      <c r="Z184" s="8"/>
    </row>
    <row r="185" spans="1:26" ht="12.75" customHeight="1">
      <c r="A185" s="117"/>
      <c r="B185" s="117"/>
      <c r="C185" s="117"/>
      <c r="D185" s="118"/>
      <c r="E185" s="99"/>
      <c r="F185" s="118"/>
      <c r="G185" s="99"/>
      <c r="H185" s="99"/>
      <c r="I185" s="99"/>
      <c r="J185" s="99"/>
      <c r="K185" s="99"/>
      <c r="L185" s="99"/>
      <c r="M185" s="99"/>
      <c r="N185" s="99"/>
      <c r="O185" s="99"/>
      <c r="P185" s="99"/>
      <c r="Q185" s="8"/>
      <c r="R185" s="8"/>
      <c r="S185" s="8"/>
      <c r="T185" s="8"/>
      <c r="U185" s="8"/>
      <c r="V185" s="8"/>
      <c r="W185" s="8"/>
      <c r="X185" s="8"/>
      <c r="Y185" s="8"/>
      <c r="Z185" s="8"/>
    </row>
    <row r="186" spans="1:26" ht="12.75" customHeight="1">
      <c r="A186" s="117"/>
      <c r="B186" s="117"/>
      <c r="C186" s="117"/>
      <c r="D186" s="118"/>
      <c r="E186" s="99"/>
      <c r="F186" s="118"/>
      <c r="G186" s="99"/>
      <c r="H186" s="99"/>
      <c r="I186" s="99"/>
      <c r="J186" s="99"/>
      <c r="K186" s="99"/>
      <c r="L186" s="99"/>
      <c r="M186" s="99"/>
      <c r="N186" s="99"/>
      <c r="O186" s="99"/>
      <c r="P186" s="99"/>
      <c r="Q186" s="8"/>
      <c r="R186" s="8"/>
      <c r="S186" s="8"/>
      <c r="T186" s="8"/>
      <c r="U186" s="8"/>
      <c r="V186" s="8"/>
      <c r="W186" s="8"/>
      <c r="X186" s="8"/>
      <c r="Y186" s="8"/>
      <c r="Z186" s="8"/>
    </row>
    <row r="187" spans="1:26" ht="12.75" customHeight="1">
      <c r="A187" s="117"/>
      <c r="B187" s="117"/>
      <c r="C187" s="117"/>
      <c r="D187" s="118"/>
      <c r="E187" s="99"/>
      <c r="F187" s="118"/>
      <c r="G187" s="99"/>
      <c r="H187" s="99"/>
      <c r="I187" s="99"/>
      <c r="J187" s="99"/>
      <c r="K187" s="99"/>
      <c r="L187" s="99"/>
      <c r="M187" s="99"/>
      <c r="N187" s="99"/>
      <c r="O187" s="99"/>
      <c r="P187" s="99"/>
      <c r="Q187" s="8"/>
      <c r="R187" s="8"/>
      <c r="S187" s="8"/>
      <c r="T187" s="8"/>
      <c r="U187" s="8"/>
      <c r="V187" s="8"/>
      <c r="W187" s="8"/>
      <c r="X187" s="8"/>
      <c r="Y187" s="8"/>
      <c r="Z187" s="8"/>
    </row>
    <row r="188" spans="1:26" ht="12.75" customHeight="1">
      <c r="A188" s="117"/>
      <c r="B188" s="117"/>
      <c r="C188" s="117"/>
      <c r="D188" s="118"/>
      <c r="E188" s="99"/>
      <c r="F188" s="118"/>
      <c r="G188" s="99"/>
      <c r="H188" s="99"/>
      <c r="I188" s="99"/>
      <c r="J188" s="99"/>
      <c r="K188" s="99"/>
      <c r="L188" s="99"/>
      <c r="M188" s="99"/>
      <c r="N188" s="99"/>
      <c r="O188" s="99"/>
      <c r="P188" s="99"/>
      <c r="Q188" s="8"/>
      <c r="R188" s="8"/>
      <c r="S188" s="8"/>
      <c r="T188" s="8"/>
      <c r="U188" s="8"/>
      <c r="V188" s="8"/>
      <c r="W188" s="8"/>
      <c r="X188" s="8"/>
      <c r="Y188" s="8"/>
      <c r="Z188" s="8"/>
    </row>
    <row r="189" spans="1:26" ht="12.75" customHeight="1">
      <c r="A189" s="117"/>
      <c r="B189" s="117"/>
      <c r="C189" s="117"/>
      <c r="D189" s="118"/>
      <c r="E189" s="99"/>
      <c r="F189" s="118"/>
      <c r="G189" s="99"/>
      <c r="H189" s="99"/>
      <c r="I189" s="99"/>
      <c r="J189" s="99"/>
      <c r="K189" s="99"/>
      <c r="L189" s="99"/>
      <c r="M189" s="99"/>
      <c r="N189" s="99"/>
      <c r="O189" s="99"/>
      <c r="P189" s="99"/>
      <c r="Q189" s="8"/>
      <c r="R189" s="8"/>
      <c r="S189" s="8"/>
      <c r="T189" s="8"/>
      <c r="U189" s="8"/>
      <c r="V189" s="8"/>
      <c r="W189" s="8"/>
      <c r="X189" s="8"/>
      <c r="Y189" s="8"/>
      <c r="Z189" s="8"/>
    </row>
    <row r="190" spans="1:26" ht="12.75" customHeight="1">
      <c r="A190" s="117"/>
      <c r="B190" s="117"/>
      <c r="C190" s="117"/>
      <c r="D190" s="118"/>
      <c r="E190" s="99"/>
      <c r="F190" s="118"/>
      <c r="G190" s="99"/>
      <c r="H190" s="99"/>
      <c r="I190" s="99"/>
      <c r="J190" s="99"/>
      <c r="K190" s="99"/>
      <c r="L190" s="99"/>
      <c r="M190" s="99"/>
      <c r="N190" s="99"/>
      <c r="O190" s="99"/>
      <c r="P190" s="99"/>
      <c r="Q190" s="8"/>
      <c r="R190" s="8"/>
      <c r="S190" s="8"/>
      <c r="T190" s="8"/>
      <c r="U190" s="8"/>
      <c r="V190" s="8"/>
      <c r="W190" s="8"/>
      <c r="X190" s="8"/>
      <c r="Y190" s="8"/>
      <c r="Z190" s="8"/>
    </row>
    <row r="191" spans="1:26" ht="12.75" customHeight="1">
      <c r="A191" s="117"/>
      <c r="B191" s="117"/>
      <c r="C191" s="117"/>
      <c r="D191" s="118"/>
      <c r="E191" s="99"/>
      <c r="F191" s="118"/>
      <c r="G191" s="99"/>
      <c r="H191" s="99"/>
      <c r="I191" s="99"/>
      <c r="J191" s="99"/>
      <c r="K191" s="99"/>
      <c r="L191" s="99"/>
      <c r="M191" s="99"/>
      <c r="N191" s="99"/>
      <c r="O191" s="99"/>
      <c r="P191" s="99"/>
      <c r="Q191" s="8"/>
      <c r="R191" s="8"/>
      <c r="S191" s="8"/>
      <c r="T191" s="8"/>
      <c r="U191" s="8"/>
      <c r="V191" s="8"/>
      <c r="W191" s="8"/>
      <c r="X191" s="8"/>
      <c r="Y191" s="8"/>
      <c r="Z191" s="8"/>
    </row>
    <row r="192" spans="1:26" ht="12.75" customHeight="1">
      <c r="A192" s="117"/>
      <c r="B192" s="117"/>
      <c r="C192" s="117"/>
      <c r="D192" s="118"/>
      <c r="E192" s="99"/>
      <c r="F192" s="118"/>
      <c r="G192" s="99"/>
      <c r="H192" s="99"/>
      <c r="I192" s="99"/>
      <c r="J192" s="99"/>
      <c r="K192" s="99"/>
      <c r="L192" s="99"/>
      <c r="M192" s="99"/>
      <c r="N192" s="99"/>
      <c r="O192" s="99"/>
      <c r="P192" s="99"/>
      <c r="Q192" s="8"/>
      <c r="R192" s="8"/>
      <c r="S192" s="8"/>
      <c r="T192" s="8"/>
      <c r="U192" s="8"/>
      <c r="V192" s="8"/>
      <c r="W192" s="8"/>
      <c r="X192" s="8"/>
      <c r="Y192" s="8"/>
      <c r="Z192" s="8"/>
    </row>
    <row r="193" spans="1:26" ht="12.75" customHeight="1">
      <c r="A193" s="117"/>
      <c r="B193" s="117"/>
      <c r="C193" s="117"/>
      <c r="D193" s="118"/>
      <c r="E193" s="99"/>
      <c r="F193" s="118"/>
      <c r="G193" s="99"/>
      <c r="H193" s="99"/>
      <c r="I193" s="99"/>
      <c r="J193" s="99"/>
      <c r="K193" s="99"/>
      <c r="L193" s="99"/>
      <c r="M193" s="99"/>
      <c r="N193" s="99"/>
      <c r="O193" s="99"/>
      <c r="P193" s="99"/>
      <c r="Q193" s="8"/>
      <c r="R193" s="8"/>
      <c r="S193" s="8"/>
      <c r="T193" s="8"/>
      <c r="U193" s="8"/>
      <c r="V193" s="8"/>
      <c r="W193" s="8"/>
      <c r="X193" s="8"/>
      <c r="Y193" s="8"/>
      <c r="Z193" s="8"/>
    </row>
    <row r="194" spans="1:26" ht="12.75" customHeight="1">
      <c r="A194" s="117"/>
      <c r="B194" s="117"/>
      <c r="C194" s="117"/>
      <c r="D194" s="118"/>
      <c r="E194" s="99"/>
      <c r="F194" s="118"/>
      <c r="G194" s="99"/>
      <c r="H194" s="99"/>
      <c r="I194" s="99"/>
      <c r="J194" s="99"/>
      <c r="K194" s="99"/>
      <c r="L194" s="99"/>
      <c r="M194" s="99"/>
      <c r="N194" s="99"/>
      <c r="O194" s="99"/>
      <c r="P194" s="99"/>
      <c r="Q194" s="8"/>
      <c r="R194" s="8"/>
      <c r="S194" s="8"/>
      <c r="T194" s="8"/>
      <c r="U194" s="8"/>
      <c r="V194" s="8"/>
      <c r="W194" s="8"/>
      <c r="X194" s="8"/>
      <c r="Y194" s="8"/>
      <c r="Z194" s="8"/>
    </row>
    <row r="195" spans="1:26" ht="12.75" customHeight="1">
      <c r="A195" s="117"/>
      <c r="B195" s="117"/>
      <c r="C195" s="117"/>
      <c r="D195" s="118"/>
      <c r="E195" s="99"/>
      <c r="F195" s="118"/>
      <c r="G195" s="99"/>
      <c r="H195" s="99"/>
      <c r="I195" s="99"/>
      <c r="J195" s="99"/>
      <c r="K195" s="99"/>
      <c r="L195" s="99"/>
      <c r="M195" s="99"/>
      <c r="N195" s="99"/>
      <c r="O195" s="99"/>
      <c r="P195" s="99"/>
      <c r="Q195" s="8"/>
      <c r="R195" s="8"/>
      <c r="S195" s="8"/>
      <c r="T195" s="8"/>
      <c r="U195" s="8"/>
      <c r="V195" s="8"/>
      <c r="W195" s="8"/>
      <c r="X195" s="8"/>
      <c r="Y195" s="8"/>
      <c r="Z195" s="8"/>
    </row>
    <row r="196" spans="1:26" ht="12.75" customHeight="1">
      <c r="A196" s="117"/>
      <c r="B196" s="117"/>
      <c r="C196" s="117"/>
      <c r="D196" s="118"/>
      <c r="E196" s="99"/>
      <c r="F196" s="118"/>
      <c r="G196" s="99"/>
      <c r="H196" s="99"/>
      <c r="I196" s="99"/>
      <c r="J196" s="99"/>
      <c r="K196" s="99"/>
      <c r="L196" s="99"/>
      <c r="M196" s="99"/>
      <c r="N196" s="99"/>
      <c r="O196" s="99"/>
      <c r="P196" s="99"/>
      <c r="Q196" s="8"/>
      <c r="R196" s="8"/>
      <c r="S196" s="8"/>
      <c r="T196" s="8"/>
      <c r="U196" s="8"/>
      <c r="V196" s="8"/>
      <c r="W196" s="8"/>
      <c r="X196" s="8"/>
      <c r="Y196" s="8"/>
      <c r="Z196" s="8"/>
    </row>
    <row r="197" spans="1:26" ht="12.75" customHeight="1">
      <c r="A197" s="117"/>
      <c r="B197" s="117"/>
      <c r="C197" s="117"/>
      <c r="D197" s="118"/>
      <c r="E197" s="99"/>
      <c r="F197" s="118"/>
      <c r="G197" s="99"/>
      <c r="H197" s="99"/>
      <c r="I197" s="99"/>
      <c r="J197" s="99"/>
      <c r="K197" s="99"/>
      <c r="L197" s="99"/>
      <c r="M197" s="99"/>
      <c r="N197" s="99"/>
      <c r="O197" s="99"/>
      <c r="P197" s="99"/>
      <c r="Q197" s="8"/>
      <c r="R197" s="8"/>
      <c r="S197" s="8"/>
      <c r="T197" s="8"/>
      <c r="U197" s="8"/>
      <c r="V197" s="8"/>
      <c r="W197" s="8"/>
      <c r="X197" s="8"/>
      <c r="Y197" s="8"/>
      <c r="Z197" s="8"/>
    </row>
    <row r="198" spans="1:26" ht="12.75" customHeight="1">
      <c r="A198" s="117"/>
      <c r="B198" s="117"/>
      <c r="C198" s="117"/>
      <c r="D198" s="118"/>
      <c r="E198" s="99"/>
      <c r="F198" s="118"/>
      <c r="G198" s="99"/>
      <c r="H198" s="99"/>
      <c r="I198" s="99"/>
      <c r="J198" s="99"/>
      <c r="K198" s="99"/>
      <c r="L198" s="99"/>
      <c r="M198" s="99"/>
      <c r="N198" s="99"/>
      <c r="O198" s="99"/>
      <c r="P198" s="99"/>
      <c r="Q198" s="8"/>
      <c r="R198" s="8"/>
      <c r="S198" s="8"/>
      <c r="T198" s="8"/>
      <c r="U198" s="8"/>
      <c r="V198" s="8"/>
      <c r="W198" s="8"/>
      <c r="X198" s="8"/>
      <c r="Y198" s="8"/>
      <c r="Z198" s="8"/>
    </row>
    <row r="199" spans="1:26" ht="12.75" customHeight="1">
      <c r="A199" s="117"/>
      <c r="B199" s="117"/>
      <c r="C199" s="117"/>
      <c r="D199" s="118"/>
      <c r="E199" s="99"/>
      <c r="F199" s="118"/>
      <c r="G199" s="99"/>
      <c r="H199" s="99"/>
      <c r="I199" s="99"/>
      <c r="J199" s="99"/>
      <c r="K199" s="99"/>
      <c r="L199" s="99"/>
      <c r="M199" s="99"/>
      <c r="N199" s="99"/>
      <c r="O199" s="99"/>
      <c r="P199" s="99"/>
      <c r="Q199" s="8"/>
      <c r="R199" s="8"/>
      <c r="S199" s="8"/>
      <c r="T199" s="8"/>
      <c r="U199" s="8"/>
      <c r="V199" s="8"/>
      <c r="W199" s="8"/>
      <c r="X199" s="8"/>
      <c r="Y199" s="8"/>
      <c r="Z199" s="8"/>
    </row>
    <row r="200" spans="1:26" ht="12.75" customHeight="1">
      <c r="A200" s="117"/>
      <c r="B200" s="117"/>
      <c r="C200" s="117"/>
      <c r="D200" s="118"/>
      <c r="E200" s="99"/>
      <c r="F200" s="118"/>
      <c r="G200" s="99"/>
      <c r="H200" s="99"/>
      <c r="I200" s="99"/>
      <c r="J200" s="99"/>
      <c r="K200" s="99"/>
      <c r="L200" s="99"/>
      <c r="M200" s="99"/>
      <c r="N200" s="99"/>
      <c r="O200" s="99"/>
      <c r="P200" s="99"/>
      <c r="Q200" s="8"/>
      <c r="R200" s="8"/>
      <c r="S200" s="8"/>
      <c r="T200" s="8"/>
      <c r="U200" s="8"/>
      <c r="V200" s="8"/>
      <c r="W200" s="8"/>
      <c r="X200" s="8"/>
      <c r="Y200" s="8"/>
      <c r="Z200" s="8"/>
    </row>
    <row r="201" spans="1:26" ht="12.75" customHeight="1">
      <c r="A201" s="117"/>
      <c r="B201" s="117"/>
      <c r="C201" s="117"/>
      <c r="D201" s="118"/>
      <c r="E201" s="99"/>
      <c r="F201" s="118"/>
      <c r="G201" s="99"/>
      <c r="H201" s="99"/>
      <c r="I201" s="99"/>
      <c r="J201" s="99"/>
      <c r="K201" s="99"/>
      <c r="L201" s="99"/>
      <c r="M201" s="99"/>
      <c r="N201" s="99"/>
      <c r="O201" s="99"/>
      <c r="P201" s="99"/>
      <c r="Q201" s="8"/>
      <c r="R201" s="8"/>
      <c r="S201" s="8"/>
      <c r="T201" s="8"/>
      <c r="U201" s="8"/>
      <c r="V201" s="8"/>
      <c r="W201" s="8"/>
      <c r="X201" s="8"/>
      <c r="Y201" s="8"/>
      <c r="Z201" s="8"/>
    </row>
    <row r="202" spans="1:26" ht="12.75" customHeight="1">
      <c r="A202" s="117"/>
      <c r="B202" s="117"/>
      <c r="C202" s="117"/>
      <c r="D202" s="118"/>
      <c r="E202" s="99"/>
      <c r="F202" s="118"/>
      <c r="G202" s="99"/>
      <c r="H202" s="99"/>
      <c r="I202" s="99"/>
      <c r="J202" s="99"/>
      <c r="K202" s="99"/>
      <c r="L202" s="99"/>
      <c r="M202" s="99"/>
      <c r="N202" s="99"/>
      <c r="O202" s="99"/>
      <c r="P202" s="99"/>
      <c r="Q202" s="8"/>
      <c r="R202" s="8"/>
      <c r="S202" s="8"/>
      <c r="T202" s="8"/>
      <c r="U202" s="8"/>
      <c r="V202" s="8"/>
      <c r="W202" s="8"/>
      <c r="X202" s="8"/>
      <c r="Y202" s="8"/>
      <c r="Z202" s="8"/>
    </row>
    <row r="203" spans="1:26" ht="12.75" customHeight="1">
      <c r="A203" s="117"/>
      <c r="B203" s="117"/>
      <c r="C203" s="117"/>
      <c r="D203" s="118"/>
      <c r="E203" s="99"/>
      <c r="F203" s="118"/>
      <c r="G203" s="99"/>
      <c r="H203" s="99"/>
      <c r="I203" s="99"/>
      <c r="J203" s="99"/>
      <c r="K203" s="99"/>
      <c r="L203" s="99"/>
      <c r="M203" s="99"/>
      <c r="N203" s="99"/>
      <c r="O203" s="99"/>
      <c r="P203" s="99"/>
      <c r="Q203" s="8"/>
      <c r="R203" s="8"/>
      <c r="S203" s="8"/>
      <c r="T203" s="8"/>
      <c r="U203" s="8"/>
      <c r="V203" s="8"/>
      <c r="W203" s="8"/>
      <c r="X203" s="8"/>
      <c r="Y203" s="8"/>
      <c r="Z203" s="8"/>
    </row>
    <row r="204" spans="1:26" ht="12.75" customHeight="1">
      <c r="A204" s="117"/>
      <c r="B204" s="117"/>
      <c r="C204" s="117"/>
      <c r="D204" s="118"/>
      <c r="E204" s="99"/>
      <c r="F204" s="118"/>
      <c r="G204" s="99"/>
      <c r="H204" s="99"/>
      <c r="I204" s="99"/>
      <c r="J204" s="99"/>
      <c r="K204" s="99"/>
      <c r="L204" s="99"/>
      <c r="M204" s="99"/>
      <c r="N204" s="99"/>
      <c r="O204" s="99"/>
      <c r="P204" s="99"/>
      <c r="Q204" s="8"/>
      <c r="R204" s="8"/>
      <c r="S204" s="8"/>
      <c r="T204" s="8"/>
      <c r="U204" s="8"/>
      <c r="V204" s="8"/>
      <c r="W204" s="8"/>
      <c r="X204" s="8"/>
      <c r="Y204" s="8"/>
      <c r="Z204" s="8"/>
    </row>
    <row r="205" spans="1:26" ht="12.75" customHeight="1">
      <c r="A205" s="117"/>
      <c r="B205" s="117"/>
      <c r="C205" s="117"/>
      <c r="D205" s="118"/>
      <c r="E205" s="99"/>
      <c r="F205" s="118"/>
      <c r="G205" s="99"/>
      <c r="H205" s="99"/>
      <c r="I205" s="99"/>
      <c r="J205" s="99"/>
      <c r="K205" s="99"/>
      <c r="L205" s="99"/>
      <c r="M205" s="99"/>
      <c r="N205" s="99"/>
      <c r="O205" s="99"/>
      <c r="P205" s="99"/>
      <c r="Q205" s="8"/>
      <c r="R205" s="8"/>
      <c r="S205" s="8"/>
      <c r="T205" s="8"/>
      <c r="U205" s="8"/>
      <c r="V205" s="8"/>
      <c r="W205" s="8"/>
      <c r="X205" s="8"/>
      <c r="Y205" s="8"/>
      <c r="Z205" s="8"/>
    </row>
    <row r="206" spans="1:26" ht="12.75" customHeight="1">
      <c r="A206" s="117"/>
      <c r="B206" s="117"/>
      <c r="C206" s="117"/>
      <c r="D206" s="118"/>
      <c r="E206" s="99"/>
      <c r="F206" s="118"/>
      <c r="G206" s="99"/>
      <c r="H206" s="99"/>
      <c r="I206" s="99"/>
      <c r="J206" s="99"/>
      <c r="K206" s="99"/>
      <c r="L206" s="99"/>
      <c r="M206" s="99"/>
      <c r="N206" s="99"/>
      <c r="O206" s="99"/>
      <c r="P206" s="99"/>
      <c r="Q206" s="8"/>
      <c r="R206" s="8"/>
      <c r="S206" s="8"/>
      <c r="T206" s="8"/>
      <c r="U206" s="8"/>
      <c r="V206" s="8"/>
      <c r="W206" s="8"/>
      <c r="X206" s="8"/>
      <c r="Y206" s="8"/>
      <c r="Z206" s="8"/>
    </row>
    <row r="207" spans="1:26" ht="12.75" customHeight="1">
      <c r="A207" s="117"/>
      <c r="B207" s="117"/>
      <c r="C207" s="117"/>
      <c r="D207" s="118"/>
      <c r="E207" s="99"/>
      <c r="F207" s="118"/>
      <c r="G207" s="99"/>
      <c r="H207" s="99"/>
      <c r="I207" s="99"/>
      <c r="J207" s="99"/>
      <c r="K207" s="99"/>
      <c r="L207" s="99"/>
      <c r="M207" s="99"/>
      <c r="N207" s="99"/>
      <c r="O207" s="99"/>
      <c r="P207" s="99"/>
      <c r="Q207" s="8"/>
      <c r="R207" s="8"/>
      <c r="S207" s="8"/>
      <c r="T207" s="8"/>
      <c r="U207" s="8"/>
      <c r="V207" s="8"/>
      <c r="W207" s="8"/>
      <c r="X207" s="8"/>
      <c r="Y207" s="8"/>
      <c r="Z207" s="8"/>
    </row>
    <row r="208" spans="1:26" ht="12.75" customHeight="1">
      <c r="A208" s="117"/>
      <c r="B208" s="117"/>
      <c r="C208" s="117"/>
      <c r="D208" s="118"/>
      <c r="E208" s="99"/>
      <c r="F208" s="118"/>
      <c r="G208" s="99"/>
      <c r="H208" s="99"/>
      <c r="I208" s="99"/>
      <c r="J208" s="99"/>
      <c r="K208" s="99"/>
      <c r="L208" s="99"/>
      <c r="M208" s="99"/>
      <c r="N208" s="99"/>
      <c r="O208" s="99"/>
      <c r="P208" s="99"/>
      <c r="Q208" s="8"/>
      <c r="R208" s="8"/>
      <c r="S208" s="8"/>
      <c r="T208" s="8"/>
      <c r="U208" s="8"/>
      <c r="V208" s="8"/>
      <c r="W208" s="8"/>
      <c r="X208" s="8"/>
      <c r="Y208" s="8"/>
      <c r="Z208" s="8"/>
    </row>
    <row r="209" spans="1:26" ht="12.75" customHeight="1">
      <c r="A209" s="117"/>
      <c r="B209" s="117"/>
      <c r="C209" s="117"/>
      <c r="D209" s="118"/>
      <c r="E209" s="99"/>
      <c r="F209" s="118"/>
      <c r="G209" s="99"/>
      <c r="H209" s="99"/>
      <c r="I209" s="99"/>
      <c r="J209" s="99"/>
      <c r="K209" s="99"/>
      <c r="L209" s="99"/>
      <c r="M209" s="99"/>
      <c r="N209" s="99"/>
      <c r="O209" s="99"/>
      <c r="P209" s="99"/>
      <c r="Q209" s="8"/>
      <c r="R209" s="8"/>
      <c r="S209" s="8"/>
      <c r="T209" s="8"/>
      <c r="U209" s="8"/>
      <c r="V209" s="8"/>
      <c r="W209" s="8"/>
      <c r="X209" s="8"/>
      <c r="Y209" s="8"/>
      <c r="Z209" s="8"/>
    </row>
    <row r="210" spans="1:26" ht="12.75" customHeight="1">
      <c r="A210" s="117"/>
      <c r="B210" s="117"/>
      <c r="C210" s="117"/>
      <c r="D210" s="118"/>
      <c r="E210" s="99"/>
      <c r="F210" s="118"/>
      <c r="G210" s="99"/>
      <c r="H210" s="99"/>
      <c r="I210" s="99"/>
      <c r="J210" s="99"/>
      <c r="K210" s="99"/>
      <c r="L210" s="99"/>
      <c r="M210" s="99"/>
      <c r="N210" s="99"/>
      <c r="O210" s="99"/>
      <c r="P210" s="99"/>
      <c r="Q210" s="8"/>
      <c r="R210" s="8"/>
      <c r="S210" s="8"/>
      <c r="T210" s="8"/>
      <c r="U210" s="8"/>
      <c r="V210" s="8"/>
      <c r="W210" s="8"/>
      <c r="X210" s="8"/>
      <c r="Y210" s="8"/>
      <c r="Z210" s="8"/>
    </row>
    <row r="211" spans="1:26" ht="12.75" customHeight="1">
      <c r="A211" s="117"/>
      <c r="B211" s="117"/>
      <c r="C211" s="117"/>
      <c r="D211" s="118"/>
      <c r="E211" s="99"/>
      <c r="F211" s="118"/>
      <c r="G211" s="99"/>
      <c r="H211" s="99"/>
      <c r="I211" s="99"/>
      <c r="J211" s="99"/>
      <c r="K211" s="99"/>
      <c r="L211" s="99"/>
      <c r="M211" s="99"/>
      <c r="N211" s="99"/>
      <c r="O211" s="99"/>
      <c r="P211" s="99"/>
      <c r="Q211" s="8"/>
      <c r="R211" s="8"/>
      <c r="S211" s="8"/>
      <c r="T211" s="8"/>
      <c r="U211" s="8"/>
      <c r="V211" s="8"/>
      <c r="W211" s="8"/>
      <c r="X211" s="8"/>
      <c r="Y211" s="8"/>
      <c r="Z211" s="8"/>
    </row>
    <row r="212" spans="1:26" ht="12.75" customHeight="1">
      <c r="A212" s="126"/>
      <c r="B212" s="117"/>
      <c r="C212" s="117"/>
      <c r="D212" s="118"/>
      <c r="E212" s="99"/>
      <c r="F212" s="118"/>
      <c r="G212" s="99"/>
      <c r="H212" s="99"/>
      <c r="I212" s="99"/>
      <c r="J212" s="99"/>
      <c r="K212" s="99"/>
      <c r="L212" s="99"/>
      <c r="M212" s="99"/>
      <c r="N212" s="99"/>
      <c r="O212" s="99"/>
      <c r="P212" s="99"/>
      <c r="Q212" s="8"/>
      <c r="R212" s="8"/>
      <c r="S212" s="8"/>
      <c r="T212" s="8"/>
      <c r="U212" s="8"/>
      <c r="V212" s="8"/>
      <c r="W212" s="8"/>
      <c r="X212" s="8"/>
      <c r="Y212" s="8"/>
      <c r="Z212" s="8"/>
    </row>
    <row r="213" spans="1:26" ht="12.75" customHeight="1">
      <c r="A213" s="127"/>
      <c r="B213" s="128"/>
      <c r="C213" s="117"/>
      <c r="D213" s="42"/>
      <c r="E213" s="99"/>
      <c r="F213" s="118"/>
      <c r="G213" s="99"/>
      <c r="H213" s="99"/>
      <c r="I213" s="99"/>
      <c r="J213" s="99"/>
      <c r="K213" s="99"/>
      <c r="L213" s="99"/>
      <c r="M213" s="99"/>
      <c r="N213" s="99"/>
      <c r="O213" s="99"/>
      <c r="P213" s="99"/>
      <c r="Q213" s="8"/>
      <c r="R213" s="8"/>
      <c r="S213" s="8"/>
      <c r="T213" s="8"/>
      <c r="U213" s="8"/>
      <c r="V213" s="8"/>
      <c r="W213" s="8"/>
      <c r="X213" s="8"/>
      <c r="Y213" s="8"/>
      <c r="Z213" s="8"/>
    </row>
    <row r="214" spans="1:26" ht="12.75" customHeight="1">
      <c r="A214" s="127"/>
      <c r="B214" s="128"/>
      <c r="C214" s="117"/>
      <c r="D214" s="42"/>
      <c r="E214" s="99"/>
      <c r="F214" s="118"/>
      <c r="G214" s="99"/>
      <c r="H214" s="99"/>
      <c r="I214" s="99"/>
      <c r="J214" s="99"/>
      <c r="K214" s="99"/>
      <c r="L214" s="99"/>
      <c r="M214" s="99"/>
      <c r="N214" s="99"/>
      <c r="O214" s="99"/>
      <c r="P214" s="99"/>
      <c r="Q214" s="8"/>
      <c r="R214" s="8"/>
      <c r="S214" s="8"/>
      <c r="T214" s="8"/>
      <c r="U214" s="8"/>
      <c r="V214" s="8"/>
      <c r="W214" s="8"/>
      <c r="X214" s="8"/>
      <c r="Y214" s="8"/>
      <c r="Z214" s="8"/>
    </row>
    <row r="215" spans="1:26" ht="12.75" customHeight="1">
      <c r="A215" s="127"/>
      <c r="B215" s="128"/>
      <c r="C215" s="117"/>
      <c r="D215" s="42"/>
      <c r="E215" s="99"/>
      <c r="F215" s="42"/>
      <c r="G215" s="99"/>
      <c r="H215" s="99"/>
      <c r="I215" s="99"/>
      <c r="J215" s="99"/>
      <c r="K215" s="99"/>
      <c r="L215" s="99"/>
      <c r="M215" s="99"/>
      <c r="N215" s="99"/>
      <c r="O215" s="99"/>
      <c r="P215" s="99"/>
      <c r="Q215" s="8"/>
      <c r="R215" s="8"/>
      <c r="S215" s="8"/>
      <c r="T215" s="8"/>
      <c r="U215" s="8"/>
      <c r="V215" s="8"/>
      <c r="W215" s="8"/>
      <c r="X215" s="8"/>
      <c r="Y215" s="8"/>
      <c r="Z215" s="8"/>
    </row>
    <row r="216" spans="1:26" ht="12.75" customHeight="1">
      <c r="A216" s="127"/>
      <c r="B216" s="128"/>
      <c r="C216" s="117"/>
      <c r="D216" s="42"/>
      <c r="E216" s="99"/>
      <c r="F216" s="42"/>
      <c r="G216" s="99"/>
      <c r="H216" s="99"/>
      <c r="I216" s="99"/>
      <c r="J216" s="99"/>
      <c r="K216" s="99"/>
      <c r="L216" s="99"/>
      <c r="M216" s="99"/>
      <c r="N216" s="99"/>
      <c r="O216" s="99"/>
      <c r="P216" s="99"/>
      <c r="Q216" s="8"/>
      <c r="R216" s="8"/>
      <c r="S216" s="8"/>
      <c r="T216" s="8"/>
      <c r="U216" s="8"/>
      <c r="V216" s="8"/>
      <c r="W216" s="8"/>
      <c r="X216" s="8"/>
      <c r="Y216" s="8"/>
      <c r="Z216" s="8"/>
    </row>
    <row r="217" spans="1:26" ht="12.75" customHeight="1">
      <c r="A217" s="127"/>
      <c r="B217" s="128"/>
      <c r="C217" s="117"/>
      <c r="D217" s="42"/>
      <c r="E217" s="99"/>
      <c r="F217" s="42"/>
      <c r="G217" s="99"/>
      <c r="H217" s="99"/>
      <c r="I217" s="99"/>
      <c r="J217" s="99"/>
      <c r="K217" s="99"/>
      <c r="L217" s="99"/>
      <c r="M217" s="99"/>
      <c r="N217" s="99"/>
      <c r="O217" s="99"/>
      <c r="P217" s="99"/>
      <c r="Q217" s="8"/>
      <c r="R217" s="8"/>
      <c r="S217" s="8"/>
      <c r="T217" s="8"/>
      <c r="U217" s="8"/>
      <c r="V217" s="8"/>
      <c r="W217" s="8"/>
      <c r="X217" s="8"/>
      <c r="Y217" s="8"/>
      <c r="Z217" s="8"/>
    </row>
    <row r="218" spans="1:26" ht="12.75" customHeight="1">
      <c r="A218" s="127"/>
      <c r="B218" s="128"/>
      <c r="C218" s="117"/>
      <c r="D218" s="42"/>
      <c r="E218" s="99"/>
      <c r="F218" s="42"/>
      <c r="G218" s="99"/>
      <c r="H218" s="99"/>
      <c r="I218" s="99"/>
      <c r="J218" s="99"/>
      <c r="K218" s="99"/>
      <c r="L218" s="99"/>
      <c r="M218" s="99"/>
      <c r="N218" s="99"/>
      <c r="O218" s="99"/>
      <c r="P218" s="99"/>
      <c r="Q218" s="8"/>
      <c r="R218" s="8"/>
      <c r="S218" s="8"/>
      <c r="T218" s="8"/>
      <c r="U218" s="8"/>
      <c r="V218" s="8"/>
      <c r="W218" s="8"/>
      <c r="X218" s="8"/>
      <c r="Y218" s="8"/>
      <c r="Z218" s="8"/>
    </row>
    <row r="219" spans="1:26" ht="12.7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2.7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2.7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2.7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2.7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2.7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2.7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2.7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2.7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2.7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2.7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2.7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2.7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2.7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2.7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2.7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2.7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2.7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2.7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2.7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2.7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2.7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2.7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2.7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2.7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2.7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2.7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2.7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2.7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2.7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2.7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2.7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2.7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2.7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2.7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2.7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2.7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2.7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2.7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2.7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2.7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2.7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2.7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2.7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2.7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2.7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2.7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2.7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2.7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2.7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2.7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2.7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2.7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2.7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2.7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2.7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2.7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2.7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2.7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2.7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2.7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2.7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2.7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2.7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2.7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2.7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2.7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2.7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2.7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2.7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2.7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2.7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2.7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2.7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2.7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2.7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2.7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2.7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2.7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2.7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2.7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2.7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2.7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2.7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2.7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2.7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2.7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2.7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2.7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2.7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2.7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2.7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2.7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2.7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2.7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2.7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2.7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2.7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2.7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2.7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2.7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2.7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2.7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2.7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2.7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2.7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2.7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2.7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2.7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2.7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2.7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2.7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2.7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2.7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2.7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2.7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2.7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2.7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2.7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2.7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2.7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2.7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2.7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2.7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2.7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2.7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2.7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2.7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2.7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2.7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2.7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2.7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2.7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2.7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2.7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2.7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2.7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2.7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2.7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2.7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2.7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2.7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2.7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2.7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2.7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2.7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2.7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2.7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2.7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2.7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2.7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2.7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2.7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2.7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2.7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2.7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2.7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2.7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2.7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2.7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2.7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2.7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2.7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2.7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2.7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2.7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2.7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2.7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2.7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2.7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2.7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2.7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2.7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2.7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2.7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2.7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2.7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2.7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2.7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2.7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2.7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2.7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2.7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2.7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2.7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2.7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2.7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2.7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2.7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2.7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2.7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2.7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2.7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2.7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2.7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2.7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2.7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2.7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2.7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2.7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2.7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2.7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2.7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2.7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2.7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2.7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2.7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2.7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2.7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2.7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2.7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2.7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2.7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2.7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2.7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2.7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2.7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2.7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2.7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2.7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2.7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2.7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2.7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2.7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2.7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2.7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2.7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2.7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2.7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2.7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2.7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2.7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2.7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2.7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2.7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2.7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2.7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2.7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2.7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2.7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2.7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2.7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2.7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2.7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2.7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2.7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2.7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2.7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2.7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2.7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2.7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2.7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2.7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2.7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2.7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2.7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2.7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2.7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2.7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2.7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2.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2.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2.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2.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2.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2.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2.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2.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2.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2.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2.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2.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2.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2.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2.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2.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2.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2.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2.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2.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2.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2.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2.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2.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2.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2.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2.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2.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2.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2.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2.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2.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2.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2.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2.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2.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2.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2.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2.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2.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2.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2.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2.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2.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2.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2.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2.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2.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2.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2.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2.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2.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2.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2.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2.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2.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2.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2.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2.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2.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2.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2.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2.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2.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2.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2.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2.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2.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2.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2.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2.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2.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2.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2.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2.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2.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2.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2.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2.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2.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2.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2.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2.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2.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2.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2.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2.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2.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2.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2.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2.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2.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2.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2.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2.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2.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2.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2.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2.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2.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2.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2.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2.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2.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2.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2.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2.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2.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2.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2.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2.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2.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2.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2.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2.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2.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2.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2.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2.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2.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2.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2.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2.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2.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2.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2.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2.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2.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2.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2.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2.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2.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2.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2.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2.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2.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2.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2.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2.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2.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2.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2.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2.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2.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2.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2.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2.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2.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2.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2.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2.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2.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2.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2.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2.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2.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2.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2.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2.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2.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2.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2.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2.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2.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2.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2.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2.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2.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2.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2.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2.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2.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2.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2.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2.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2.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2.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2.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2.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2.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2.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2.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2.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2.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2.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2.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2.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2.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2.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2.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2.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2.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2.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2.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2.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2.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2.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2.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2.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2.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2.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2.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2.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2.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2.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2.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2.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2.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2.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2.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2.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2.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2.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2.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2.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2.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2.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2.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2.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2.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2.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2.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2.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2.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2.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2.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2.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2.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2.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2.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2.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2.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2.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2.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2.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2.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2.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2.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2.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2.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2.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2.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2.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2.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2.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2.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2.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2.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2.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2.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2.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2.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2.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2.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2.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2.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2.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2.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2.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2.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2.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2.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2.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2.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2.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2.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2.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2.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2.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2.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2.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2.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2.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2.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2.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2.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2.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2.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2.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2.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2.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2.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2.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2.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2.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2.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2.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2.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2.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2.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2.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2.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2.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2.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2.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2.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2.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2.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2.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2.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2.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2.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2.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2.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2.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2.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2.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2.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2.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2.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2.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2.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2.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2.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2.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2.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2.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2.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2.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2.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2.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2.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2.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2.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2.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2.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2.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2.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2.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2.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2.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2.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2.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2.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2.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2.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2.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2.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2.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2.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2.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2.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2.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2.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2.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2.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2.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2.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2.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2.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2.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2.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2.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2.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2.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2.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2.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2.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2.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2.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2.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2.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2.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2.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2.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2.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2.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2.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2.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2.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2.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2.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2.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2.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2.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2.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2.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2.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2.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2.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2.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2.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2.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2.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2.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2.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2.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2.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2.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2.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2.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2.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2.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2.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2.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2.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2.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2.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2.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2.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2.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2.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2.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2.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2.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2.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2.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2.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2.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2.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2.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2.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2.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2.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2.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2.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2.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2.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2.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2.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2.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2.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2.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2.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2.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2.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2.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2.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2.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2.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2.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2.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2.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2.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2.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2.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2.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2.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2.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2.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2.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2.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2.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2.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2.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2.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2.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2.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2.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2.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2.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2.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2.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2.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2.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2.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2.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2.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2.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2.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2.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2.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2.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2.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2.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2.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2.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2.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2.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2.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2.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2.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2.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2.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2.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2.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2.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2.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2.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2.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2.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2.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2.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2.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2.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2.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2.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2.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2.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2.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2.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2.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2.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2.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2.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2.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2.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2.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2.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2.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2.7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2.7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2.7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2.7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2.7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2.7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2.7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2.7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2.7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2.7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2.7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2.7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2.7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2.7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2.7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2.7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2.7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2.7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2.7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2.7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2.7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2.7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pageMargins left="0.7" right="0.7" top="0.75" bottom="0.75" header="0" footer="0"/>
  <pageSetup orientation="portrait"/>
  <headerFooter>
    <oddFooter>&amp;C000000&amp;P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showGridLines="0" workbookViewId="0"/>
  </sheetViews>
  <sheetFormatPr defaultColWidth="14.44140625" defaultRowHeight="15" customHeight="1"/>
  <cols>
    <col min="1" max="1" width="10.44140625" customWidth="1"/>
    <col min="2" max="2" width="9.6640625" customWidth="1"/>
    <col min="3" max="5" width="8.6640625" customWidth="1"/>
    <col min="6" max="11" width="10.44140625" customWidth="1"/>
    <col min="12" max="26" width="8.88671875" customWidth="1"/>
  </cols>
  <sheetData>
    <row r="1" spans="1:26" ht="12.75" customHeight="1">
      <c r="A1" s="119" t="s">
        <v>143</v>
      </c>
      <c r="B1" s="119" t="s">
        <v>144</v>
      </c>
      <c r="C1" s="119" t="s">
        <v>144</v>
      </c>
      <c r="D1" s="119" t="s">
        <v>145</v>
      </c>
      <c r="E1" s="119" t="s">
        <v>145</v>
      </c>
      <c r="F1" s="119" t="s">
        <v>146</v>
      </c>
      <c r="G1" s="119" t="s">
        <v>146</v>
      </c>
      <c r="H1" s="99"/>
      <c r="I1" s="99"/>
      <c r="J1" s="99"/>
      <c r="K1" s="99"/>
      <c r="L1" s="99"/>
      <c r="M1" s="99"/>
      <c r="N1" s="99"/>
      <c r="O1" s="99"/>
      <c r="P1" s="99"/>
      <c r="Q1" s="99"/>
      <c r="R1" s="99"/>
      <c r="S1" s="8"/>
      <c r="T1" s="8"/>
      <c r="U1" s="8"/>
      <c r="V1" s="8"/>
      <c r="W1" s="8"/>
      <c r="X1" s="8"/>
      <c r="Y1" s="8"/>
      <c r="Z1" s="8"/>
    </row>
    <row r="2" spans="1:26" ht="15.75" customHeight="1">
      <c r="A2" s="120" t="s">
        <v>147</v>
      </c>
      <c r="B2" s="121">
        <v>2019</v>
      </c>
      <c r="C2" s="122" t="s">
        <v>148</v>
      </c>
      <c r="D2" s="121">
        <v>2019</v>
      </c>
      <c r="E2" s="122" t="s">
        <v>148</v>
      </c>
      <c r="F2" s="121">
        <v>2019</v>
      </c>
      <c r="G2" s="122" t="s">
        <v>148</v>
      </c>
      <c r="H2" s="99"/>
      <c r="I2" s="99"/>
      <c r="J2" s="99"/>
      <c r="K2" s="99"/>
      <c r="L2" s="99"/>
      <c r="M2" s="99"/>
      <c r="N2" s="99"/>
      <c r="O2" s="99"/>
      <c r="P2" s="99"/>
      <c r="Q2" s="99"/>
      <c r="R2" s="99"/>
      <c r="S2" s="8"/>
      <c r="T2" s="8"/>
      <c r="U2" s="8"/>
      <c r="V2" s="8"/>
      <c r="W2" s="8"/>
      <c r="X2" s="8"/>
      <c r="Y2" s="8"/>
      <c r="Z2" s="8"/>
    </row>
    <row r="3" spans="1:26" ht="12.75" customHeight="1">
      <c r="A3" s="99"/>
      <c r="B3" s="123"/>
      <c r="C3" s="123"/>
      <c r="D3" s="99"/>
      <c r="E3" s="99"/>
      <c r="F3" s="99"/>
      <c r="G3" s="99"/>
      <c r="H3" s="99"/>
      <c r="I3" s="99"/>
      <c r="J3" s="99"/>
      <c r="K3" s="99"/>
      <c r="L3" s="99"/>
      <c r="M3" s="99"/>
      <c r="N3" s="99"/>
      <c r="O3" s="99"/>
      <c r="P3" s="99"/>
      <c r="Q3" s="99"/>
      <c r="R3" s="99"/>
      <c r="S3" s="8"/>
      <c r="T3" s="8"/>
      <c r="U3" s="8"/>
      <c r="V3" s="8"/>
      <c r="W3" s="8"/>
      <c r="X3" s="8"/>
      <c r="Y3" s="8"/>
      <c r="Z3" s="8"/>
    </row>
    <row r="4" spans="1:26" ht="12.75" customHeight="1">
      <c r="A4" s="124">
        <v>43576</v>
      </c>
      <c r="B4" s="125">
        <v>1</v>
      </c>
      <c r="C4" s="125">
        <v>2</v>
      </c>
      <c r="D4" s="125"/>
      <c r="E4" s="125"/>
      <c r="F4" s="125"/>
      <c r="G4" s="125"/>
      <c r="H4" s="99"/>
      <c r="I4" s="99"/>
      <c r="J4" s="99"/>
      <c r="K4" s="99"/>
      <c r="L4" s="99"/>
      <c r="M4" s="99"/>
      <c r="N4" s="99"/>
      <c r="O4" s="99"/>
      <c r="P4" s="99"/>
      <c r="Q4" s="99"/>
      <c r="R4" s="99"/>
      <c r="S4" s="8"/>
      <c r="T4" s="8"/>
      <c r="U4" s="8"/>
      <c r="V4" s="8"/>
      <c r="W4" s="8"/>
      <c r="X4" s="8"/>
      <c r="Y4" s="8"/>
      <c r="Z4" s="8"/>
    </row>
    <row r="5" spans="1:26" ht="12.75" customHeight="1">
      <c r="A5" s="124">
        <v>43583</v>
      </c>
      <c r="B5" s="125">
        <v>3</v>
      </c>
      <c r="C5" s="125">
        <v>6</v>
      </c>
      <c r="D5" s="125"/>
      <c r="E5" s="125"/>
      <c r="F5" s="125"/>
      <c r="G5" s="125"/>
      <c r="H5" s="99"/>
      <c r="I5" s="99"/>
      <c r="J5" s="99"/>
      <c r="K5" s="99"/>
      <c r="L5" s="99"/>
      <c r="M5" s="99"/>
      <c r="N5" s="99"/>
      <c r="O5" s="99"/>
      <c r="P5" s="99"/>
      <c r="Q5" s="99"/>
      <c r="R5" s="99"/>
      <c r="S5" s="8"/>
      <c r="T5" s="8"/>
      <c r="U5" s="8"/>
      <c r="V5" s="8"/>
      <c r="W5" s="8"/>
      <c r="X5" s="8"/>
      <c r="Y5" s="8"/>
      <c r="Z5" s="8"/>
    </row>
    <row r="6" spans="1:26" ht="12.75" customHeight="1">
      <c r="A6" s="124">
        <v>43590</v>
      </c>
      <c r="B6" s="125">
        <v>6</v>
      </c>
      <c r="C6" s="125">
        <v>14</v>
      </c>
      <c r="D6" s="125"/>
      <c r="E6" s="125"/>
      <c r="F6" s="125"/>
      <c r="G6" s="125"/>
      <c r="H6" s="99"/>
      <c r="I6" s="99"/>
      <c r="J6" s="99"/>
      <c r="K6" s="99"/>
      <c r="L6" s="99"/>
      <c r="M6" s="99"/>
      <c r="N6" s="99"/>
      <c r="O6" s="99"/>
      <c r="P6" s="99"/>
      <c r="Q6" s="99"/>
      <c r="R6" s="99"/>
      <c r="S6" s="8"/>
      <c r="T6" s="8"/>
      <c r="U6" s="8"/>
      <c r="V6" s="8"/>
      <c r="W6" s="8"/>
      <c r="X6" s="8"/>
      <c r="Y6" s="8"/>
      <c r="Z6" s="8"/>
    </row>
    <row r="7" spans="1:26" ht="12.75" customHeight="1">
      <c r="A7" s="124">
        <v>43597</v>
      </c>
      <c r="B7" s="125">
        <v>9</v>
      </c>
      <c r="C7" s="125">
        <v>29</v>
      </c>
      <c r="D7" s="125"/>
      <c r="E7" s="125"/>
      <c r="F7" s="125"/>
      <c r="G7" s="125"/>
      <c r="H7" s="99"/>
      <c r="I7" s="99"/>
      <c r="J7" s="99"/>
      <c r="K7" s="99"/>
      <c r="L7" s="99"/>
      <c r="M7" s="99"/>
      <c r="N7" s="99"/>
      <c r="O7" s="99"/>
      <c r="P7" s="99"/>
      <c r="Q7" s="99"/>
      <c r="R7" s="99"/>
      <c r="S7" s="8"/>
      <c r="T7" s="8"/>
      <c r="U7" s="8"/>
      <c r="V7" s="8"/>
      <c r="W7" s="8"/>
      <c r="X7" s="8"/>
      <c r="Y7" s="8"/>
      <c r="Z7" s="8"/>
    </row>
    <row r="8" spans="1:26" ht="12.75" customHeight="1">
      <c r="A8" s="124">
        <v>43604</v>
      </c>
      <c r="B8" s="125">
        <v>19</v>
      </c>
      <c r="C8" s="125">
        <v>47</v>
      </c>
      <c r="D8" s="125"/>
      <c r="E8" s="125"/>
      <c r="F8" s="125"/>
      <c r="G8" s="125"/>
      <c r="H8" s="99"/>
      <c r="I8" s="99"/>
      <c r="J8" s="99"/>
      <c r="K8" s="99"/>
      <c r="L8" s="99"/>
      <c r="M8" s="99"/>
      <c r="N8" s="99"/>
      <c r="O8" s="99"/>
      <c r="P8" s="99"/>
      <c r="Q8" s="99"/>
      <c r="R8" s="99"/>
      <c r="S8" s="8"/>
      <c r="T8" s="8"/>
      <c r="U8" s="8"/>
      <c r="V8" s="8"/>
      <c r="W8" s="8"/>
      <c r="X8" s="8"/>
      <c r="Y8" s="8"/>
      <c r="Z8" s="8"/>
    </row>
    <row r="9" spans="1:26" ht="12.75" customHeight="1">
      <c r="A9" s="124">
        <v>43611</v>
      </c>
      <c r="B9" s="125">
        <v>29</v>
      </c>
      <c r="C9" s="125">
        <v>66</v>
      </c>
      <c r="D9" s="125"/>
      <c r="E9" s="125"/>
      <c r="F9" s="125"/>
      <c r="G9" s="125"/>
      <c r="H9" s="99"/>
      <c r="I9" s="99"/>
      <c r="J9" s="99"/>
      <c r="K9" s="99"/>
      <c r="L9" s="99"/>
      <c r="M9" s="99"/>
      <c r="N9" s="99"/>
      <c r="O9" s="99"/>
      <c r="P9" s="99"/>
      <c r="Q9" s="99"/>
      <c r="R9" s="99"/>
      <c r="S9" s="8"/>
      <c r="T9" s="8"/>
      <c r="U9" s="8"/>
      <c r="V9" s="8"/>
      <c r="W9" s="8"/>
      <c r="X9" s="8"/>
      <c r="Y9" s="8"/>
      <c r="Z9" s="8"/>
    </row>
    <row r="10" spans="1:26" ht="12.75" customHeight="1">
      <c r="A10" s="124">
        <v>43618</v>
      </c>
      <c r="B10" s="125">
        <v>39</v>
      </c>
      <c r="C10" s="125">
        <v>79</v>
      </c>
      <c r="D10" s="125"/>
      <c r="E10" s="125"/>
      <c r="F10" s="125"/>
      <c r="G10" s="125"/>
      <c r="H10" s="99"/>
      <c r="I10" s="99"/>
      <c r="J10" s="99"/>
      <c r="K10" s="99"/>
      <c r="L10" s="99"/>
      <c r="M10" s="99"/>
      <c r="N10" s="99"/>
      <c r="O10" s="99"/>
      <c r="P10" s="99"/>
      <c r="Q10" s="99"/>
      <c r="R10" s="99"/>
      <c r="S10" s="8"/>
      <c r="T10" s="8"/>
      <c r="U10" s="8"/>
      <c r="V10" s="8"/>
      <c r="W10" s="8"/>
      <c r="X10" s="8"/>
      <c r="Y10" s="8"/>
      <c r="Z10" s="8"/>
    </row>
    <row r="11" spans="1:26" ht="12.75" customHeight="1">
      <c r="A11" s="124">
        <v>43625</v>
      </c>
      <c r="B11" s="125">
        <v>60</v>
      </c>
      <c r="C11" s="125">
        <v>88</v>
      </c>
      <c r="D11" s="125"/>
      <c r="E11" s="125"/>
      <c r="F11" s="125"/>
      <c r="G11" s="125"/>
      <c r="H11" s="99"/>
      <c r="I11" s="99"/>
      <c r="J11" s="99"/>
      <c r="K11" s="99"/>
      <c r="L11" s="99"/>
      <c r="M11" s="99"/>
      <c r="N11" s="99"/>
      <c r="O11" s="99"/>
      <c r="P11" s="99"/>
      <c r="Q11" s="99"/>
      <c r="R11" s="99"/>
      <c r="S11" s="8"/>
      <c r="T11" s="8"/>
      <c r="U11" s="8"/>
      <c r="V11" s="8"/>
      <c r="W11" s="8"/>
      <c r="X11" s="8"/>
      <c r="Y11" s="8"/>
      <c r="Z11" s="8"/>
    </row>
    <row r="12" spans="1:26" ht="12.75" customHeight="1">
      <c r="A12" s="124">
        <v>43632</v>
      </c>
      <c r="B12" s="125">
        <v>77</v>
      </c>
      <c r="C12" s="125">
        <v>93</v>
      </c>
      <c r="D12" s="125"/>
      <c r="E12" s="125"/>
      <c r="F12" s="125"/>
      <c r="G12" s="125"/>
      <c r="H12" s="99"/>
      <c r="I12" s="99"/>
      <c r="J12" s="99"/>
      <c r="K12" s="99"/>
      <c r="L12" s="99"/>
      <c r="M12" s="99"/>
      <c r="N12" s="99"/>
      <c r="O12" s="99"/>
      <c r="P12" s="99"/>
      <c r="Q12" s="99"/>
      <c r="R12" s="99"/>
      <c r="S12" s="8"/>
      <c r="T12" s="8"/>
      <c r="U12" s="8"/>
      <c r="V12" s="8"/>
      <c r="W12" s="8"/>
      <c r="X12" s="8"/>
      <c r="Y12" s="8"/>
      <c r="Z12" s="8"/>
    </row>
    <row r="13" spans="1:26" ht="12.75" customHeight="1">
      <c r="A13" s="124">
        <v>43639</v>
      </c>
      <c r="B13" s="125">
        <v>85</v>
      </c>
      <c r="C13" s="125">
        <v>97</v>
      </c>
      <c r="D13" s="125"/>
      <c r="E13" s="125"/>
      <c r="F13" s="125"/>
      <c r="G13" s="125"/>
      <c r="H13" s="99"/>
      <c r="I13" s="99"/>
      <c r="J13" s="99"/>
      <c r="K13" s="99"/>
      <c r="L13" s="99"/>
      <c r="M13" s="99"/>
      <c r="N13" s="99"/>
      <c r="O13" s="99"/>
      <c r="P13" s="99"/>
      <c r="Q13" s="99"/>
      <c r="R13" s="99"/>
      <c r="S13" s="8"/>
      <c r="T13" s="8"/>
      <c r="U13" s="8"/>
      <c r="V13" s="8"/>
      <c r="W13" s="8"/>
      <c r="X13" s="8"/>
      <c r="Y13" s="8"/>
      <c r="Z13" s="8"/>
    </row>
    <row r="14" spans="1:26" ht="12.75" customHeight="1">
      <c r="A14" s="124">
        <v>43646</v>
      </c>
      <c r="B14" s="125">
        <v>92</v>
      </c>
      <c r="C14" s="125">
        <v>99</v>
      </c>
      <c r="D14" s="125"/>
      <c r="E14" s="125"/>
      <c r="F14" s="125"/>
      <c r="G14" s="125"/>
      <c r="H14" s="99"/>
      <c r="I14" s="99"/>
      <c r="J14" s="99"/>
      <c r="K14" s="99"/>
      <c r="L14" s="99"/>
      <c r="M14" s="99"/>
      <c r="N14" s="99"/>
      <c r="O14" s="99"/>
      <c r="P14" s="99"/>
      <c r="Q14" s="99"/>
      <c r="R14" s="99"/>
      <c r="S14" s="8"/>
      <c r="T14" s="8"/>
      <c r="U14" s="8"/>
      <c r="V14" s="8"/>
      <c r="W14" s="8"/>
      <c r="X14" s="8"/>
      <c r="Y14" s="8"/>
      <c r="Z14" s="8"/>
    </row>
    <row r="15" spans="1:26" ht="12.75" customHeight="1">
      <c r="A15" s="124">
        <v>43653</v>
      </c>
      <c r="B15" s="125">
        <v>96</v>
      </c>
      <c r="C15" s="125">
        <v>99</v>
      </c>
      <c r="D15" s="125">
        <v>10</v>
      </c>
      <c r="E15" s="125">
        <v>32</v>
      </c>
      <c r="F15" s="125"/>
      <c r="G15" s="125"/>
      <c r="H15" s="99"/>
      <c r="I15" s="99"/>
      <c r="J15" s="99"/>
      <c r="K15" s="99"/>
      <c r="L15" s="99"/>
      <c r="M15" s="99"/>
      <c r="N15" s="99"/>
      <c r="O15" s="99"/>
      <c r="P15" s="99"/>
      <c r="Q15" s="99"/>
      <c r="R15" s="99"/>
      <c r="S15" s="8"/>
      <c r="T15" s="8"/>
      <c r="U15" s="8"/>
      <c r="V15" s="8"/>
      <c r="W15" s="8"/>
      <c r="X15" s="8"/>
      <c r="Y15" s="8"/>
      <c r="Z15" s="8"/>
    </row>
    <row r="16" spans="1:26" ht="12.75" customHeight="1">
      <c r="A16" s="124">
        <v>43660</v>
      </c>
      <c r="B16" s="125"/>
      <c r="C16" s="125"/>
      <c r="D16" s="125">
        <v>22</v>
      </c>
      <c r="E16" s="125">
        <v>49</v>
      </c>
      <c r="F16" s="125"/>
      <c r="G16" s="125"/>
      <c r="H16" s="99"/>
      <c r="I16" s="99"/>
      <c r="J16" s="99"/>
      <c r="K16" s="99"/>
      <c r="L16" s="99"/>
      <c r="M16" s="99"/>
      <c r="N16" s="99"/>
      <c r="O16" s="99"/>
      <c r="P16" s="99"/>
      <c r="Q16" s="99"/>
      <c r="R16" s="99"/>
      <c r="S16" s="8"/>
      <c r="T16" s="8"/>
      <c r="U16" s="8"/>
      <c r="V16" s="8"/>
      <c r="W16" s="8"/>
      <c r="X16" s="8"/>
      <c r="Y16" s="8"/>
      <c r="Z16" s="8"/>
    </row>
    <row r="17" spans="1:26" ht="12.75" customHeight="1">
      <c r="A17" s="124">
        <v>43667</v>
      </c>
      <c r="B17" s="125"/>
      <c r="C17" s="125"/>
      <c r="D17" s="125">
        <v>40</v>
      </c>
      <c r="E17" s="125">
        <v>66</v>
      </c>
      <c r="F17" s="125">
        <v>7</v>
      </c>
      <c r="G17" s="125">
        <v>28</v>
      </c>
      <c r="H17" s="99"/>
      <c r="I17" s="99"/>
      <c r="J17" s="99"/>
      <c r="K17" s="99"/>
      <c r="L17" s="99"/>
      <c r="M17" s="99"/>
      <c r="N17" s="99"/>
      <c r="O17" s="99"/>
      <c r="P17" s="99"/>
      <c r="Q17" s="99"/>
      <c r="R17" s="99"/>
      <c r="S17" s="8"/>
      <c r="T17" s="8"/>
      <c r="U17" s="8"/>
      <c r="V17" s="8"/>
      <c r="W17" s="8"/>
      <c r="X17" s="8"/>
      <c r="Y17" s="8"/>
      <c r="Z17" s="8"/>
    </row>
    <row r="18" spans="1:26" ht="12.75" customHeight="1">
      <c r="A18" s="124">
        <v>43674</v>
      </c>
      <c r="B18" s="125"/>
      <c r="C18" s="125"/>
      <c r="D18" s="125">
        <v>57</v>
      </c>
      <c r="E18" s="125">
        <v>79</v>
      </c>
      <c r="F18" s="125">
        <v>21</v>
      </c>
      <c r="G18" s="125">
        <v>45</v>
      </c>
      <c r="H18" s="99"/>
      <c r="I18" s="99"/>
      <c r="J18" s="99"/>
      <c r="K18" s="99"/>
      <c r="L18" s="99"/>
      <c r="M18" s="99"/>
      <c r="N18" s="99"/>
      <c r="O18" s="99"/>
      <c r="P18" s="99"/>
      <c r="Q18" s="99"/>
      <c r="R18" s="99"/>
      <c r="S18" s="8"/>
      <c r="T18" s="8"/>
      <c r="U18" s="8"/>
      <c r="V18" s="8"/>
      <c r="W18" s="8"/>
      <c r="X18" s="8"/>
      <c r="Y18" s="8"/>
      <c r="Z18" s="8"/>
    </row>
    <row r="19" spans="1:26" ht="12.75" customHeight="1">
      <c r="A19" s="124">
        <v>43681</v>
      </c>
      <c r="B19" s="129"/>
      <c r="C19" s="129"/>
      <c r="D19" s="125">
        <v>72</v>
      </c>
      <c r="E19" s="125">
        <v>87</v>
      </c>
      <c r="F19" s="125">
        <v>37</v>
      </c>
      <c r="G19" s="125">
        <v>63</v>
      </c>
      <c r="H19" s="99"/>
      <c r="I19" s="99"/>
      <c r="J19" s="99"/>
      <c r="K19" s="99"/>
      <c r="L19" s="99"/>
      <c r="M19" s="99"/>
      <c r="N19" s="99"/>
      <c r="O19" s="99"/>
      <c r="P19" s="99"/>
      <c r="Q19" s="99"/>
      <c r="R19" s="99"/>
      <c r="S19" s="8"/>
      <c r="T19" s="8"/>
      <c r="U19" s="8"/>
      <c r="V19" s="8"/>
      <c r="W19" s="8"/>
      <c r="X19" s="8"/>
      <c r="Y19" s="8"/>
      <c r="Z19" s="8"/>
    </row>
    <row r="20" spans="1:26" ht="12.75" customHeight="1">
      <c r="A20" s="124">
        <v>43688</v>
      </c>
      <c r="B20" s="129"/>
      <c r="C20" s="129"/>
      <c r="D20" s="125">
        <v>82</v>
      </c>
      <c r="E20" s="125">
        <v>93</v>
      </c>
      <c r="F20" s="125">
        <v>54</v>
      </c>
      <c r="G20" s="125">
        <v>76</v>
      </c>
      <c r="H20" s="99"/>
      <c r="I20" s="99"/>
      <c r="J20" s="99"/>
      <c r="K20" s="99"/>
      <c r="L20" s="99"/>
      <c r="M20" s="99"/>
      <c r="N20" s="99"/>
      <c r="O20" s="99"/>
      <c r="P20" s="99"/>
      <c r="Q20" s="99"/>
      <c r="R20" s="99"/>
      <c r="S20" s="8"/>
      <c r="T20" s="8"/>
      <c r="U20" s="8"/>
      <c r="V20" s="8"/>
      <c r="W20" s="8"/>
      <c r="X20" s="8"/>
      <c r="Y20" s="8"/>
      <c r="Z20" s="8"/>
    </row>
    <row r="21" spans="1:26" ht="12.75" customHeight="1">
      <c r="A21" s="99"/>
      <c r="B21" s="129"/>
      <c r="C21" s="129"/>
      <c r="D21" s="118"/>
      <c r="E21" s="118"/>
      <c r="F21" s="99"/>
      <c r="G21" s="99"/>
      <c r="H21" s="99"/>
      <c r="I21" s="99"/>
      <c r="J21" s="99"/>
      <c r="K21" s="99"/>
      <c r="L21" s="99"/>
      <c r="M21" s="99"/>
      <c r="N21" s="99"/>
      <c r="O21" s="99"/>
      <c r="P21" s="99"/>
      <c r="Q21" s="99"/>
      <c r="R21" s="99"/>
      <c r="S21" s="8"/>
      <c r="T21" s="8"/>
      <c r="U21" s="8"/>
      <c r="V21" s="8"/>
      <c r="W21" s="8"/>
      <c r="X21" s="8"/>
      <c r="Y21" s="8"/>
      <c r="Z21" s="8"/>
    </row>
    <row r="22" spans="1:26" ht="12.75" customHeight="1">
      <c r="A22" s="99"/>
      <c r="B22" s="129"/>
      <c r="C22" s="129"/>
      <c r="D22" s="118"/>
      <c r="E22" s="118"/>
      <c r="F22" s="99"/>
      <c r="G22" s="99"/>
      <c r="H22" s="99"/>
      <c r="I22" s="99"/>
      <c r="J22" s="99"/>
      <c r="K22" s="99"/>
      <c r="L22" s="99"/>
      <c r="M22" s="99"/>
      <c r="N22" s="99"/>
      <c r="O22" s="99"/>
      <c r="P22" s="99"/>
      <c r="Q22" s="99"/>
      <c r="R22" s="99"/>
      <c r="S22" s="8"/>
      <c r="T22" s="8"/>
      <c r="U22" s="8"/>
      <c r="V22" s="8"/>
      <c r="W22" s="8"/>
      <c r="X22" s="8"/>
      <c r="Y22" s="8"/>
      <c r="Z22" s="8"/>
    </row>
    <row r="23" spans="1:26" ht="12.75" customHeight="1">
      <c r="A23" s="99"/>
      <c r="B23" s="129"/>
      <c r="C23" s="129"/>
      <c r="D23" s="118"/>
      <c r="E23" s="118"/>
      <c r="F23" s="99"/>
      <c r="G23" s="99"/>
      <c r="H23" s="99"/>
      <c r="I23" s="99"/>
      <c r="J23" s="99"/>
      <c r="K23" s="99"/>
      <c r="L23" s="99"/>
      <c r="M23" s="99"/>
      <c r="N23" s="99"/>
      <c r="O23" s="99"/>
      <c r="P23" s="99"/>
      <c r="Q23" s="99"/>
      <c r="R23" s="99"/>
      <c r="S23" s="8"/>
      <c r="T23" s="8"/>
      <c r="U23" s="8"/>
      <c r="V23" s="8"/>
      <c r="W23" s="8"/>
      <c r="X23" s="8"/>
      <c r="Y23" s="8"/>
      <c r="Z23" s="8"/>
    </row>
    <row r="24" spans="1:26" ht="12.75" customHeight="1">
      <c r="A24" s="99"/>
      <c r="B24" s="129"/>
      <c r="C24" s="129"/>
      <c r="D24" s="118"/>
      <c r="E24" s="118"/>
      <c r="F24" s="99"/>
      <c r="G24" s="99"/>
      <c r="H24" s="99"/>
      <c r="I24" s="99"/>
      <c r="J24" s="99"/>
      <c r="K24" s="99"/>
      <c r="L24" s="99"/>
      <c r="M24" s="99"/>
      <c r="N24" s="99"/>
      <c r="O24" s="99"/>
      <c r="P24" s="99"/>
      <c r="Q24" s="99"/>
      <c r="R24" s="99"/>
      <c r="S24" s="8"/>
      <c r="T24" s="8"/>
      <c r="U24" s="8"/>
      <c r="V24" s="8"/>
      <c r="W24" s="8"/>
      <c r="X24" s="8"/>
      <c r="Y24" s="8"/>
      <c r="Z24" s="8"/>
    </row>
    <row r="25" spans="1:26" ht="12.75" customHeight="1">
      <c r="A25" s="99"/>
      <c r="B25" s="129"/>
      <c r="C25" s="129"/>
      <c r="D25" s="118"/>
      <c r="E25" s="118"/>
      <c r="F25" s="99"/>
      <c r="G25" s="99"/>
      <c r="H25" s="99"/>
      <c r="I25" s="99"/>
      <c r="J25" s="99"/>
      <c r="K25" s="99"/>
      <c r="L25" s="99"/>
      <c r="M25" s="99"/>
      <c r="N25" s="99"/>
      <c r="O25" s="99"/>
      <c r="P25" s="99"/>
      <c r="Q25" s="99"/>
      <c r="R25" s="99"/>
      <c r="S25" s="8"/>
      <c r="T25" s="8"/>
      <c r="U25" s="8"/>
      <c r="V25" s="8"/>
      <c r="W25" s="8"/>
      <c r="X25" s="8"/>
      <c r="Y25" s="8"/>
      <c r="Z25" s="8"/>
    </row>
    <row r="26" spans="1:26" ht="12.75" customHeight="1">
      <c r="A26" s="99"/>
      <c r="B26" s="99"/>
      <c r="C26" s="129"/>
      <c r="D26" s="118"/>
      <c r="E26" s="118"/>
      <c r="F26" s="99"/>
      <c r="G26" s="99"/>
      <c r="H26" s="99"/>
      <c r="I26" s="99"/>
      <c r="J26" s="99"/>
      <c r="K26" s="99"/>
      <c r="L26" s="99"/>
      <c r="M26" s="99"/>
      <c r="N26" s="99"/>
      <c r="O26" s="99"/>
      <c r="P26" s="99"/>
      <c r="Q26" s="99"/>
      <c r="R26" s="99"/>
      <c r="S26" s="8"/>
      <c r="T26" s="8"/>
      <c r="U26" s="8"/>
      <c r="V26" s="8"/>
      <c r="W26" s="8"/>
      <c r="X26" s="8"/>
      <c r="Y26" s="8"/>
      <c r="Z26" s="8"/>
    </row>
    <row r="27" spans="1:26" ht="12.75" customHeight="1">
      <c r="A27" s="99"/>
      <c r="B27" s="99"/>
      <c r="C27" s="129"/>
      <c r="D27" s="118"/>
      <c r="E27" s="118"/>
      <c r="F27" s="99"/>
      <c r="G27" s="99"/>
      <c r="H27" s="99"/>
      <c r="I27" s="99"/>
      <c r="J27" s="99"/>
      <c r="K27" s="99"/>
      <c r="L27" s="99"/>
      <c r="M27" s="99"/>
      <c r="N27" s="99"/>
      <c r="O27" s="99"/>
      <c r="P27" s="99"/>
      <c r="Q27" s="99"/>
      <c r="R27" s="99"/>
      <c r="S27" s="8"/>
      <c r="T27" s="8"/>
      <c r="U27" s="8"/>
      <c r="V27" s="8"/>
      <c r="W27" s="8"/>
      <c r="X27" s="8"/>
      <c r="Y27" s="8"/>
      <c r="Z27" s="8"/>
    </row>
    <row r="28" spans="1:26" ht="12.75" customHeight="1">
      <c r="A28" s="99"/>
      <c r="B28" s="99"/>
      <c r="C28" s="129"/>
      <c r="D28" s="118"/>
      <c r="E28" s="118"/>
      <c r="F28" s="99"/>
      <c r="G28" s="99"/>
      <c r="H28" s="99"/>
      <c r="I28" s="99"/>
      <c r="J28" s="99"/>
      <c r="K28" s="99"/>
      <c r="L28" s="99"/>
      <c r="M28" s="99"/>
      <c r="N28" s="99"/>
      <c r="O28" s="99"/>
      <c r="P28" s="99"/>
      <c r="Q28" s="99"/>
      <c r="R28" s="99"/>
      <c r="S28" s="8"/>
      <c r="T28" s="8"/>
      <c r="U28" s="8"/>
      <c r="V28" s="8"/>
      <c r="W28" s="8"/>
      <c r="X28" s="8"/>
      <c r="Y28" s="8"/>
      <c r="Z28" s="8"/>
    </row>
    <row r="29" spans="1:26" ht="12.75" customHeight="1">
      <c r="A29" s="99"/>
      <c r="B29" s="99"/>
      <c r="C29" s="129"/>
      <c r="D29" s="118"/>
      <c r="E29" s="118"/>
      <c r="F29" s="99"/>
      <c r="G29" s="99"/>
      <c r="H29" s="99"/>
      <c r="I29" s="99"/>
      <c r="J29" s="99"/>
      <c r="K29" s="99"/>
      <c r="L29" s="99"/>
      <c r="M29" s="99"/>
      <c r="N29" s="99"/>
      <c r="O29" s="99"/>
      <c r="P29" s="99"/>
      <c r="Q29" s="99"/>
      <c r="R29" s="99"/>
      <c r="S29" s="8"/>
      <c r="T29" s="8"/>
      <c r="U29" s="8"/>
      <c r="V29" s="8"/>
      <c r="W29" s="8"/>
      <c r="X29" s="8"/>
      <c r="Y29" s="8"/>
      <c r="Z29" s="8"/>
    </row>
    <row r="30" spans="1:26" ht="12.75" customHeight="1">
      <c r="A30" s="99"/>
      <c r="B30" s="99"/>
      <c r="C30" s="129"/>
      <c r="D30" s="118"/>
      <c r="E30" s="118"/>
      <c r="F30" s="99"/>
      <c r="G30" s="99"/>
      <c r="H30" s="99"/>
      <c r="I30" s="99"/>
      <c r="J30" s="99"/>
      <c r="K30" s="99"/>
      <c r="L30" s="99"/>
      <c r="M30" s="99"/>
      <c r="N30" s="99"/>
      <c r="O30" s="99"/>
      <c r="P30" s="99"/>
      <c r="Q30" s="99"/>
      <c r="R30" s="99"/>
      <c r="S30" s="8"/>
      <c r="T30" s="8"/>
      <c r="U30" s="8"/>
      <c r="V30" s="8"/>
      <c r="W30" s="8"/>
      <c r="X30" s="8"/>
      <c r="Y30" s="8"/>
      <c r="Z30" s="8"/>
    </row>
    <row r="31" spans="1:26" ht="12.75" customHeight="1">
      <c r="A31" s="99"/>
      <c r="B31" s="99"/>
      <c r="C31" s="129"/>
      <c r="D31" s="99"/>
      <c r="E31" s="99"/>
      <c r="F31" s="99"/>
      <c r="G31" s="99"/>
      <c r="H31" s="99"/>
      <c r="I31" s="99"/>
      <c r="J31" s="99"/>
      <c r="K31" s="99"/>
      <c r="L31" s="99"/>
      <c r="M31" s="99"/>
      <c r="N31" s="99"/>
      <c r="O31" s="99"/>
      <c r="P31" s="99"/>
      <c r="Q31" s="99"/>
      <c r="R31" s="99"/>
      <c r="S31" s="8"/>
      <c r="T31" s="8"/>
      <c r="U31" s="8"/>
      <c r="V31" s="8"/>
      <c r="W31" s="8"/>
      <c r="X31" s="8"/>
      <c r="Y31" s="8"/>
      <c r="Z31" s="8"/>
    </row>
    <row r="32" spans="1:26" ht="12.75" customHeight="1">
      <c r="A32" s="99"/>
      <c r="B32" s="99"/>
      <c r="C32" s="129"/>
      <c r="D32" s="99"/>
      <c r="E32" s="99"/>
      <c r="F32" s="99"/>
      <c r="G32" s="99"/>
      <c r="H32" s="99"/>
      <c r="I32" s="99"/>
      <c r="J32" s="99"/>
      <c r="K32" s="99"/>
      <c r="L32" s="99"/>
      <c r="M32" s="99"/>
      <c r="N32" s="99"/>
      <c r="O32" s="99"/>
      <c r="P32" s="99"/>
      <c r="Q32" s="99"/>
      <c r="R32" s="99"/>
      <c r="S32" s="8"/>
      <c r="T32" s="8"/>
      <c r="U32" s="8"/>
      <c r="V32" s="8"/>
      <c r="W32" s="8"/>
      <c r="X32" s="8"/>
      <c r="Y32" s="8"/>
      <c r="Z32" s="8"/>
    </row>
    <row r="33" spans="1:26" ht="12.75" customHeight="1">
      <c r="A33" s="99"/>
      <c r="B33" s="99"/>
      <c r="C33" s="129"/>
      <c r="D33" s="99"/>
      <c r="E33" s="99"/>
      <c r="F33" s="99"/>
      <c r="G33" s="99"/>
      <c r="H33" s="99"/>
      <c r="I33" s="99"/>
      <c r="J33" s="99"/>
      <c r="K33" s="99"/>
      <c r="L33" s="99"/>
      <c r="M33" s="99"/>
      <c r="N33" s="99"/>
      <c r="O33" s="99"/>
      <c r="P33" s="99"/>
      <c r="Q33" s="99"/>
      <c r="R33" s="99"/>
      <c r="S33" s="8"/>
      <c r="T33" s="8"/>
      <c r="U33" s="8"/>
      <c r="V33" s="8"/>
      <c r="W33" s="8"/>
      <c r="X33" s="8"/>
      <c r="Y33" s="8"/>
      <c r="Z33" s="8"/>
    </row>
    <row r="34" spans="1:26" ht="12.75" customHeight="1">
      <c r="A34" s="99"/>
      <c r="B34" s="99"/>
      <c r="C34" s="129"/>
      <c r="D34" s="99"/>
      <c r="E34" s="99"/>
      <c r="F34" s="99"/>
      <c r="G34" s="99"/>
      <c r="H34" s="99"/>
      <c r="I34" s="99"/>
      <c r="J34" s="99"/>
      <c r="K34" s="99"/>
      <c r="L34" s="99"/>
      <c r="M34" s="99"/>
      <c r="N34" s="99"/>
      <c r="O34" s="99"/>
      <c r="P34" s="99"/>
      <c r="Q34" s="99"/>
      <c r="R34" s="99"/>
      <c r="S34" s="8"/>
      <c r="T34" s="8"/>
      <c r="U34" s="8"/>
      <c r="V34" s="8"/>
      <c r="W34" s="8"/>
      <c r="X34" s="8"/>
      <c r="Y34" s="8"/>
      <c r="Z34" s="8"/>
    </row>
    <row r="35" spans="1:26" ht="12.75" customHeight="1">
      <c r="A35" s="99"/>
      <c r="B35" s="99"/>
      <c r="C35" s="129"/>
      <c r="D35" s="99"/>
      <c r="E35" s="99"/>
      <c r="F35" s="99"/>
      <c r="G35" s="99"/>
      <c r="H35" s="99"/>
      <c r="I35" s="99"/>
      <c r="J35" s="99"/>
      <c r="K35" s="99"/>
      <c r="L35" s="99"/>
      <c r="M35" s="99"/>
      <c r="N35" s="99"/>
      <c r="O35" s="99"/>
      <c r="P35" s="99"/>
      <c r="Q35" s="99"/>
      <c r="R35" s="99"/>
      <c r="S35" s="8"/>
      <c r="T35" s="8"/>
      <c r="U35" s="8"/>
      <c r="V35" s="8"/>
      <c r="W35" s="8"/>
      <c r="X35" s="8"/>
      <c r="Y35" s="8"/>
      <c r="Z35" s="8"/>
    </row>
    <row r="36" spans="1:26" ht="12.75" customHeight="1">
      <c r="A36" s="99"/>
      <c r="B36" s="99"/>
      <c r="C36" s="129"/>
      <c r="D36" s="99"/>
      <c r="E36" s="99"/>
      <c r="F36" s="99"/>
      <c r="G36" s="99"/>
      <c r="H36" s="99"/>
      <c r="I36" s="99"/>
      <c r="J36" s="99"/>
      <c r="K36" s="99"/>
      <c r="L36" s="99"/>
      <c r="M36" s="99"/>
      <c r="N36" s="99"/>
      <c r="O36" s="99"/>
      <c r="P36" s="99"/>
      <c r="Q36" s="99"/>
      <c r="R36" s="99"/>
      <c r="S36" s="8"/>
      <c r="T36" s="8"/>
      <c r="U36" s="8"/>
      <c r="V36" s="8"/>
      <c r="W36" s="8"/>
      <c r="X36" s="8"/>
      <c r="Y36" s="8"/>
      <c r="Z36" s="8"/>
    </row>
    <row r="37" spans="1:26" ht="12.75" customHeight="1">
      <c r="A37" s="99"/>
      <c r="B37" s="99"/>
      <c r="C37" s="129"/>
      <c r="D37" s="99"/>
      <c r="E37" s="99"/>
      <c r="F37" s="99"/>
      <c r="G37" s="99"/>
      <c r="H37" s="99"/>
      <c r="I37" s="99"/>
      <c r="J37" s="99"/>
      <c r="K37" s="99"/>
      <c r="L37" s="99"/>
      <c r="M37" s="99"/>
      <c r="N37" s="99"/>
      <c r="O37" s="99"/>
      <c r="P37" s="99"/>
      <c r="Q37" s="99"/>
      <c r="R37" s="99"/>
      <c r="S37" s="8"/>
      <c r="T37" s="8"/>
      <c r="U37" s="8"/>
      <c r="V37" s="8"/>
      <c r="W37" s="8"/>
      <c r="X37" s="8"/>
      <c r="Y37" s="8"/>
      <c r="Z37" s="8"/>
    </row>
    <row r="38" spans="1:26" ht="12.75" customHeight="1">
      <c r="A38" s="99"/>
      <c r="B38" s="99"/>
      <c r="C38" s="129"/>
      <c r="D38" s="106"/>
      <c r="E38" s="106"/>
      <c r="F38" s="99"/>
      <c r="G38" s="99"/>
      <c r="H38" s="99"/>
      <c r="I38" s="99"/>
      <c r="J38" s="99"/>
      <c r="K38" s="99"/>
      <c r="L38" s="99"/>
      <c r="M38" s="99"/>
      <c r="N38" s="99"/>
      <c r="O38" s="99"/>
      <c r="P38" s="99"/>
      <c r="Q38" s="99"/>
      <c r="R38" s="99"/>
      <c r="S38" s="8"/>
      <c r="T38" s="8"/>
      <c r="U38" s="8"/>
      <c r="V38" s="8"/>
      <c r="W38" s="8"/>
      <c r="X38" s="8"/>
      <c r="Y38" s="8"/>
      <c r="Z38" s="8"/>
    </row>
    <row r="39" spans="1:26" ht="12.75" customHeight="1">
      <c r="A39" s="99"/>
      <c r="B39" s="99"/>
      <c r="C39" s="129"/>
      <c r="D39" s="106"/>
      <c r="E39" s="106"/>
      <c r="F39" s="99"/>
      <c r="G39" s="99"/>
      <c r="H39" s="99"/>
      <c r="I39" s="99"/>
      <c r="J39" s="99"/>
      <c r="K39" s="99"/>
      <c r="L39" s="99"/>
      <c r="M39" s="99"/>
      <c r="N39" s="99"/>
      <c r="O39" s="99"/>
      <c r="P39" s="99"/>
      <c r="Q39" s="99"/>
      <c r="R39" s="99"/>
      <c r="S39" s="8"/>
      <c r="T39" s="8"/>
      <c r="U39" s="8"/>
      <c r="V39" s="8"/>
      <c r="W39" s="8"/>
      <c r="X39" s="8"/>
      <c r="Y39" s="8"/>
      <c r="Z39" s="8"/>
    </row>
    <row r="40" spans="1:26" ht="12.75" customHeight="1">
      <c r="A40" s="99"/>
      <c r="B40" s="99"/>
      <c r="C40" s="129"/>
      <c r="D40" s="106"/>
      <c r="E40" s="106"/>
      <c r="F40" s="99"/>
      <c r="G40" s="99"/>
      <c r="H40" s="99"/>
      <c r="I40" s="99"/>
      <c r="J40" s="99"/>
      <c r="K40" s="99"/>
      <c r="L40" s="99"/>
      <c r="M40" s="99"/>
      <c r="N40" s="99"/>
      <c r="O40" s="99"/>
      <c r="P40" s="99"/>
      <c r="Q40" s="99"/>
      <c r="R40" s="99"/>
      <c r="S40" s="8"/>
      <c r="T40" s="8"/>
      <c r="U40" s="8"/>
      <c r="V40" s="8"/>
      <c r="W40" s="8"/>
      <c r="X40" s="8"/>
      <c r="Y40" s="8"/>
      <c r="Z40" s="8"/>
    </row>
    <row r="41" spans="1:26" ht="12.75" customHeight="1">
      <c r="A41" s="99"/>
      <c r="B41" s="99"/>
      <c r="C41" s="129"/>
      <c r="D41" s="106"/>
      <c r="E41" s="106"/>
      <c r="F41" s="99"/>
      <c r="G41" s="99"/>
      <c r="H41" s="99"/>
      <c r="I41" s="99"/>
      <c r="J41" s="99"/>
      <c r="K41" s="99"/>
      <c r="L41" s="99"/>
      <c r="M41" s="99"/>
      <c r="N41" s="99"/>
      <c r="O41" s="99"/>
      <c r="P41" s="99"/>
      <c r="Q41" s="99"/>
      <c r="R41" s="99"/>
      <c r="S41" s="8"/>
      <c r="T41" s="8"/>
      <c r="U41" s="8"/>
      <c r="V41" s="8"/>
      <c r="W41" s="8"/>
      <c r="X41" s="8"/>
      <c r="Y41" s="8"/>
      <c r="Z41" s="8"/>
    </row>
    <row r="42" spans="1:26" ht="12.75" customHeight="1">
      <c r="A42" s="99"/>
      <c r="B42" s="99"/>
      <c r="C42" s="129"/>
      <c r="D42" s="106"/>
      <c r="E42" s="106"/>
      <c r="F42" s="99"/>
      <c r="G42" s="99"/>
      <c r="H42" s="99"/>
      <c r="I42" s="99"/>
      <c r="J42" s="99"/>
      <c r="K42" s="99"/>
      <c r="L42" s="99"/>
      <c r="M42" s="99"/>
      <c r="N42" s="99"/>
      <c r="O42" s="99"/>
      <c r="P42" s="99"/>
      <c r="Q42" s="99"/>
      <c r="R42" s="99"/>
      <c r="S42" s="8"/>
      <c r="T42" s="8"/>
      <c r="U42" s="8"/>
      <c r="V42" s="8"/>
      <c r="W42" s="8"/>
      <c r="X42" s="8"/>
      <c r="Y42" s="8"/>
      <c r="Z42" s="8"/>
    </row>
    <row r="43" spans="1:26" ht="12.75" customHeight="1">
      <c r="A43" s="99"/>
      <c r="B43" s="99"/>
      <c r="C43" s="129"/>
      <c r="D43" s="106"/>
      <c r="E43" s="106"/>
      <c r="F43" s="99"/>
      <c r="G43" s="99"/>
      <c r="H43" s="99"/>
      <c r="I43" s="99"/>
      <c r="J43" s="99"/>
      <c r="K43" s="99"/>
      <c r="L43" s="99"/>
      <c r="M43" s="99"/>
      <c r="N43" s="99"/>
      <c r="O43" s="99"/>
      <c r="P43" s="99"/>
      <c r="Q43" s="99"/>
      <c r="R43" s="99"/>
      <c r="S43" s="8"/>
      <c r="T43" s="8"/>
      <c r="U43" s="8"/>
      <c r="V43" s="8"/>
      <c r="W43" s="8"/>
      <c r="X43" s="8"/>
      <c r="Y43" s="8"/>
      <c r="Z43" s="8"/>
    </row>
    <row r="44" spans="1:26" ht="12.75" customHeight="1">
      <c r="A44" s="130"/>
      <c r="B44" s="130"/>
      <c r="C44" s="106"/>
      <c r="D44" s="106"/>
      <c r="E44" s="106"/>
      <c r="F44" s="99"/>
      <c r="G44" s="99"/>
      <c r="H44" s="99"/>
      <c r="I44" s="99"/>
      <c r="J44" s="99"/>
      <c r="K44" s="99"/>
      <c r="L44" s="99"/>
      <c r="M44" s="99"/>
      <c r="N44" s="99"/>
      <c r="O44" s="99"/>
      <c r="P44" s="99"/>
      <c r="Q44" s="99"/>
      <c r="R44" s="99"/>
      <c r="S44" s="8"/>
      <c r="T44" s="8"/>
      <c r="U44" s="8"/>
      <c r="V44" s="8"/>
      <c r="W44" s="8"/>
      <c r="X44" s="8"/>
      <c r="Y44" s="8"/>
      <c r="Z44" s="8"/>
    </row>
    <row r="45" spans="1:26" ht="12.75" customHeight="1">
      <c r="A45" s="130"/>
      <c r="B45" s="130"/>
      <c r="C45" s="106"/>
      <c r="D45" s="106"/>
      <c r="E45" s="106"/>
      <c r="F45" s="99"/>
      <c r="G45" s="99"/>
      <c r="H45" s="99"/>
      <c r="I45" s="99"/>
      <c r="J45" s="99"/>
      <c r="K45" s="99"/>
      <c r="L45" s="99"/>
      <c r="M45" s="99"/>
      <c r="N45" s="99"/>
      <c r="O45" s="99"/>
      <c r="P45" s="99"/>
      <c r="Q45" s="99"/>
      <c r="R45" s="99"/>
      <c r="S45" s="8"/>
      <c r="T45" s="8"/>
      <c r="U45" s="8"/>
      <c r="V45" s="8"/>
      <c r="W45" s="8"/>
      <c r="X45" s="8"/>
      <c r="Y45" s="8"/>
      <c r="Z45" s="8"/>
    </row>
    <row r="46" spans="1:26" ht="12.75" customHeight="1">
      <c r="A46" s="130"/>
      <c r="B46" s="130"/>
      <c r="C46" s="106"/>
      <c r="D46" s="106"/>
      <c r="E46" s="106"/>
      <c r="F46" s="99"/>
      <c r="G46" s="99"/>
      <c r="H46" s="99"/>
      <c r="I46" s="99"/>
      <c r="J46" s="99"/>
      <c r="K46" s="99"/>
      <c r="L46" s="99"/>
      <c r="M46" s="99"/>
      <c r="N46" s="99"/>
      <c r="O46" s="99"/>
      <c r="P46" s="99"/>
      <c r="Q46" s="99"/>
      <c r="R46" s="99"/>
      <c r="S46" s="8"/>
      <c r="T46" s="8"/>
      <c r="U46" s="8"/>
      <c r="V46" s="8"/>
      <c r="W46" s="8"/>
      <c r="X46" s="8"/>
      <c r="Y46" s="8"/>
      <c r="Z46" s="8"/>
    </row>
    <row r="47" spans="1:26" ht="12.75" customHeight="1">
      <c r="A47" s="130"/>
      <c r="B47" s="130"/>
      <c r="C47" s="106"/>
      <c r="D47" s="106"/>
      <c r="E47" s="106"/>
      <c r="F47" s="99"/>
      <c r="G47" s="99"/>
      <c r="H47" s="99"/>
      <c r="I47" s="99"/>
      <c r="J47" s="99"/>
      <c r="K47" s="99"/>
      <c r="L47" s="99"/>
      <c r="M47" s="99"/>
      <c r="N47" s="99"/>
      <c r="O47" s="99"/>
      <c r="P47" s="99"/>
      <c r="Q47" s="99"/>
      <c r="R47" s="99"/>
      <c r="S47" s="8"/>
      <c r="T47" s="8"/>
      <c r="U47" s="8"/>
      <c r="V47" s="8"/>
      <c r="W47" s="8"/>
      <c r="X47" s="8"/>
      <c r="Y47" s="8"/>
      <c r="Z47" s="8"/>
    </row>
    <row r="48" spans="1:26" ht="12.75" customHeight="1">
      <c r="A48" s="130"/>
      <c r="B48" s="130"/>
      <c r="C48" s="106"/>
      <c r="D48" s="106"/>
      <c r="E48" s="106"/>
      <c r="F48" s="99"/>
      <c r="G48" s="99"/>
      <c r="H48" s="99"/>
      <c r="I48" s="99"/>
      <c r="J48" s="99"/>
      <c r="K48" s="99"/>
      <c r="L48" s="99"/>
      <c r="M48" s="99"/>
      <c r="N48" s="99"/>
      <c r="O48" s="99"/>
      <c r="P48" s="99"/>
      <c r="Q48" s="99"/>
      <c r="R48" s="99"/>
      <c r="S48" s="8"/>
      <c r="T48" s="8"/>
      <c r="U48" s="8"/>
      <c r="V48" s="8"/>
      <c r="W48" s="8"/>
      <c r="X48" s="8"/>
      <c r="Y48" s="8"/>
      <c r="Z48" s="8"/>
    </row>
    <row r="49" spans="1:26" ht="12.75" customHeight="1">
      <c r="A49" s="130"/>
      <c r="B49" s="130"/>
      <c r="C49" s="106"/>
      <c r="D49" s="106"/>
      <c r="E49" s="106"/>
      <c r="F49" s="99"/>
      <c r="G49" s="99"/>
      <c r="H49" s="99"/>
      <c r="I49" s="99"/>
      <c r="J49" s="99"/>
      <c r="K49" s="99"/>
      <c r="L49" s="99"/>
      <c r="M49" s="99"/>
      <c r="N49" s="99"/>
      <c r="O49" s="99"/>
      <c r="P49" s="99"/>
      <c r="Q49" s="99"/>
      <c r="R49" s="99"/>
      <c r="S49" s="8"/>
      <c r="T49" s="8"/>
      <c r="U49" s="8"/>
      <c r="V49" s="8"/>
      <c r="W49" s="8"/>
      <c r="X49" s="8"/>
      <c r="Y49" s="8"/>
      <c r="Z49" s="8"/>
    </row>
    <row r="50" spans="1:26" ht="12.75" customHeight="1">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2.75" customHeight="1">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2.75" customHeight="1">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2.75" customHeight="1">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2.75" customHeight="1">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2.75" customHeight="1">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2.75" customHeight="1">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2.75" customHeight="1">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2.75" customHeight="1">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2.75" customHeight="1">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2.75" customHeight="1">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2.75" customHeight="1">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2.75" customHeight="1">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2.75" customHeight="1">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2.75" customHeight="1">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2.75" customHeight="1">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2.75" customHeight="1">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2.75" customHeight="1">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2.75" customHeight="1">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2.75" customHeight="1">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2.75" customHeight="1">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2.75" customHeight="1">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2.75" customHeight="1">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2.75" customHeight="1">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2.75" customHeight="1">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2.75" customHeight="1">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2.75" customHeight="1">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2.75" customHeight="1">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2.75" customHeight="1">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2.75" customHeight="1">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2.75" customHeight="1">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2.75" customHeight="1">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2.75" customHeight="1">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2.75" customHeight="1">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2.75" customHeight="1">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2.75" customHeight="1">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2.75" customHeight="1">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2.75" customHeight="1">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2.75" customHeight="1">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2.75" customHeight="1">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2.75" customHeight="1">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2.75" customHeight="1">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2.75" customHeight="1">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2.75" customHeight="1">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2.75" customHeight="1">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2.75" customHeight="1">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2.75" customHeight="1">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2.75" customHeight="1">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2.75" customHeight="1">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2.75" customHeight="1">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2.7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2.7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2.7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2.7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2.7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2.7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2.7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2.7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2.7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2.7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2.7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2.7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2.7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2.7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2.7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2.7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2.7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2.7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2.7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2.7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2.7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2.7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2.7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2.7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2.7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2.7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2.7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2.7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2.7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2.7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2.7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2.7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2.7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2.7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2.7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2.7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2.7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2.7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2.7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2.7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2.7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2.7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2.7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2.7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2.7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2.7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2.7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2.7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2.7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2.7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2.7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2.7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2.7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2.7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2.7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2.7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2.7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2.7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2.7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2.7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2.7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2.7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2.7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2.7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2.7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2.7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2.7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2.7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2.7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2.7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2.7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2.7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2.7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2.7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2.7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2.7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2.7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2.7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2.7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2.7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2.7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2.7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2.7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2.7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2.7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2.7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2.7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2.7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2.7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2.7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2.7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2.7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2.7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2.7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2.7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2.7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2.7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2.7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2.7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2.7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2.7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2.7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2.7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2.7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2.7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2.7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2.7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2.7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2.7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2.7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2.7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2.7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2.7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2.7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2.7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2.7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2.7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2.7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2.7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2.7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2.7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2.7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2.7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2.7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2.7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2.7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2.7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2.7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2.7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2.7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2.7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2.7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2.7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2.7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2.7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2.7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2.7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2.7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2.7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2.7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2.7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2.7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2.7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2.7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2.7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2.7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2.7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2.7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2.7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2.7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2.7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2.7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2.7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2.7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2.7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2.7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2.7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2.7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2.7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2.7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2.7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2.7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2.7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2.7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2.7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2.7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2.7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2.7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2.7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2.7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2.7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2.7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2.7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2.7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2.7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2.7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2.7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2.7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2.7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2.7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2.7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2.7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2.7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2.7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2.7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2.7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2.7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2.7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2.7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2.7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2.7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2.7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2.7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2.7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2.7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2.7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2.7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2.7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2.7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2.7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2.7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2.7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2.7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2.7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2.7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2.7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2.7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2.7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2.7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2.7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2.7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2.7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2.7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2.7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2.7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2.7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2.7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2.7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2.7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2.7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2.7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2.7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2.7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2.7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2.7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2.7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2.7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2.7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2.7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2.7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2.7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2.7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2.7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2.7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2.7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2.7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2.7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2.7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2.7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2.7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2.7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2.7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2.7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2.7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2.7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2.7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2.7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2.7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2.7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2.7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2.7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2.7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2.7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2.7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2.7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2.7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2.7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2.7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2.7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2.7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2.7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2.7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2.7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2.7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2.7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2.7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2.7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2.7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2.7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2.7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2.7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2.7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2.7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2.7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2.7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2.7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2.7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2.7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2.7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2.7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2.7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2.7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2.7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2.7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2.7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2.7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2.7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2.7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2.7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2.7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2.7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2.7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2.7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2.7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2.7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2.7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2.7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2.7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2.7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2.7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2.7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2.7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2.7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2.7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2.7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2.7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2.7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2.7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2.7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2.7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2.7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2.7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2.7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2.7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2.7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2.7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2.7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2.7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2.7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2.7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2.7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2.7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2.7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2.7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2.7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2.7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2.7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2.7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2.7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2.7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2.7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2.7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2.7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2.7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2.7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2.7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2.7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2.7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2.7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2.7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2.7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2.7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2.7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2.7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2.7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2.7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2.7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2.7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2.7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2.7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2.7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2.7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2.7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2.7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2.7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2.7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2.7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2.7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2.7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2.7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2.7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2.7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2.7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2.7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2.7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2.7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2.7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2.7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2.7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2.7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2.7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2.7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2.7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2.7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2.7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2.7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2.7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2.7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2.7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2.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2.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2.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2.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2.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2.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2.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2.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2.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2.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2.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2.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2.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2.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2.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2.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2.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2.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2.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2.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2.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2.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2.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2.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2.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2.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2.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2.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2.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2.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2.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2.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2.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2.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2.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2.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2.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2.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2.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2.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2.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2.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2.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2.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2.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2.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2.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2.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2.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2.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2.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2.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2.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2.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2.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2.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2.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2.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2.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2.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2.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2.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2.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2.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2.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2.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2.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2.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2.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2.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2.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2.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2.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2.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2.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2.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2.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2.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2.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2.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2.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2.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2.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2.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2.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2.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2.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2.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2.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2.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2.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2.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2.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2.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2.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2.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2.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2.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2.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2.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2.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2.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2.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2.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2.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2.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2.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2.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2.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2.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2.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2.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2.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2.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2.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2.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2.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2.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2.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2.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2.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2.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2.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2.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2.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2.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2.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2.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2.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2.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2.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2.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2.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2.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2.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2.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2.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2.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2.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2.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2.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2.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2.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2.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2.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2.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2.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2.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2.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2.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2.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2.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2.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2.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2.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2.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2.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2.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2.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2.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2.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2.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2.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2.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2.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2.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2.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2.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2.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2.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2.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2.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2.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2.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2.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2.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2.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2.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2.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2.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2.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2.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2.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2.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2.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2.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2.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2.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2.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2.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2.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2.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2.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2.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2.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2.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2.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2.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2.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2.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2.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2.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2.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2.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2.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2.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2.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2.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2.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2.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2.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2.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2.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2.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2.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2.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2.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2.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2.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2.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2.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2.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2.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2.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2.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2.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2.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2.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2.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2.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2.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2.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2.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2.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2.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2.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2.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2.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2.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2.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2.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2.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2.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2.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2.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2.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2.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2.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2.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2.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2.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2.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2.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2.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2.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2.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2.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2.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2.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2.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2.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2.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2.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2.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2.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2.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2.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2.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2.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2.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2.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2.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2.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2.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2.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2.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2.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2.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2.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2.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2.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2.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2.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2.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2.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2.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2.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2.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2.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2.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2.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2.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2.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2.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2.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2.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2.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2.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2.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2.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2.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2.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2.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2.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2.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2.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2.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2.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2.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2.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2.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2.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2.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2.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2.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2.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2.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2.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2.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2.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2.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2.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2.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2.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2.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2.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2.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2.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2.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2.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2.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2.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2.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2.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2.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2.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2.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2.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2.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2.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2.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2.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2.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2.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2.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2.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2.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2.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2.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2.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2.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2.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2.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2.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2.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2.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2.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2.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2.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2.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2.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2.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2.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2.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2.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2.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2.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2.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2.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2.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2.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2.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2.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2.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2.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2.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2.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2.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2.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2.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2.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2.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2.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2.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2.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2.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2.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2.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2.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2.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2.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2.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2.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2.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2.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2.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2.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2.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2.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2.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2.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2.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2.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2.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2.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2.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2.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2.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2.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2.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2.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2.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2.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2.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2.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2.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2.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2.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2.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2.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2.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2.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2.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2.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2.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2.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2.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2.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2.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2.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2.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2.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2.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2.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2.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2.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2.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2.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2.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2.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2.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2.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2.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2.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2.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2.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2.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2.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2.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2.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2.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2.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2.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2.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2.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2.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2.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2.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2.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2.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2.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2.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2.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2.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2.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2.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2.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2.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2.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2.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2.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2.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2.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2.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2.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2.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2.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2.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2.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2.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2.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2.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2.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2.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2.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2.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2.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2.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2.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2.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2.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2.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2.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2.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2.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2.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2.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2.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2.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2.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2.7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2.7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2.7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2.7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2.7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2.7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2.7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2.7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2.7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2.7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2.7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2.7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2.7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2.7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2.7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2.7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2.7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2.7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2.7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2.7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2.7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2.7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pageMargins left="0.7" right="0.7" top="1" bottom="6.5" header="0" footer="0"/>
  <pageSetup orientation="portrait"/>
  <headerFooter>
    <oddFooter>&amp;C000000&amp;P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Export Summary</vt:lpstr>
      <vt:lpstr>Contents</vt:lpstr>
      <vt:lpstr>Table 2</vt:lpstr>
      <vt:lpstr>Table 3</vt:lpstr>
      <vt:lpstr>Table 8</vt:lpstr>
      <vt:lpstr>Table 9</vt:lpstr>
      <vt:lpstr>Table 10</vt:lpstr>
      <vt:lpstr>Cover</vt:lpstr>
      <vt:lpstr>Oil Crops Chart Gallery Fig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Peach, Nathaniel S</cp:lastModifiedBy>
  <dcterms:created xsi:type="dcterms:W3CDTF">2019-10-10T01:14:25Z</dcterms:created>
  <dcterms:modified xsi:type="dcterms:W3CDTF">2019-10-10T01:14:31Z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3a1c1738-39e9-4752-829f-5cc56618878a</vt:lpwstr>
  </property>
</Properties>
</file>