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268/cloudstor/Projects/Hele-Shaw_Miscible/Experimental_results/Literature_results/"/>
    </mc:Choice>
  </mc:AlternateContent>
  <xr:revisionPtr revIDLastSave="0" documentId="13_ncr:1_{639FCEAC-A9E4-994B-8321-2EA84C41818B}" xr6:coauthVersionLast="47" xr6:coauthVersionMax="47" xr10:uidLastSave="{00000000-0000-0000-0000-000000000000}"/>
  <bookViews>
    <workbookView xWindow="520" yWindow="900" windowWidth="38400" windowHeight="22480" xr2:uid="{2DF549E3-CF1C-4ECB-A643-CCA8B1DAFA1C}"/>
  </bookViews>
  <sheets>
    <sheet name="Table_formatted" sheetId="7" r:id="rId1"/>
    <sheet name="Table 1B Porous Media" sheetId="10" r:id="rId2"/>
    <sheet name="Table 1A Hele Shaw" sheetId="1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23" i="11" l="1"/>
  <c r="I25" i="11" s="1"/>
  <c r="C23" i="11"/>
  <c r="I18" i="11"/>
  <c r="I24" i="11" s="1"/>
  <c r="I26" i="11" s="1"/>
  <c r="G18" i="11"/>
  <c r="G24" i="11" s="1"/>
  <c r="G26" i="11" s="1"/>
  <c r="B18" i="11"/>
  <c r="B24" i="11" s="1"/>
  <c r="B26" i="11" s="1"/>
  <c r="I16" i="11"/>
  <c r="H16" i="11"/>
  <c r="H23" i="11" s="1"/>
  <c r="H25" i="11" s="1"/>
  <c r="G16" i="11"/>
  <c r="G23" i="11" s="1"/>
  <c r="G25" i="11" s="1"/>
  <c r="F16" i="11"/>
  <c r="F23" i="11" s="1"/>
  <c r="E16" i="11"/>
  <c r="E23" i="11" s="1"/>
  <c r="E25" i="11" s="1"/>
  <c r="B16" i="11"/>
  <c r="F15" i="11"/>
  <c r="D15" i="11"/>
  <c r="F13" i="11"/>
  <c r="D13" i="11"/>
  <c r="D16" i="11" s="1"/>
  <c r="D23" i="11" s="1"/>
  <c r="D25" i="11" s="1"/>
  <c r="C13" i="11"/>
  <c r="E10" i="11"/>
  <c r="C9" i="11"/>
  <c r="C8" i="11"/>
  <c r="C11" i="11" s="1"/>
  <c r="B19" i="10"/>
  <c r="E17" i="10"/>
  <c r="B17" i="10"/>
  <c r="E16" i="10"/>
  <c r="E19" i="10" s="1"/>
  <c r="E14" i="10"/>
  <c r="C7" i="10"/>
  <c r="C17" i="10" s="1"/>
  <c r="C6" i="10"/>
  <c r="C19" i="10" s="1"/>
  <c r="F25" i="11" l="1"/>
  <c r="D18" i="11"/>
  <c r="D24" i="11" s="1"/>
  <c r="D26" i="11" s="1"/>
  <c r="F18" i="11"/>
  <c r="F24" i="11" s="1"/>
  <c r="C25" i="11"/>
  <c r="F26" i="11"/>
  <c r="B23" i="11"/>
  <c r="B25" i="11" s="1"/>
</calcChain>
</file>

<file path=xl/sharedStrings.xml><?xml version="1.0" encoding="utf-8"?>
<sst xmlns="http://schemas.openxmlformats.org/spreadsheetml/2006/main" count="235" uniqueCount="102">
  <si>
    <t>This experiment</t>
  </si>
  <si>
    <t>Habermann (1960)</t>
  </si>
  <si>
    <t>Mahaffey et al. (1966)</t>
  </si>
  <si>
    <t>Zhang et al. (1996)</t>
  </si>
  <si>
    <t>Petitjeans et al. (1999)</t>
  </si>
  <si>
    <t>Djabbarov et al. (2016)</t>
  </si>
  <si>
    <t>Hele-Shaw</t>
  </si>
  <si>
    <t>Pattern</t>
  </si>
  <si>
    <t>Quarter five spot</t>
  </si>
  <si>
    <t>Five spot</t>
  </si>
  <si>
    <t>39cm radius</t>
  </si>
  <si>
    <t xml:space="preserve"> -</t>
  </si>
  <si>
    <t>-</t>
  </si>
  <si>
    <t>Permeability  (D)</t>
  </si>
  <si>
    <t>Length of side of system (cm)</t>
  </si>
  <si>
    <t>Side of quarter five spot (cm)</t>
  </si>
  <si>
    <t>Plate spacing (cm)</t>
  </si>
  <si>
    <t xml:space="preserve">~53-600 </t>
  </si>
  <si>
    <r>
      <t>Approx diameters of beads (</t>
    </r>
    <r>
      <rPr>
        <b/>
        <sz val="10"/>
        <color theme="1"/>
        <rFont val="Symbol"/>
        <family val="1"/>
        <charset val="2"/>
      </rPr>
      <t>m</t>
    </r>
    <r>
      <rPr>
        <b/>
        <sz val="10"/>
        <color theme="1"/>
        <rFont val="Calibri"/>
        <family val="2"/>
        <scheme val="minor"/>
      </rPr>
      <t>m)</t>
    </r>
  </si>
  <si>
    <t>~100</t>
  </si>
  <si>
    <t>Flow rate (ml/min)</t>
  </si>
  <si>
    <t>Porosity (%)</t>
  </si>
  <si>
    <t>&lt;0.02 for smaller gap, &lt;0.006 for larger gap</t>
  </si>
  <si>
    <r>
      <t>Molecular Diffusion (cm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/s)</t>
    </r>
  </si>
  <si>
    <t>Stoneberger and Claridge (1988)</t>
  </si>
  <si>
    <t>Viscosity ratio</t>
  </si>
  <si>
    <t>1, 2, 5, 10, 20</t>
  </si>
  <si>
    <t>0.037, 0.222, 1, 1.4, 2.4, 2.95, 4.6, 12.9,17.3, 23.4, 27.0, 38.2, 71.5, 130.7</t>
  </si>
  <si>
    <t>1, 3.3, 12.5, 39.4</t>
  </si>
  <si>
    <t>4, 12, 25</t>
  </si>
  <si>
    <t>3.32, 4.48, 12.2, 110, 153</t>
  </si>
  <si>
    <t>1, 2, 5, 10, 20, 30, 100</t>
  </si>
  <si>
    <t>0.1, 2, 1.3, 5.3, 50</t>
  </si>
  <si>
    <t>60cm radius</t>
  </si>
  <si>
    <t>Water and glycerin</t>
  </si>
  <si>
    <t>52, 31, 909</t>
  </si>
  <si>
    <t>Paterson (1985)</t>
  </si>
  <si>
    <r>
      <t>Average longitudinal diffusion+dispersion (cm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/s)</t>
    </r>
  </si>
  <si>
    <t>to</t>
  </si>
  <si>
    <t>Average velocity (cm/s)</t>
  </si>
  <si>
    <t xml:space="preserve">and </t>
  </si>
  <si>
    <t>g</t>
  </si>
  <si>
    <r>
      <rPr>
        <b/>
        <sz val="11"/>
        <color theme="1"/>
        <rFont val="Times New Roman"/>
        <family val="1"/>
      </rPr>
      <t>Pe</t>
    </r>
    <r>
      <rPr>
        <b/>
        <i/>
        <sz val="11"/>
        <color theme="1"/>
        <rFont val="Times New Roman"/>
        <family val="1"/>
      </rPr>
      <t xml:space="preserve"> =Q/C</t>
    </r>
    <r>
      <rPr>
        <b/>
        <sz val="11"/>
        <color theme="1"/>
        <rFont val="Symbol"/>
        <family val="1"/>
        <charset val="2"/>
      </rPr>
      <t>p</t>
    </r>
    <r>
      <rPr>
        <b/>
        <i/>
        <sz val="11"/>
        <color theme="1"/>
        <rFont val="Times New Roman"/>
        <family val="1"/>
      </rPr>
      <t>Dh</t>
    </r>
  </si>
  <si>
    <r>
      <rPr>
        <b/>
        <sz val="11"/>
        <color theme="1"/>
        <rFont val="Times New Roman"/>
        <family val="1"/>
      </rPr>
      <t>Pe</t>
    </r>
    <r>
      <rPr>
        <b/>
        <i/>
        <sz val="11"/>
        <color theme="1"/>
        <rFont val="Times New Roman"/>
        <family val="1"/>
      </rPr>
      <t xml:space="preserve"> =Q/C</t>
    </r>
    <r>
      <rPr>
        <b/>
        <sz val="11"/>
        <color theme="1"/>
        <rFont val="Symbol"/>
        <family val="1"/>
        <charset val="2"/>
      </rPr>
      <t>p</t>
    </r>
    <r>
      <rPr>
        <b/>
        <i/>
        <sz val="11"/>
        <color theme="1"/>
        <rFont val="Times New Roman"/>
        <family val="1"/>
      </rPr>
      <t>D</t>
    </r>
    <r>
      <rPr>
        <b/>
        <i/>
        <vertAlign val="subscript"/>
        <sz val="11"/>
        <color theme="1"/>
        <rFont val="Times New Roman"/>
        <family val="1"/>
      </rPr>
      <t>m</t>
    </r>
    <r>
      <rPr>
        <b/>
        <i/>
        <sz val="11"/>
        <color theme="1"/>
        <rFont val="Times New Roman"/>
        <family val="1"/>
      </rPr>
      <t>h</t>
    </r>
  </si>
  <si>
    <t>Videback et al. (2019)</t>
  </si>
  <si>
    <t>Bischofberger et al. (2014)</t>
  </si>
  <si>
    <t>Outlet b.c.</t>
  </si>
  <si>
    <t xml:space="preserve">Length of side of system or diameter (cm) </t>
  </si>
  <si>
    <t>1 to 1350</t>
  </si>
  <si>
    <t>Point sink</t>
  </si>
  <si>
    <t>Circle</t>
  </si>
  <si>
    <t>Open circumference</t>
  </si>
  <si>
    <t>Point sinks in corners</t>
  </si>
  <si>
    <t>Point sink in opposite corner</t>
  </si>
  <si>
    <t>Lacey et al. (1960)</t>
  </si>
  <si>
    <t>Confined and unconfined quarter fivspot</t>
  </si>
  <si>
    <t>Confined quarter five spot</t>
  </si>
  <si>
    <t>22.5, 45, 90</t>
  </si>
  <si>
    <t>0.3,0.8, 1.25, 7.62</t>
  </si>
  <si>
    <t>1, 10, 42</t>
  </si>
  <si>
    <t xml:space="preserve"> ?</t>
  </si>
  <si>
    <t>?</t>
  </si>
  <si>
    <t>Porous media</t>
  </si>
  <si>
    <t>Approx diameters of beads (mm)</t>
  </si>
  <si>
    <r>
      <rPr>
        <b/>
        <sz val="11"/>
        <color theme="1"/>
        <rFont val="Times Roman"/>
      </rPr>
      <t>Pe</t>
    </r>
    <r>
      <rPr>
        <b/>
        <i/>
        <sz val="11"/>
        <color theme="1"/>
        <rFont val="Times Roman"/>
      </rPr>
      <t xml:space="preserve"> =Q/C</t>
    </r>
    <r>
      <rPr>
        <b/>
        <sz val="11"/>
        <color theme="1"/>
        <rFont val="Times Roman"/>
      </rPr>
      <t>p</t>
    </r>
    <r>
      <rPr>
        <b/>
        <i/>
        <sz val="11"/>
        <color theme="1"/>
        <rFont val="Times Roman"/>
      </rPr>
      <t>D</t>
    </r>
    <r>
      <rPr>
        <b/>
        <i/>
        <vertAlign val="subscript"/>
        <sz val="11"/>
        <color theme="1"/>
        <rFont val="Times Roman"/>
      </rPr>
      <t>m</t>
    </r>
    <r>
      <rPr>
        <b/>
        <i/>
        <sz val="11"/>
        <color theme="1"/>
        <rFont val="Times Roman"/>
      </rPr>
      <t>h</t>
    </r>
  </si>
  <si>
    <t>Outlet B.C.</t>
  </si>
  <si>
    <t>11.4, 38.1</t>
  </si>
  <si>
    <t>0.00381, 0.0119</t>
  </si>
  <si>
    <t>0.15, 0.3</t>
  </si>
  <si>
    <t>0.0076, 0.1143</t>
  </si>
  <si>
    <t>0.0076, 0.0419</t>
  </si>
  <si>
    <t>122.57, 1200</t>
  </si>
  <si>
    <t>190000, 760000</t>
  </si>
  <si>
    <t>488, 110000</t>
  </si>
  <si>
    <t>488, 14800</t>
  </si>
  <si>
    <t>0.1 - 10</t>
  </si>
  <si>
    <t>7.38, 73.80</t>
  </si>
  <si>
    <t>0.0156 - 23.5</t>
  </si>
  <si>
    <t>0.4 - 40</t>
  </si>
  <si>
    <t>0.001 - 10</t>
  </si>
  <si>
    <t>0.00236 - 0.24</t>
  </si>
  <si>
    <t>0.0290 - 0.580</t>
  </si>
  <si>
    <t>0.00603 - 9.09</t>
  </si>
  <si>
    <t>0.0443 - 0.29</t>
  </si>
  <si>
    <t>0.00022 - 0.040</t>
  </si>
  <si>
    <t>4240 - 424000</t>
  </si>
  <si>
    <t>1100 - 3400</t>
  </si>
  <si>
    <t>6500 - 131000</t>
  </si>
  <si>
    <t>70 - 102000</t>
  </si>
  <si>
    <t>3100 - 4650000</t>
  </si>
  <si>
    <t>6 - 350000</t>
  </si>
  <si>
    <t>0.3175, 0.635</t>
  </si>
  <si>
    <t>4.5, 12, 20</t>
  </si>
  <si>
    <t>24.2, 31</t>
  </si>
  <si>
    <t>0.07 - 30</t>
  </si>
  <si>
    <t>0.833 - 3.33</t>
  </si>
  <si>
    <t>0.0024 - 0.24</t>
  </si>
  <si>
    <t>0.00022 - 0.242</t>
  </si>
  <si>
    <t>0.0006 - 0.0210</t>
  </si>
  <si>
    <t>0.0011 - 0.0042</t>
  </si>
  <si>
    <t>390 - 330000</t>
  </si>
  <si>
    <t>3000 - 12000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</si>
</sst>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0000"/>
    <numFmt numFmtId="166" formatCode="0.000"/>
    <numFmt numFmtId="167" formatCode="0.0"/>
  </numFmts>
  <fonts count="2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theme="1"/>
      <name val="Symbol"/>
      <family val="1"/>
      <charset val="2"/>
    </font>
    <font>
      <sz val="11"/>
      <color rgb="FF000000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b/>
      <i/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Symbol"/>
      <family val="1"/>
      <charset val="2"/>
    </font>
    <font>
      <b/>
      <sz val="11"/>
      <color theme="1"/>
      <name val="Calibri"/>
      <family val="1"/>
    </font>
    <font>
      <vertAlign val="superscript"/>
      <sz val="11"/>
      <color theme="1"/>
      <name val="Calibri"/>
      <family val="2"/>
      <scheme val="minor"/>
    </font>
    <font>
      <b/>
      <i/>
      <vertAlign val="subscript"/>
      <sz val="11"/>
      <color theme="1"/>
      <name val="Times New Roman"/>
      <family val="1"/>
    </font>
    <font>
      <sz val="11"/>
      <color theme="1"/>
      <name val="Calibri"/>
      <family val="2"/>
    </font>
    <font>
      <i/>
      <sz val="10"/>
      <color rgb="FF000000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1"/>
      <color theme="1"/>
      <name val="Times Roman"/>
    </font>
    <font>
      <sz val="11"/>
      <color rgb="FF000000"/>
      <name val="Times Roman"/>
    </font>
    <font>
      <b/>
      <sz val="11"/>
      <color theme="1"/>
      <name val="Times Roman"/>
    </font>
    <font>
      <b/>
      <i/>
      <sz val="11"/>
      <color theme="1"/>
      <name val="Times Roman"/>
    </font>
    <font>
      <b/>
      <i/>
      <vertAlign val="subscript"/>
      <sz val="11"/>
      <color theme="1"/>
      <name val="Times Roman"/>
    </font>
    <font>
      <b/>
      <sz val="12"/>
      <color theme="1"/>
      <name val="Times Roman"/>
    </font>
    <font>
      <b/>
      <sz val="12"/>
      <color rgb="FF000000"/>
      <name val="Times Roman"/>
    </font>
    <font>
      <i/>
      <sz val="11"/>
      <color theme="1"/>
      <name val="Times Roman"/>
    </font>
    <font>
      <i/>
      <sz val="11"/>
      <color rgb="FF000000"/>
      <name val="Times Roman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42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double">
        <color indexed="64"/>
      </left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  <border>
      <left style="double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 style="double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/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medium">
        <color indexed="64"/>
      </left>
      <right style="double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double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2">
    <xf numFmtId="0" fontId="0" fillId="0" borderId="0" xfId="0"/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2" fontId="4" fillId="0" borderId="5" xfId="0" applyNumberFormat="1" applyFont="1" applyBorder="1" applyAlignment="1">
      <alignment horizontal="center" vertical="center" wrapText="1"/>
    </xf>
    <xf numFmtId="164" fontId="0" fillId="0" borderId="0" xfId="0" applyNumberFormat="1"/>
    <xf numFmtId="166" fontId="4" fillId="0" borderId="13" xfId="0" applyNumberFormat="1" applyFont="1" applyBorder="1" applyAlignment="1">
      <alignment horizontal="center" vertical="center" wrapText="1"/>
    </xf>
    <xf numFmtId="165" fontId="4" fillId="0" borderId="9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2" fontId="4" fillId="0" borderId="7" xfId="0" applyNumberFormat="1" applyFont="1" applyBorder="1" applyAlignment="1">
      <alignment horizontal="center" vertical="center" wrapText="1"/>
    </xf>
    <xf numFmtId="11" fontId="0" fillId="0" borderId="0" xfId="0" applyNumberFormat="1"/>
    <xf numFmtId="11" fontId="0" fillId="0" borderId="18" xfId="0" applyNumberFormat="1" applyBorder="1" applyAlignment="1">
      <alignment horizontal="center" wrapText="1"/>
    </xf>
    <xf numFmtId="11" fontId="0" fillId="0" borderId="15" xfId="0" applyNumberFormat="1" applyBorder="1" applyAlignment="1">
      <alignment horizontal="center" wrapText="1"/>
    </xf>
    <xf numFmtId="11" fontId="0" fillId="0" borderId="8" xfId="0" applyNumberFormat="1" applyBorder="1" applyAlignment="1">
      <alignment horizontal="center" vertical="center"/>
    </xf>
    <xf numFmtId="11" fontId="0" fillId="2" borderId="17" xfId="0" applyNumberFormat="1" applyFill="1" applyBorder="1" applyAlignment="1">
      <alignment horizontal="center" wrapText="1"/>
    </xf>
    <xf numFmtId="11" fontId="0" fillId="2" borderId="11" xfId="0" applyNumberFormat="1" applyFill="1" applyBorder="1" applyAlignment="1">
      <alignment horizontal="center"/>
    </xf>
    <xf numFmtId="11" fontId="5" fillId="2" borderId="19" xfId="0" applyNumberFormat="1" applyFont="1" applyFill="1" applyBorder="1" applyAlignment="1">
      <alignment horizontal="center" vertical="center" wrapText="1"/>
    </xf>
    <xf numFmtId="0" fontId="15" fillId="0" borderId="0" xfId="0" applyFont="1"/>
    <xf numFmtId="2" fontId="0" fillId="0" borderId="0" xfId="0" applyNumberFormat="1"/>
    <xf numFmtId="0" fontId="5" fillId="3" borderId="3" xfId="0" applyFont="1" applyFill="1" applyBorder="1" applyAlignment="1">
      <alignment horizontal="center" vertical="center" wrapText="1"/>
    </xf>
    <xf numFmtId="0" fontId="0" fillId="3" borderId="0" xfId="0" applyFill="1"/>
    <xf numFmtId="164" fontId="0" fillId="3" borderId="0" xfId="0" applyNumberFormat="1" applyFill="1"/>
    <xf numFmtId="0" fontId="0" fillId="0" borderId="0" xfId="0" applyFill="1"/>
    <xf numFmtId="2" fontId="0" fillId="0" borderId="0" xfId="0" applyNumberFormat="1" applyFill="1"/>
    <xf numFmtId="164" fontId="0" fillId="0" borderId="0" xfId="0" applyNumberFormat="1" applyFill="1"/>
    <xf numFmtId="0" fontId="4" fillId="0" borderId="2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164" fontId="4" fillId="0" borderId="11" xfId="0" applyNumberFormat="1" applyFont="1" applyBorder="1" applyAlignment="1">
      <alignment horizontal="center" vertical="center" wrapText="1"/>
    </xf>
    <xf numFmtId="11" fontId="4" fillId="0" borderId="7" xfId="0" applyNumberFormat="1" applyFont="1" applyBorder="1" applyAlignment="1">
      <alignment horizontal="center" vertical="center" wrapText="1"/>
    </xf>
    <xf numFmtId="11" fontId="5" fillId="2" borderId="10" xfId="0" applyNumberFormat="1" applyFont="1" applyFill="1" applyBorder="1" applyAlignment="1">
      <alignment horizontal="center" vertical="center" wrapText="1"/>
    </xf>
    <xf numFmtId="0" fontId="17" fillId="0" borderId="7" xfId="0" applyFont="1" applyBorder="1" applyAlignment="1">
      <alignment horizontal="center" vertical="center" wrapText="1"/>
    </xf>
    <xf numFmtId="166" fontId="17" fillId="0" borderId="7" xfId="0" applyNumberFormat="1" applyFont="1" applyBorder="1" applyAlignment="1">
      <alignment horizontal="center" vertical="center" wrapText="1"/>
    </xf>
    <xf numFmtId="3" fontId="17" fillId="0" borderId="7" xfId="0" applyNumberFormat="1" applyFont="1" applyBorder="1" applyAlignment="1">
      <alignment horizontal="center" wrapText="1"/>
    </xf>
    <xf numFmtId="165" fontId="17" fillId="0" borderId="5" xfId="0" applyNumberFormat="1" applyFont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2" fontId="4" fillId="0" borderId="6" xfId="0" applyNumberFormat="1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2" fontId="4" fillId="0" borderId="26" xfId="0" applyNumberFormat="1" applyFont="1" applyBorder="1" applyAlignment="1">
      <alignment horizontal="center" vertical="center" wrapText="1"/>
    </xf>
    <xf numFmtId="164" fontId="0" fillId="0" borderId="9" xfId="0" applyNumberFormat="1" applyBorder="1" applyAlignment="1">
      <alignment horizontal="center" vertical="center" wrapText="1"/>
    </xf>
    <xf numFmtId="3" fontId="4" fillId="0" borderId="6" xfId="0" applyNumberFormat="1" applyFont="1" applyBorder="1" applyAlignment="1">
      <alignment horizontal="center" wrapText="1"/>
    </xf>
    <xf numFmtId="3" fontId="4" fillId="0" borderId="23" xfId="0" applyNumberFormat="1" applyFont="1" applyBorder="1" applyAlignment="1">
      <alignment horizontal="center" vertical="center" wrapText="1"/>
    </xf>
    <xf numFmtId="3" fontId="17" fillId="0" borderId="10" xfId="0" applyNumberFormat="1" applyFont="1" applyBorder="1" applyAlignment="1">
      <alignment horizontal="center" vertical="center" wrapText="1"/>
    </xf>
    <xf numFmtId="3" fontId="4" fillId="0" borderId="24" xfId="0" applyNumberFormat="1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17" fillId="0" borderId="10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3" fontId="4" fillId="0" borderId="5" xfId="0" applyNumberFormat="1" applyFont="1" applyBorder="1" applyAlignment="1">
      <alignment horizontal="center" vertical="center" wrapText="1"/>
    </xf>
    <xf numFmtId="167" fontId="4" fillId="0" borderId="3" xfId="0" applyNumberFormat="1" applyFont="1" applyBorder="1" applyAlignment="1">
      <alignment horizontal="center" vertical="center" wrapText="1"/>
    </xf>
    <xf numFmtId="3" fontId="4" fillId="0" borderId="9" xfId="0" applyNumberFormat="1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164" fontId="4" fillId="0" borderId="9" xfId="0" applyNumberFormat="1" applyFont="1" applyBorder="1" applyAlignment="1">
      <alignment horizontal="center" vertical="center" wrapText="1"/>
    </xf>
    <xf numFmtId="11" fontId="4" fillId="4" borderId="7" xfId="0" applyNumberFormat="1" applyFont="1" applyFill="1" applyBorder="1" applyAlignment="1">
      <alignment horizontal="center" vertical="center" wrapText="1"/>
    </xf>
    <xf numFmtId="11" fontId="5" fillId="4" borderId="10" xfId="0" applyNumberFormat="1" applyFont="1" applyFill="1" applyBorder="1" applyAlignment="1">
      <alignment horizontal="center" vertical="center" wrapText="1"/>
    </xf>
    <xf numFmtId="11" fontId="4" fillId="4" borderId="5" xfId="0" applyNumberFormat="1" applyFont="1" applyFill="1" applyBorder="1" applyAlignment="1">
      <alignment horizontal="center" vertical="center" wrapText="1"/>
    </xf>
    <xf numFmtId="11" fontId="4" fillId="4" borderId="10" xfId="0" applyNumberFormat="1" applyFont="1" applyFill="1" applyBorder="1" applyAlignment="1">
      <alignment horizontal="center" vertical="center" wrapText="1"/>
    </xf>
    <xf numFmtId="11" fontId="0" fillId="4" borderId="18" xfId="0" applyNumberFormat="1" applyFill="1" applyBorder="1" applyAlignment="1">
      <alignment horizontal="center" wrapText="1"/>
    </xf>
    <xf numFmtId="11" fontId="5" fillId="4" borderId="19" xfId="0" applyNumberFormat="1" applyFont="1" applyFill="1" applyBorder="1" applyAlignment="1">
      <alignment horizontal="center" vertical="center" wrapText="1"/>
    </xf>
    <xf numFmtId="11" fontId="0" fillId="4" borderId="19" xfId="0" applyNumberFormat="1" applyFill="1" applyBorder="1" applyAlignment="1">
      <alignment horizontal="center" wrapText="1"/>
    </xf>
    <xf numFmtId="11" fontId="4" fillId="4" borderId="19" xfId="0" applyNumberFormat="1" applyFont="1" applyFill="1" applyBorder="1" applyAlignment="1">
      <alignment horizontal="center" vertical="center" wrapText="1"/>
    </xf>
    <xf numFmtId="11" fontId="0" fillId="4" borderId="15" xfId="0" applyNumberFormat="1" applyFill="1" applyBorder="1" applyAlignment="1">
      <alignment horizontal="center" wrapText="1"/>
    </xf>
    <xf numFmtId="11" fontId="0" fillId="4" borderId="17" xfId="0" applyNumberFormat="1" applyFill="1" applyBorder="1" applyAlignment="1">
      <alignment horizontal="center" wrapText="1"/>
    </xf>
    <xf numFmtId="11" fontId="0" fillId="4" borderId="17" xfId="0" applyNumberFormat="1" applyFill="1" applyBorder="1" applyAlignment="1">
      <alignment horizontal="center" vertical="center" wrapText="1"/>
    </xf>
    <xf numFmtId="11" fontId="0" fillId="4" borderId="11" xfId="0" applyNumberFormat="1" applyFill="1" applyBorder="1" applyAlignment="1">
      <alignment horizontal="center" wrapText="1"/>
    </xf>
    <xf numFmtId="11" fontId="0" fillId="4" borderId="11" xfId="0" applyNumberFormat="1" applyFill="1" applyBorder="1" applyAlignment="1">
      <alignment horizontal="center" vertical="center" wrapText="1"/>
    </xf>
    <xf numFmtId="11" fontId="0" fillId="4" borderId="0" xfId="0" applyNumberFormat="1" applyFill="1"/>
    <xf numFmtId="0" fontId="0" fillId="4" borderId="0" xfId="0" applyFill="1"/>
    <xf numFmtId="0" fontId="15" fillId="4" borderId="0" xfId="0" applyFont="1" applyFill="1"/>
    <xf numFmtId="2" fontId="0" fillId="4" borderId="0" xfId="0" applyNumberFormat="1" applyFill="1"/>
    <xf numFmtId="0" fontId="0" fillId="0" borderId="38" xfId="0" applyBorder="1"/>
    <xf numFmtId="0" fontId="0" fillId="0" borderId="41" xfId="0" applyBorder="1"/>
    <xf numFmtId="0" fontId="0" fillId="0" borderId="0" xfId="0" applyBorder="1"/>
    <xf numFmtId="0" fontId="3" fillId="5" borderId="1" xfId="0" applyFont="1" applyFill="1" applyBorder="1" applyAlignment="1">
      <alignment horizontal="center" vertical="center" wrapText="1"/>
    </xf>
    <xf numFmtId="0" fontId="3" fillId="5" borderId="26" xfId="0" applyFont="1" applyFill="1" applyBorder="1" applyAlignment="1">
      <alignment horizontal="center" vertical="center" wrapText="1"/>
    </xf>
    <xf numFmtId="0" fontId="4" fillId="5" borderId="39" xfId="0" applyFont="1" applyFill="1" applyBorder="1" applyAlignment="1">
      <alignment horizontal="center" vertical="center" wrapText="1"/>
    </xf>
    <xf numFmtId="0" fontId="5" fillId="5" borderId="40" xfId="0" applyFont="1" applyFill="1" applyBorder="1" applyAlignment="1">
      <alignment horizontal="center" vertical="center" wrapText="1"/>
    </xf>
    <xf numFmtId="0" fontId="4" fillId="5" borderId="40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0" fillId="5" borderId="5" xfId="0" applyFill="1" applyBorder="1" applyAlignment="1">
      <alignment vertical="top" wrapText="1"/>
    </xf>
    <xf numFmtId="0" fontId="5" fillId="5" borderId="14" xfId="0" applyFont="1" applyFill="1" applyBorder="1" applyAlignment="1">
      <alignment horizontal="center" vertical="center" wrapText="1"/>
    </xf>
    <xf numFmtId="0" fontId="0" fillId="5" borderId="22" xfId="0" applyFill="1" applyBorder="1" applyAlignment="1">
      <alignment horizontal="center" vertical="top" wrapText="1"/>
    </xf>
    <xf numFmtId="3" fontId="5" fillId="5" borderId="5" xfId="0" applyNumberFormat="1" applyFont="1" applyFill="1" applyBorder="1" applyAlignment="1">
      <alignment horizontal="center" vertical="center" wrapText="1"/>
    </xf>
    <xf numFmtId="3" fontId="0" fillId="5" borderId="5" xfId="0" applyNumberFormat="1" applyFill="1" applyBorder="1" applyAlignment="1">
      <alignment horizontal="center" vertical="top" wrapText="1"/>
    </xf>
    <xf numFmtId="9" fontId="7" fillId="5" borderId="3" xfId="0" applyNumberFormat="1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2" fontId="5" fillId="5" borderId="9" xfId="0" applyNumberFormat="1" applyFont="1" applyFill="1" applyBorder="1" applyAlignment="1">
      <alignment horizontal="center" vertical="center" wrapText="1"/>
    </xf>
    <xf numFmtId="0" fontId="16" fillId="5" borderId="5" xfId="0" applyFont="1" applyFill="1" applyBorder="1" applyAlignment="1">
      <alignment horizontal="center" vertical="center" wrapText="1"/>
    </xf>
    <xf numFmtId="2" fontId="16" fillId="5" borderId="5" xfId="0" applyNumberFormat="1" applyFont="1" applyFill="1" applyBorder="1" applyAlignment="1">
      <alignment horizontal="center" vertical="center" wrapText="1"/>
    </xf>
    <xf numFmtId="2" fontId="5" fillId="5" borderId="3" xfId="0" applyNumberFormat="1" applyFont="1" applyFill="1" applyBorder="1" applyAlignment="1">
      <alignment horizontal="center" vertical="center" wrapText="1"/>
    </xf>
    <xf numFmtId="165" fontId="5" fillId="5" borderId="14" xfId="0" applyNumberFormat="1" applyFont="1" applyFill="1" applyBorder="1" applyAlignment="1">
      <alignment horizontal="center" vertical="center" wrapText="1"/>
    </xf>
    <xf numFmtId="164" fontId="5" fillId="5" borderId="9" xfId="0" applyNumberFormat="1" applyFont="1" applyFill="1" applyBorder="1" applyAlignment="1">
      <alignment horizontal="center" vertical="center" wrapText="1"/>
    </xf>
    <xf numFmtId="165" fontId="16" fillId="5" borderId="5" xfId="0" applyNumberFormat="1" applyFont="1" applyFill="1" applyBorder="1" applyAlignment="1">
      <alignment horizontal="center" vertical="center" wrapText="1"/>
    </xf>
    <xf numFmtId="164" fontId="16" fillId="5" borderId="5" xfId="0" applyNumberFormat="1" applyFont="1" applyFill="1" applyBorder="1" applyAlignment="1">
      <alignment horizontal="center" vertical="center" wrapText="1"/>
    </xf>
    <xf numFmtId="166" fontId="5" fillId="5" borderId="5" xfId="0" applyNumberFormat="1" applyFont="1" applyFill="1" applyBorder="1" applyAlignment="1">
      <alignment horizontal="center" vertical="center" wrapText="1"/>
    </xf>
    <xf numFmtId="164" fontId="5" fillId="5" borderId="5" xfId="0" applyNumberFormat="1" applyFont="1" applyFill="1" applyBorder="1" applyAlignment="1">
      <alignment horizontal="center" vertical="center" wrapText="1"/>
    </xf>
    <xf numFmtId="166" fontId="5" fillId="5" borderId="26" xfId="0" applyNumberFormat="1" applyFont="1" applyFill="1" applyBorder="1" applyAlignment="1">
      <alignment horizontal="center" vertical="center" wrapText="1"/>
    </xf>
    <xf numFmtId="164" fontId="5" fillId="5" borderId="26" xfId="0" applyNumberFormat="1" applyFont="1" applyFill="1" applyBorder="1" applyAlignment="1">
      <alignment horizontal="center" vertical="center" wrapText="1"/>
    </xf>
    <xf numFmtId="3" fontId="4" fillId="5" borderId="14" xfId="0" applyNumberFormat="1" applyFont="1" applyFill="1" applyBorder="1" applyAlignment="1">
      <alignment horizontal="center" vertical="center" wrapText="1"/>
    </xf>
    <xf numFmtId="3" fontId="4" fillId="5" borderId="33" xfId="0" applyNumberFormat="1" applyFont="1" applyFill="1" applyBorder="1" applyAlignment="1">
      <alignment horizontal="center" vertical="center" wrapText="1"/>
    </xf>
    <xf numFmtId="3" fontId="4" fillId="5" borderId="9" xfId="0" applyNumberFormat="1" applyFont="1" applyFill="1" applyBorder="1" applyAlignment="1">
      <alignment horizontal="center" vertical="center" wrapText="1"/>
    </xf>
    <xf numFmtId="3" fontId="17" fillId="5" borderId="34" xfId="0" applyNumberFormat="1" applyFont="1" applyFill="1" applyBorder="1" applyAlignment="1">
      <alignment horizontal="center" vertical="center" wrapText="1"/>
    </xf>
    <xf numFmtId="3" fontId="17" fillId="5" borderId="35" xfId="0" applyNumberFormat="1" applyFont="1" applyFill="1" applyBorder="1" applyAlignment="1">
      <alignment horizontal="center" vertical="center" wrapText="1"/>
    </xf>
    <xf numFmtId="3" fontId="17" fillId="5" borderId="10" xfId="0" applyNumberFormat="1" applyFont="1" applyFill="1" applyBorder="1" applyAlignment="1">
      <alignment horizontal="center" vertical="center" wrapText="1"/>
    </xf>
    <xf numFmtId="3" fontId="4" fillId="5" borderId="36" xfId="0" applyNumberFormat="1" applyFont="1" applyFill="1" applyBorder="1" applyAlignment="1">
      <alignment horizontal="center" vertical="center" wrapText="1"/>
    </xf>
    <xf numFmtId="3" fontId="4" fillId="5" borderId="37" xfId="0" applyNumberFormat="1" applyFont="1" applyFill="1" applyBorder="1" applyAlignment="1">
      <alignment horizontal="center" vertical="center" wrapText="1"/>
    </xf>
    <xf numFmtId="3" fontId="4" fillId="5" borderId="24" xfId="0" applyNumberFormat="1" applyFont="1" applyFill="1" applyBorder="1" applyAlignment="1">
      <alignment horizontal="center" vertical="center" wrapText="1"/>
    </xf>
    <xf numFmtId="0" fontId="12" fillId="0" borderId="20" xfId="0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5" fillId="5" borderId="17" xfId="0" applyFont="1" applyFill="1" applyBorder="1" applyAlignment="1">
      <alignment horizontal="center" vertical="center" wrapText="1"/>
    </xf>
    <xf numFmtId="0" fontId="5" fillId="5" borderId="10" xfId="0" applyFont="1" applyFill="1" applyBorder="1" applyAlignment="1">
      <alignment horizontal="center" vertical="center" wrapText="1"/>
    </xf>
    <xf numFmtId="0" fontId="5" fillId="5" borderId="11" xfId="0" applyFont="1" applyFill="1" applyBorder="1" applyAlignment="1">
      <alignment horizontal="center" vertical="center" wrapText="1"/>
    </xf>
    <xf numFmtId="0" fontId="5" fillId="5" borderId="9" xfId="0" applyFont="1" applyFill="1" applyBorder="1" applyAlignment="1">
      <alignment horizontal="center" vertical="center" wrapText="1"/>
    </xf>
    <xf numFmtId="3" fontId="5" fillId="5" borderId="9" xfId="0" applyNumberFormat="1" applyFont="1" applyFill="1" applyBorder="1" applyAlignment="1">
      <alignment horizontal="center" vertical="center" wrapText="1"/>
    </xf>
    <xf numFmtId="3" fontId="5" fillId="5" borderId="10" xfId="0" applyNumberFormat="1" applyFont="1" applyFill="1" applyBorder="1" applyAlignment="1">
      <alignment horizontal="center" vertical="center" wrapText="1"/>
    </xf>
    <xf numFmtId="9" fontId="5" fillId="5" borderId="9" xfId="0" applyNumberFormat="1" applyFont="1" applyFill="1" applyBorder="1" applyAlignment="1">
      <alignment horizontal="center" vertical="center" wrapText="1"/>
    </xf>
    <xf numFmtId="9" fontId="0" fillId="5" borderId="11" xfId="0" applyNumberFormat="1" applyFill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wrapText="1"/>
    </xf>
    <xf numFmtId="0" fontId="12" fillId="0" borderId="30" xfId="0" applyFont="1" applyBorder="1" applyAlignment="1">
      <alignment horizontal="center" vertical="center" wrapText="1"/>
    </xf>
    <xf numFmtId="0" fontId="0" fillId="0" borderId="29" xfId="0" applyBorder="1" applyAlignment="1">
      <alignment horizontal="center" vertical="center"/>
    </xf>
    <xf numFmtId="0" fontId="2" fillId="0" borderId="30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9" fillId="0" borderId="31" xfId="0" applyFont="1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9" fontId="4" fillId="0" borderId="6" xfId="0" applyNumberFormat="1" applyFont="1" applyBorder="1" applyAlignment="1">
      <alignment horizontal="center" vertical="center" wrapText="1"/>
    </xf>
    <xf numFmtId="9" fontId="0" fillId="0" borderId="8" xfId="0" applyNumberFormat="1" applyBorder="1" applyAlignment="1">
      <alignment horizontal="center" vertical="center" wrapText="1"/>
    </xf>
    <xf numFmtId="3" fontId="4" fillId="0" borderId="6" xfId="0" applyNumberFormat="1" applyFont="1" applyBorder="1" applyAlignment="1">
      <alignment horizontal="center" vertical="center" wrapText="1"/>
    </xf>
    <xf numFmtId="3" fontId="4" fillId="0" borderId="7" xfId="0" applyNumberFormat="1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1" fillId="4" borderId="31" xfId="0" applyFont="1" applyFill="1" applyBorder="1" applyAlignment="1">
      <alignment horizontal="center" vertical="center" wrapText="1"/>
    </xf>
    <xf numFmtId="0" fontId="1" fillId="4" borderId="29" xfId="0" applyFont="1" applyFill="1" applyBorder="1" applyAlignment="1">
      <alignment horizontal="center" wrapText="1"/>
    </xf>
    <xf numFmtId="11" fontId="0" fillId="4" borderId="10" xfId="0" applyNumberFormat="1" applyFill="1" applyBorder="1" applyAlignment="1">
      <alignment horizontal="center" vertical="center" wrapText="1"/>
    </xf>
    <xf numFmtId="11" fontId="0" fillId="4" borderId="19" xfId="0" applyNumberFormat="1" applyFill="1" applyBorder="1" applyAlignment="1">
      <alignment horizontal="center" vertical="center" wrapText="1"/>
    </xf>
    <xf numFmtId="11" fontId="5" fillId="4" borderId="10" xfId="0" applyNumberFormat="1" applyFont="1" applyFill="1" applyBorder="1" applyAlignment="1">
      <alignment horizontal="center" vertical="center" wrapText="1"/>
    </xf>
    <xf numFmtId="0" fontId="0" fillId="4" borderId="19" xfId="0" applyFill="1" applyBorder="1" applyAlignment="1">
      <alignment horizontal="center" vertical="center" wrapText="1"/>
    </xf>
    <xf numFmtId="11" fontId="4" fillId="4" borderId="10" xfId="0" applyNumberFormat="1" applyFont="1" applyFill="1" applyBorder="1" applyAlignment="1">
      <alignment horizontal="center" vertical="center" wrapText="1"/>
    </xf>
    <xf numFmtId="0" fontId="0" fillId="4" borderId="19" xfId="0" applyFill="1" applyBorder="1" applyAlignment="1">
      <alignment horizontal="center" wrapText="1"/>
    </xf>
    <xf numFmtId="0" fontId="12" fillId="4" borderId="30" xfId="0" applyFont="1" applyFill="1" applyBorder="1" applyAlignment="1">
      <alignment horizontal="center" vertical="center" wrapText="1"/>
    </xf>
    <xf numFmtId="11" fontId="0" fillId="4" borderId="17" xfId="0" applyNumberFormat="1" applyFill="1" applyBorder="1" applyAlignment="1">
      <alignment horizontal="center" vertical="center" wrapText="1"/>
    </xf>
    <xf numFmtId="11" fontId="0" fillId="4" borderId="11" xfId="0" applyNumberFormat="1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/>
    </xf>
    <xf numFmtId="0" fontId="0" fillId="4" borderId="11" xfId="0" applyFill="1" applyBorder="1" applyAlignment="1">
      <alignment vertical="center"/>
    </xf>
    <xf numFmtId="167" fontId="5" fillId="3" borderId="9" xfId="0" applyNumberFormat="1" applyFont="1" applyFill="1" applyBorder="1" applyAlignment="1">
      <alignment horizontal="center" vertical="center" wrapText="1"/>
    </xf>
    <xf numFmtId="167" fontId="5" fillId="3" borderId="10" xfId="0" applyNumberFormat="1" applyFont="1" applyFill="1" applyBorder="1" applyAlignment="1">
      <alignment horizontal="center" vertical="center" wrapText="1"/>
    </xf>
    <xf numFmtId="167" fontId="0" fillId="0" borderId="10" xfId="0" applyNumberFormat="1" applyBorder="1" applyAlignment="1">
      <alignment horizontal="center" vertical="center" wrapText="1"/>
    </xf>
    <xf numFmtId="164" fontId="4" fillId="0" borderId="9" xfId="0" applyNumberFormat="1" applyFont="1" applyBorder="1" applyAlignment="1">
      <alignment horizontal="center" vertical="center" wrapText="1"/>
    </xf>
    <xf numFmtId="164" fontId="4" fillId="0" borderId="10" xfId="0" applyNumberFormat="1" applyFont="1" applyBorder="1" applyAlignment="1">
      <alignment horizontal="center" vertical="center" wrapText="1"/>
    </xf>
    <xf numFmtId="164" fontId="0" fillId="0" borderId="10" xfId="0" applyNumberFormat="1" applyBorder="1" applyAlignment="1">
      <alignment horizontal="center" vertical="center" wrapText="1"/>
    </xf>
    <xf numFmtId="3" fontId="4" fillId="0" borderId="27" xfId="0" applyNumberFormat="1" applyFont="1" applyBorder="1" applyAlignment="1">
      <alignment horizontal="center" vertical="center" wrapText="1"/>
    </xf>
    <xf numFmtId="3" fontId="4" fillId="0" borderId="25" xfId="0" applyNumberFormat="1" applyFont="1" applyBorder="1" applyAlignment="1">
      <alignment horizontal="center" vertical="center" wrapText="1"/>
    </xf>
    <xf numFmtId="166" fontId="4" fillId="0" borderId="9" xfId="0" applyNumberFormat="1" applyFont="1" applyBorder="1" applyAlignment="1">
      <alignment horizontal="center" vertical="center" wrapText="1"/>
    </xf>
    <xf numFmtId="166" fontId="4" fillId="0" borderId="10" xfId="0" applyNumberFormat="1" applyFont="1" applyBorder="1" applyAlignment="1">
      <alignment horizontal="center" vertical="center" wrapText="1"/>
    </xf>
    <xf numFmtId="166" fontId="4" fillId="0" borderId="11" xfId="0" applyNumberFormat="1" applyFont="1" applyBorder="1" applyAlignment="1">
      <alignment horizontal="center" vertical="center" wrapText="1"/>
    </xf>
    <xf numFmtId="2" fontId="5" fillId="3" borderId="9" xfId="0" applyNumberFormat="1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3" fontId="5" fillId="3" borderId="9" xfId="0" applyNumberFormat="1" applyFont="1" applyFill="1" applyBorder="1" applyAlignment="1">
      <alignment horizontal="center" vertical="center" wrapText="1"/>
    </xf>
    <xf numFmtId="3" fontId="0" fillId="0" borderId="10" xfId="0" applyNumberFormat="1" applyBorder="1" applyAlignment="1">
      <alignment horizontal="center" vertical="center" wrapText="1"/>
    </xf>
    <xf numFmtId="3" fontId="4" fillId="0" borderId="9" xfId="0" applyNumberFormat="1" applyFont="1" applyBorder="1" applyAlignment="1">
      <alignment horizontal="center" vertical="center" wrapText="1"/>
    </xf>
    <xf numFmtId="3" fontId="4" fillId="0" borderId="10" xfId="0" applyNumberFormat="1" applyFont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11" fontId="0" fillId="0" borderId="0" xfId="0" applyNumberFormat="1" applyFill="1"/>
    <xf numFmtId="0" fontId="15" fillId="0" borderId="0" xfId="0" applyFont="1" applyFill="1"/>
    <xf numFmtId="0" fontId="1" fillId="0" borderId="0" xfId="0" applyFont="1" applyFill="1" applyBorder="1" applyAlignment="1">
      <alignment horizontal="center" vertical="center" wrapText="1"/>
    </xf>
    <xf numFmtId="11" fontId="4" fillId="0" borderId="0" xfId="0" applyNumberFormat="1" applyFont="1" applyFill="1" applyBorder="1" applyAlignment="1">
      <alignment horizontal="center" vertical="center" wrapText="1"/>
    </xf>
    <xf numFmtId="11" fontId="5" fillId="0" borderId="0" xfId="0" applyNumberFormat="1" applyFont="1" applyFill="1" applyBorder="1" applyAlignment="1">
      <alignment horizontal="center" vertical="center" wrapText="1"/>
    </xf>
    <xf numFmtId="0" fontId="0" fillId="0" borderId="0" xfId="0" applyFill="1" applyBorder="1"/>
    <xf numFmtId="0" fontId="1" fillId="0" borderId="0" xfId="0" applyFont="1" applyFill="1" applyBorder="1" applyAlignment="1">
      <alignment horizontal="center" wrapText="1"/>
    </xf>
    <xf numFmtId="11" fontId="0" fillId="0" borderId="0" xfId="0" applyNumberFormat="1" applyFill="1" applyBorder="1" applyAlignment="1">
      <alignment horizontal="center" wrapText="1"/>
    </xf>
    <xf numFmtId="11" fontId="0" fillId="0" borderId="0" xfId="0" applyNumberForma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  <xf numFmtId="11" fontId="0" fillId="0" borderId="0" xfId="0" applyNumberForma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11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11" fontId="0" fillId="0" borderId="0" xfId="0" applyNumberFormat="1" applyFill="1" applyBorder="1"/>
    <xf numFmtId="3" fontId="4" fillId="0" borderId="0" xfId="0" applyNumberFormat="1" applyFont="1" applyBorder="1" applyAlignment="1">
      <alignment vertical="center" wrapText="1"/>
    </xf>
    <xf numFmtId="11" fontId="0" fillId="0" borderId="0" xfId="0" applyNumberFormat="1" applyFill="1" applyBorder="1" applyAlignment="1">
      <alignment vertical="center" wrapText="1"/>
    </xf>
    <xf numFmtId="0" fontId="1" fillId="0" borderId="0" xfId="0" applyFont="1" applyFill="1" applyBorder="1" applyAlignment="1">
      <alignment wrapText="1"/>
    </xf>
    <xf numFmtId="0" fontId="20" fillId="0" borderId="0" xfId="0" applyFont="1" applyBorder="1" applyAlignment="1">
      <alignment vertical="center" wrapText="1"/>
    </xf>
    <xf numFmtId="3" fontId="18" fillId="0" borderId="0" xfId="0" applyNumberFormat="1" applyFont="1" applyBorder="1" applyAlignment="1">
      <alignment vertical="center" wrapText="1"/>
    </xf>
    <xf numFmtId="3" fontId="18" fillId="0" borderId="0" xfId="0" applyNumberFormat="1" applyFont="1" applyBorder="1" applyAlignment="1">
      <alignment horizontal="center" vertical="center" wrapText="1"/>
    </xf>
    <xf numFmtId="3" fontId="19" fillId="0" borderId="0" xfId="0" applyNumberFormat="1" applyFont="1" applyFill="1" applyBorder="1" applyAlignment="1">
      <alignment horizontal="center" vertical="center" wrapText="1"/>
    </xf>
    <xf numFmtId="0" fontId="0" fillId="3" borderId="0" xfId="0" applyFill="1" applyBorder="1"/>
    <xf numFmtId="0" fontId="25" fillId="0" borderId="0" xfId="0" applyFont="1" applyBorder="1" applyAlignment="1">
      <alignment horizontal="center" vertical="center" wrapText="1"/>
    </xf>
    <xf numFmtId="166" fontId="18" fillId="0" borderId="0" xfId="0" applyNumberFormat="1" applyFont="1" applyBorder="1" applyAlignment="1">
      <alignment vertical="center" wrapText="1"/>
    </xf>
    <xf numFmtId="2" fontId="26" fillId="0" borderId="0" xfId="0" applyNumberFormat="1" applyFont="1" applyFill="1" applyBorder="1" applyAlignment="1">
      <alignment horizontal="center" vertical="center" wrapText="1"/>
    </xf>
    <xf numFmtId="0" fontId="18" fillId="0" borderId="0" xfId="0" applyFont="1" applyBorder="1" applyAlignment="1">
      <alignment vertical="center" wrapText="1"/>
    </xf>
    <xf numFmtId="0" fontId="18" fillId="0" borderId="0" xfId="0" applyFont="1" applyBorder="1" applyAlignment="1">
      <alignment horizontal="center" vertical="center" wrapText="1"/>
    </xf>
    <xf numFmtId="2" fontId="19" fillId="0" borderId="0" xfId="0" applyNumberFormat="1" applyFont="1" applyFill="1" applyBorder="1" applyAlignment="1">
      <alignment horizontal="center" vertical="center" wrapText="1"/>
    </xf>
    <xf numFmtId="167" fontId="18" fillId="0" borderId="0" xfId="0" applyNumberFormat="1" applyFont="1" applyBorder="1" applyAlignment="1">
      <alignment horizontal="center" vertical="center" wrapText="1"/>
    </xf>
    <xf numFmtId="166" fontId="25" fillId="0" borderId="0" xfId="0" applyNumberFormat="1" applyFont="1" applyBorder="1" applyAlignment="1">
      <alignment horizontal="center" vertical="center" wrapText="1"/>
    </xf>
    <xf numFmtId="164" fontId="19" fillId="0" borderId="0" xfId="0" applyNumberFormat="1" applyFont="1" applyFill="1" applyBorder="1" applyAlignment="1">
      <alignment horizontal="center" vertical="center" wrapText="1"/>
    </xf>
    <xf numFmtId="167" fontId="19" fillId="3" borderId="0" xfId="0" applyNumberFormat="1" applyFont="1" applyFill="1" applyBorder="1" applyAlignment="1">
      <alignment vertical="center" wrapText="1"/>
    </xf>
    <xf numFmtId="165" fontId="25" fillId="0" borderId="0" xfId="0" applyNumberFormat="1" applyFont="1" applyBorder="1" applyAlignment="1">
      <alignment horizontal="center" vertical="center" wrapText="1"/>
    </xf>
    <xf numFmtId="164" fontId="18" fillId="0" borderId="0" xfId="0" applyNumberFormat="1" applyFont="1" applyBorder="1" applyAlignment="1">
      <alignment vertical="center" wrapText="1"/>
    </xf>
    <xf numFmtId="2" fontId="18" fillId="0" borderId="0" xfId="0" applyNumberFormat="1" applyFont="1" applyBorder="1" applyAlignment="1">
      <alignment horizontal="center" vertical="center" wrapText="1"/>
    </xf>
    <xf numFmtId="166" fontId="19" fillId="0" borderId="0" xfId="0" applyNumberFormat="1" applyFont="1" applyFill="1" applyBorder="1" applyAlignment="1">
      <alignment horizontal="center" vertical="center" wrapText="1"/>
    </xf>
    <xf numFmtId="167" fontId="18" fillId="0" borderId="0" xfId="0" applyNumberFormat="1" applyFont="1" applyBorder="1" applyAlignment="1">
      <alignment vertical="center" wrapText="1"/>
    </xf>
    <xf numFmtId="0" fontId="21" fillId="0" borderId="0" xfId="0" applyFont="1" applyBorder="1" applyAlignment="1">
      <alignment vertical="center" wrapText="1"/>
    </xf>
    <xf numFmtId="3" fontId="25" fillId="0" borderId="0" xfId="0" applyNumberFormat="1" applyFont="1" applyBorder="1" applyAlignment="1">
      <alignment horizontal="center" vertical="center" wrapText="1"/>
    </xf>
    <xf numFmtId="3" fontId="18" fillId="0" borderId="0" xfId="0" applyNumberFormat="1" applyFont="1" applyBorder="1" applyAlignment="1">
      <alignment horizontal="center" vertical="center" wrapText="1"/>
    </xf>
    <xf numFmtId="0" fontId="24" fillId="0" borderId="0" xfId="0" applyFont="1" applyFill="1" applyBorder="1" applyAlignment="1">
      <alignment horizontal="center" vertical="center" wrapText="1"/>
    </xf>
    <xf numFmtId="0" fontId="18" fillId="0" borderId="0" xfId="0" applyFont="1" applyFill="1" applyBorder="1" applyAlignment="1">
      <alignment horizontal="center" vertical="center" wrapText="1"/>
    </xf>
    <xf numFmtId="0" fontId="19" fillId="0" borderId="0" xfId="0" applyFont="1" applyFill="1" applyBorder="1" applyAlignment="1">
      <alignment horizontal="center" vertical="center" wrapText="1"/>
    </xf>
    <xf numFmtId="0" fontId="19" fillId="0" borderId="0" xfId="0" applyFont="1" applyFill="1" applyBorder="1" applyAlignment="1">
      <alignment vertical="center" wrapText="1"/>
    </xf>
    <xf numFmtId="0" fontId="23" fillId="0" borderId="0" xfId="0" applyFont="1" applyFill="1" applyBorder="1" applyAlignment="1">
      <alignment horizontal="center" vertical="center" wrapText="1"/>
    </xf>
    <xf numFmtId="0" fontId="20" fillId="0" borderId="0" xfId="0" applyFont="1" applyFill="1" applyBorder="1" applyAlignment="1">
      <alignment horizontal="center" vertical="center" wrapText="1"/>
    </xf>
    <xf numFmtId="0" fontId="20" fillId="0" borderId="0" xfId="0" applyFont="1" applyFill="1" applyBorder="1" applyAlignment="1">
      <alignment vertical="center" wrapText="1"/>
    </xf>
    <xf numFmtId="0" fontId="18" fillId="0" borderId="0" xfId="0" applyFont="1" applyFill="1" applyBorder="1" applyAlignment="1">
      <alignment vertical="center" wrapText="1"/>
    </xf>
    <xf numFmtId="3" fontId="18" fillId="0" borderId="0" xfId="0" applyNumberFormat="1" applyFont="1" applyFill="1" applyBorder="1" applyAlignment="1">
      <alignment vertical="center" wrapText="1"/>
    </xf>
    <xf numFmtId="3" fontId="19" fillId="0" borderId="0" xfId="0" applyNumberFormat="1" applyFont="1" applyFill="1" applyBorder="1" applyAlignment="1">
      <alignment vertical="center" wrapText="1"/>
    </xf>
    <xf numFmtId="164" fontId="18" fillId="0" borderId="0" xfId="0" applyNumberFormat="1" applyFont="1" applyFill="1" applyBorder="1" applyAlignment="1">
      <alignment horizontal="center" vertical="center"/>
    </xf>
    <xf numFmtId="1" fontId="18" fillId="0" borderId="0" xfId="0" applyNumberFormat="1" applyFont="1" applyFill="1" applyBorder="1" applyAlignment="1">
      <alignment vertical="center" wrapText="1"/>
    </xf>
    <xf numFmtId="9" fontId="18" fillId="0" borderId="0" xfId="0" applyNumberFormat="1" applyFont="1" applyFill="1" applyBorder="1" applyAlignment="1">
      <alignment horizontal="center" vertical="center" wrapText="1"/>
    </xf>
    <xf numFmtId="9" fontId="19" fillId="0" borderId="0" xfId="0" applyNumberFormat="1" applyFont="1" applyFill="1" applyBorder="1" applyAlignment="1">
      <alignment vertical="center" wrapText="1"/>
    </xf>
    <xf numFmtId="0" fontId="19" fillId="0" borderId="0" xfId="0" applyNumberFormat="1" applyFont="1" applyFill="1" applyBorder="1" applyAlignment="1">
      <alignment vertical="center" wrapText="1"/>
    </xf>
    <xf numFmtId="3" fontId="18" fillId="0" borderId="0" xfId="0" applyNumberFormat="1" applyFont="1" applyFill="1" applyBorder="1" applyAlignment="1">
      <alignment horizontal="center" vertical="center" wrapText="1"/>
    </xf>
    <xf numFmtId="166" fontId="18" fillId="0" borderId="0" xfId="0" applyNumberFormat="1" applyFont="1" applyFill="1" applyBorder="1" applyAlignment="1">
      <alignment vertical="center" wrapText="1"/>
    </xf>
    <xf numFmtId="2" fontId="19" fillId="0" borderId="0" xfId="0" applyNumberFormat="1" applyFont="1" applyFill="1" applyBorder="1" applyAlignment="1">
      <alignment vertical="center" wrapText="1"/>
    </xf>
    <xf numFmtId="166" fontId="18" fillId="0" borderId="0" xfId="0" applyNumberFormat="1" applyFont="1" applyFill="1" applyBorder="1" applyAlignment="1">
      <alignment horizontal="center" vertical="center" wrapText="1"/>
    </xf>
    <xf numFmtId="167" fontId="19" fillId="0" borderId="0" xfId="0" applyNumberFormat="1" applyFont="1" applyFill="1" applyBorder="1" applyAlignment="1">
      <alignment vertical="center" wrapText="1"/>
    </xf>
    <xf numFmtId="165" fontId="18" fillId="0" borderId="0" xfId="0" applyNumberFormat="1" applyFont="1" applyFill="1" applyBorder="1" applyAlignment="1">
      <alignment horizontal="center" vertical="center" wrapText="1"/>
    </xf>
    <xf numFmtId="164" fontId="18" fillId="0" borderId="0" xfId="0" applyNumberFormat="1" applyFont="1" applyFill="1" applyBorder="1" applyAlignment="1">
      <alignment horizontal="center" vertical="center" wrapText="1"/>
    </xf>
    <xf numFmtId="164" fontId="18" fillId="0" borderId="0" xfId="0" applyNumberFormat="1" applyFont="1" applyFill="1" applyBorder="1" applyAlignment="1">
      <alignment vertical="center" wrapText="1"/>
    </xf>
    <xf numFmtId="165" fontId="19" fillId="0" borderId="0" xfId="0" applyNumberFormat="1" applyFont="1" applyFill="1" applyBorder="1" applyAlignment="1">
      <alignment horizontal="center" vertical="center" wrapText="1"/>
    </xf>
    <xf numFmtId="2" fontId="18" fillId="0" borderId="0" xfId="0" applyNumberFormat="1" applyFont="1" applyFill="1" applyBorder="1" applyAlignment="1">
      <alignment horizontal="center" vertical="center" wrapText="1"/>
    </xf>
    <xf numFmtId="0" fontId="21" fillId="0" borderId="0" xfId="0" applyFont="1" applyFill="1" applyBorder="1" applyAlignment="1">
      <alignment vertical="center" wrapText="1"/>
    </xf>
    <xf numFmtId="1" fontId="18" fillId="0" borderId="0" xfId="0" applyNumberFormat="1" applyFont="1" applyFill="1" applyBorder="1" applyAlignment="1">
      <alignment horizontal="center" vertical="center" wrapText="1"/>
    </xf>
    <xf numFmtId="9" fontId="18" fillId="0" borderId="0" xfId="0" applyNumberFormat="1" applyFont="1" applyFill="1" applyBorder="1" applyAlignment="1">
      <alignment vertical="center" wrapText="1"/>
    </xf>
    <xf numFmtId="9" fontId="19" fillId="0" borderId="0" xfId="0" applyNumberFormat="1" applyFont="1" applyFill="1" applyBorder="1" applyAlignment="1">
      <alignment horizontal="center" vertical="center" wrapText="1"/>
    </xf>
    <xf numFmtId="0" fontId="18" fillId="0" borderId="0" xfId="0" applyNumberFormat="1" applyFont="1" applyFill="1" applyBorder="1" applyAlignment="1">
      <alignment vertical="center" wrapText="1"/>
    </xf>
    <xf numFmtId="0" fontId="25" fillId="0" borderId="0" xfId="0" applyFont="1" applyFill="1" applyBorder="1" applyAlignment="1">
      <alignment horizontal="center" vertical="center" wrapText="1"/>
    </xf>
    <xf numFmtId="0" fontId="26" fillId="0" borderId="0" xfId="0" applyFont="1" applyFill="1" applyBorder="1" applyAlignment="1">
      <alignment horizontal="center" vertical="center" wrapText="1"/>
    </xf>
    <xf numFmtId="166" fontId="25" fillId="0" borderId="0" xfId="0" applyNumberFormat="1" applyFont="1" applyFill="1" applyBorder="1" applyAlignment="1">
      <alignment horizontal="center" vertical="center" wrapText="1"/>
    </xf>
    <xf numFmtId="165" fontId="26" fillId="0" borderId="0" xfId="0" applyNumberFormat="1" applyFont="1" applyFill="1" applyBorder="1" applyAlignment="1">
      <alignment horizontal="center" vertical="center" wrapText="1"/>
    </xf>
    <xf numFmtId="164" fontId="26" fillId="0" borderId="0" xfId="0" applyNumberFormat="1" applyFont="1" applyFill="1" applyBorder="1" applyAlignment="1">
      <alignment horizontal="center" vertical="center" wrapText="1"/>
    </xf>
    <xf numFmtId="3" fontId="25" fillId="0" borderId="0" xfId="0" applyNumberFormat="1" applyFont="1" applyFill="1" applyBorder="1" applyAlignment="1">
      <alignment horizontal="center" vertical="center" wrapText="1"/>
    </xf>
    <xf numFmtId="9" fontId="0" fillId="5" borderId="14" xfId="0" applyNumberForma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3" fontId="0" fillId="0" borderId="9" xfId="0" applyNumberFormat="1" applyBorder="1"/>
    <xf numFmtId="3" fontId="5" fillId="0" borderId="10" xfId="0" applyNumberFormat="1" applyFont="1" applyBorder="1" applyAlignment="1">
      <alignment horizontal="center" vertical="center" wrapText="1"/>
    </xf>
    <xf numFmtId="2" fontId="5" fillId="0" borderId="9" xfId="0" applyNumberFormat="1" applyFont="1" applyBorder="1" applyAlignment="1">
      <alignment horizontal="center" vertical="center" wrapText="1"/>
    </xf>
    <xf numFmtId="2" fontId="16" fillId="0" borderId="5" xfId="0" applyNumberFormat="1" applyFont="1" applyBorder="1" applyAlignment="1">
      <alignment horizontal="center" vertical="center" wrapText="1"/>
    </xf>
    <xf numFmtId="2" fontId="5" fillId="0" borderId="3" xfId="0" applyNumberFormat="1" applyFont="1" applyBorder="1" applyAlignment="1">
      <alignment horizontal="center" vertical="center" wrapText="1"/>
    </xf>
    <xf numFmtId="164" fontId="5" fillId="0" borderId="9" xfId="0" applyNumberFormat="1" applyFont="1" applyBorder="1" applyAlignment="1">
      <alignment horizontal="center" vertical="center" wrapText="1"/>
    </xf>
    <xf numFmtId="164" fontId="5" fillId="0" borderId="5" xfId="0" applyNumberFormat="1" applyFont="1" applyBorder="1" applyAlignment="1">
      <alignment horizontal="center" vertical="center" wrapText="1"/>
    </xf>
    <xf numFmtId="166" fontId="5" fillId="0" borderId="5" xfId="0" applyNumberFormat="1" applyFont="1" applyBorder="1" applyAlignment="1">
      <alignment horizontal="center" vertical="center" wrapText="1"/>
    </xf>
    <xf numFmtId="164" fontId="5" fillId="0" borderId="26" xfId="0" applyNumberFormat="1" applyFont="1" applyBorder="1" applyAlignment="1">
      <alignment horizontal="center" vertical="center" wrapText="1"/>
    </xf>
    <xf numFmtId="3" fontId="4" fillId="0" borderId="0" xfId="0" applyNumberFormat="1" applyFont="1" applyAlignment="1">
      <alignment horizontal="center" vertical="center" wrapText="1"/>
    </xf>
    <xf numFmtId="0" fontId="0" fillId="4" borderId="31" xfId="0" applyFill="1" applyBorder="1" applyAlignment="1">
      <alignment horizontal="center" vertical="center"/>
    </xf>
    <xf numFmtId="11" fontId="0" fillId="4" borderId="7" xfId="0" applyNumberFormat="1" applyFill="1" applyBorder="1" applyAlignment="1">
      <alignment horizontal="center" vertical="center"/>
    </xf>
    <xf numFmtId="0" fontId="12" fillId="4" borderId="0" xfId="0" applyFont="1" applyFill="1" applyBorder="1" applyAlignment="1">
      <alignment horizontal="center" vertical="center" wrapText="1"/>
    </xf>
    <xf numFmtId="11" fontId="0" fillId="4" borderId="0" xfId="0" applyNumberFormat="1" applyFill="1" applyBorder="1"/>
    <xf numFmtId="0" fontId="0" fillId="4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91D3B-FE6B-4214-9B42-CAAF57ECB2F8}">
  <dimension ref="B2:Q33"/>
  <sheetViews>
    <sheetView tabSelected="1" zoomScale="120" zoomScaleNormal="120" workbookViewId="0">
      <selection activeCell="I17" sqref="I17"/>
    </sheetView>
  </sheetViews>
  <sheetFormatPr baseColWidth="10" defaultColWidth="8.83203125" defaultRowHeight="15"/>
  <cols>
    <col min="2" max="2" width="26" customWidth="1"/>
    <col min="3" max="3" width="12.5" customWidth="1"/>
    <col min="4" max="4" width="13.83203125" customWidth="1"/>
    <col min="5" max="5" width="13.6640625" style="24" customWidth="1"/>
    <col min="6" max="6" width="13.6640625" style="22" customWidth="1"/>
    <col min="7" max="7" width="13.5" customWidth="1"/>
    <col min="8" max="8" width="12.5" customWidth="1"/>
    <col min="9" max="10" width="14.5" customWidth="1"/>
    <col min="11" max="11" width="14.1640625" bestFit="1" customWidth="1"/>
    <col min="12" max="12" width="10.5" bestFit="1" customWidth="1"/>
    <col min="13" max="13" width="11.83203125" customWidth="1"/>
  </cols>
  <sheetData>
    <row r="2" spans="2:15" ht="51">
      <c r="B2" s="219" t="s">
        <v>6</v>
      </c>
      <c r="C2" s="219" t="s">
        <v>0</v>
      </c>
      <c r="D2" s="219" t="s">
        <v>2</v>
      </c>
      <c r="E2" s="215" t="s">
        <v>36</v>
      </c>
      <c r="F2" s="215" t="s">
        <v>24</v>
      </c>
      <c r="G2" s="219" t="s">
        <v>4</v>
      </c>
      <c r="H2" s="219" t="s">
        <v>45</v>
      </c>
      <c r="I2" s="219" t="s">
        <v>5</v>
      </c>
      <c r="J2" s="219" t="s">
        <v>44</v>
      </c>
      <c r="K2" s="219" t="s">
        <v>62</v>
      </c>
      <c r="L2" s="219" t="s">
        <v>0</v>
      </c>
      <c r="M2" s="215" t="s">
        <v>1</v>
      </c>
      <c r="N2" s="215" t="s">
        <v>54</v>
      </c>
      <c r="O2" s="215" t="s">
        <v>3</v>
      </c>
    </row>
    <row r="3" spans="2:15" ht="30" customHeight="1">
      <c r="B3" s="220" t="s">
        <v>7</v>
      </c>
      <c r="C3" s="216" t="s">
        <v>8</v>
      </c>
      <c r="D3" s="216" t="s">
        <v>9</v>
      </c>
      <c r="E3" s="217" t="s">
        <v>50</v>
      </c>
      <c r="F3" s="217" t="s">
        <v>8</v>
      </c>
      <c r="G3" s="216" t="s">
        <v>8</v>
      </c>
      <c r="H3" s="216" t="s">
        <v>50</v>
      </c>
      <c r="I3" s="216" t="s">
        <v>8</v>
      </c>
      <c r="J3" s="216" t="s">
        <v>50</v>
      </c>
      <c r="K3" s="220" t="s">
        <v>7</v>
      </c>
      <c r="L3" s="216" t="s">
        <v>56</v>
      </c>
      <c r="M3" s="216" t="s">
        <v>56</v>
      </c>
      <c r="N3" s="217" t="s">
        <v>55</v>
      </c>
      <c r="O3" s="216" t="s">
        <v>56</v>
      </c>
    </row>
    <row r="4" spans="2:15" ht="25" customHeight="1">
      <c r="B4" s="220" t="s">
        <v>65</v>
      </c>
      <c r="C4" s="216" t="s">
        <v>53</v>
      </c>
      <c r="D4" s="216" t="s">
        <v>52</v>
      </c>
      <c r="E4" s="217" t="s">
        <v>51</v>
      </c>
      <c r="F4" s="217" t="s">
        <v>53</v>
      </c>
      <c r="G4" s="216" t="s">
        <v>49</v>
      </c>
      <c r="H4" s="216" t="s">
        <v>51</v>
      </c>
      <c r="I4" s="216" t="s">
        <v>53</v>
      </c>
      <c r="J4" s="216" t="s">
        <v>51</v>
      </c>
      <c r="K4" s="221" t="s">
        <v>14</v>
      </c>
      <c r="L4" s="222">
        <v>40</v>
      </c>
      <c r="M4" s="217" t="s">
        <v>66</v>
      </c>
      <c r="N4" s="218" t="s">
        <v>57</v>
      </c>
      <c r="O4" s="218">
        <v>40</v>
      </c>
    </row>
    <row r="5" spans="2:15" ht="15" customHeight="1">
      <c r="B5" s="221" t="s">
        <v>47</v>
      </c>
      <c r="C5" s="222">
        <v>40</v>
      </c>
      <c r="D5" s="222">
        <v>30.5</v>
      </c>
      <c r="E5" s="218" t="s">
        <v>33</v>
      </c>
      <c r="F5" s="218">
        <v>28.6</v>
      </c>
      <c r="G5" s="222" t="s">
        <v>10</v>
      </c>
      <c r="H5" s="222">
        <v>28</v>
      </c>
      <c r="I5" s="222">
        <v>50</v>
      </c>
      <c r="J5" s="222">
        <v>14</v>
      </c>
      <c r="K5" s="221" t="s">
        <v>16</v>
      </c>
      <c r="L5" s="222">
        <v>2.5000000000000001E-2</v>
      </c>
      <c r="M5" s="217" t="s">
        <v>91</v>
      </c>
      <c r="N5" s="218" t="s">
        <v>58</v>
      </c>
      <c r="O5" s="218">
        <v>1</v>
      </c>
    </row>
    <row r="6" spans="2:15" ht="32">
      <c r="B6" s="220" t="s">
        <v>15</v>
      </c>
      <c r="C6" s="216" t="s">
        <v>11</v>
      </c>
      <c r="D6" s="216">
        <v>15.25</v>
      </c>
      <c r="E6" s="217" t="s">
        <v>12</v>
      </c>
      <c r="F6" s="217" t="s">
        <v>12</v>
      </c>
      <c r="G6" s="216">
        <v>10</v>
      </c>
      <c r="H6" s="216" t="s">
        <v>11</v>
      </c>
      <c r="I6" s="216" t="s">
        <v>11</v>
      </c>
      <c r="J6" s="216" t="s">
        <v>11</v>
      </c>
      <c r="K6" s="221" t="s">
        <v>13</v>
      </c>
      <c r="L6" s="223">
        <v>5280</v>
      </c>
      <c r="M6" s="195" t="s">
        <v>92</v>
      </c>
      <c r="N6" s="224" t="s">
        <v>12</v>
      </c>
      <c r="O6" s="224">
        <v>5</v>
      </c>
    </row>
    <row r="7" spans="2:15" ht="15" customHeight="1">
      <c r="B7" s="221" t="s">
        <v>16</v>
      </c>
      <c r="C7" s="222">
        <v>2.5000000000000001E-2</v>
      </c>
      <c r="D7" s="225" t="s">
        <v>67</v>
      </c>
      <c r="E7" s="216" t="s">
        <v>68</v>
      </c>
      <c r="F7" s="218">
        <v>0.01</v>
      </c>
      <c r="G7" s="222">
        <v>6.0999999999999999E-2</v>
      </c>
      <c r="H7" s="216" t="s">
        <v>69</v>
      </c>
      <c r="I7" s="222">
        <v>3.7499999999999999E-2</v>
      </c>
      <c r="J7" s="216" t="s">
        <v>70</v>
      </c>
      <c r="K7" s="221" t="s">
        <v>21</v>
      </c>
      <c r="L7" s="226">
        <v>100</v>
      </c>
      <c r="M7" s="227" t="s">
        <v>93</v>
      </c>
      <c r="N7" s="228" t="s">
        <v>12</v>
      </c>
      <c r="O7" s="229">
        <v>38</v>
      </c>
    </row>
    <row r="8" spans="2:15" ht="48">
      <c r="B8" s="221" t="s">
        <v>13</v>
      </c>
      <c r="C8" s="223">
        <v>5280</v>
      </c>
      <c r="D8" s="230" t="s">
        <v>71</v>
      </c>
      <c r="E8" s="195" t="s">
        <v>72</v>
      </c>
      <c r="F8" s="224">
        <v>844.3949066099234</v>
      </c>
      <c r="G8" s="223">
        <v>31400</v>
      </c>
      <c r="H8" s="195" t="s">
        <v>73</v>
      </c>
      <c r="I8" s="223">
        <v>11900</v>
      </c>
      <c r="J8" s="195" t="s">
        <v>74</v>
      </c>
      <c r="K8" s="220" t="s">
        <v>63</v>
      </c>
      <c r="L8" s="216" t="s">
        <v>12</v>
      </c>
      <c r="M8" s="217" t="s">
        <v>17</v>
      </c>
      <c r="N8" s="217" t="s">
        <v>12</v>
      </c>
      <c r="O8" s="217" t="s">
        <v>19</v>
      </c>
    </row>
    <row r="9" spans="2:15" ht="32">
      <c r="B9" s="221" t="s">
        <v>20</v>
      </c>
      <c r="C9" s="216" t="s">
        <v>75</v>
      </c>
      <c r="D9" s="231">
        <v>4.9301606104669646E-2</v>
      </c>
      <c r="E9" s="202" t="s">
        <v>76</v>
      </c>
      <c r="F9" s="232">
        <v>8.3000000000000007</v>
      </c>
      <c r="G9" s="216" t="s">
        <v>77</v>
      </c>
      <c r="H9" s="216" t="s">
        <v>78</v>
      </c>
      <c r="I9" s="222">
        <v>1</v>
      </c>
      <c r="J9" s="216" t="s">
        <v>79</v>
      </c>
      <c r="K9" s="221" t="s">
        <v>20</v>
      </c>
      <c r="L9" s="216" t="s">
        <v>75</v>
      </c>
      <c r="M9" s="217" t="s">
        <v>94</v>
      </c>
      <c r="N9" s="202"/>
      <c r="O9" s="202" t="s">
        <v>95</v>
      </c>
    </row>
    <row r="10" spans="2:15" ht="40" customHeight="1">
      <c r="B10" s="221" t="s">
        <v>39</v>
      </c>
      <c r="C10" s="233" t="s">
        <v>80</v>
      </c>
      <c r="D10" s="222" t="s">
        <v>22</v>
      </c>
      <c r="E10" s="205" t="s">
        <v>81</v>
      </c>
      <c r="F10" s="234">
        <v>19.563287612827818</v>
      </c>
      <c r="G10" s="235" t="s">
        <v>82</v>
      </c>
      <c r="H10" s="236" t="s">
        <v>83</v>
      </c>
      <c r="I10" s="237">
        <v>1.2570787221094179E-2</v>
      </c>
      <c r="J10" s="235" t="s">
        <v>84</v>
      </c>
      <c r="K10" s="221" t="s">
        <v>39</v>
      </c>
      <c r="L10" s="233" t="s">
        <v>96</v>
      </c>
      <c r="M10" s="238" t="s">
        <v>97</v>
      </c>
      <c r="N10" s="205" t="s">
        <v>98</v>
      </c>
      <c r="O10" s="205" t="s">
        <v>99</v>
      </c>
    </row>
    <row r="11" spans="2:15" ht="112">
      <c r="B11" s="220" t="s">
        <v>25</v>
      </c>
      <c r="C11" s="239" t="s">
        <v>26</v>
      </c>
      <c r="D11" s="216" t="s">
        <v>28</v>
      </c>
      <c r="E11" s="205" t="s">
        <v>34</v>
      </c>
      <c r="F11" s="216" t="s">
        <v>32</v>
      </c>
      <c r="G11" s="239" t="s">
        <v>30</v>
      </c>
      <c r="H11" s="236" t="s">
        <v>48</v>
      </c>
      <c r="I11" s="236" t="s">
        <v>31</v>
      </c>
      <c r="J11" s="236" t="s">
        <v>35</v>
      </c>
      <c r="K11" s="220" t="s">
        <v>25</v>
      </c>
      <c r="L11" s="239" t="s">
        <v>26</v>
      </c>
      <c r="M11" s="210" t="s">
        <v>27</v>
      </c>
      <c r="N11" s="205" t="s">
        <v>59</v>
      </c>
      <c r="O11" s="205" t="s">
        <v>29</v>
      </c>
    </row>
    <row r="12" spans="2:15" ht="32">
      <c r="B12" s="240" t="s">
        <v>64</v>
      </c>
      <c r="C12" s="241" t="s">
        <v>85</v>
      </c>
      <c r="D12" s="241" t="s">
        <v>86</v>
      </c>
      <c r="E12" s="241" t="s">
        <v>87</v>
      </c>
      <c r="F12" s="226">
        <v>881000</v>
      </c>
      <c r="G12" s="241" t="s">
        <v>88</v>
      </c>
      <c r="H12" s="241" t="s">
        <v>89</v>
      </c>
      <c r="I12" s="226">
        <v>28300</v>
      </c>
      <c r="J12" s="241" t="s">
        <v>90</v>
      </c>
      <c r="K12" s="240" t="s">
        <v>64</v>
      </c>
      <c r="L12" s="230" t="s">
        <v>85</v>
      </c>
      <c r="M12" s="230" t="s">
        <v>100</v>
      </c>
      <c r="N12" s="230" t="s">
        <v>12</v>
      </c>
      <c r="O12" s="230" t="s">
        <v>101</v>
      </c>
    </row>
    <row r="13" spans="2:15">
      <c r="B13" s="192"/>
      <c r="C13" s="193"/>
      <c r="D13" s="194"/>
      <c r="E13" s="195"/>
      <c r="F13" s="193"/>
      <c r="G13" s="193"/>
      <c r="H13" s="195"/>
      <c r="I13" s="193"/>
      <c r="J13" s="195"/>
      <c r="K13" s="222"/>
      <c r="L13" s="242"/>
      <c r="M13" s="243"/>
      <c r="N13" s="242"/>
      <c r="O13" s="244"/>
    </row>
    <row r="14" spans="2:15">
      <c r="B14" s="80"/>
      <c r="C14" s="80"/>
      <c r="D14" s="80"/>
      <c r="E14" s="179"/>
      <c r="F14" s="196"/>
      <c r="G14" s="80"/>
      <c r="H14" s="80"/>
      <c r="I14" s="80"/>
      <c r="J14" s="80"/>
      <c r="K14" s="179"/>
      <c r="L14" s="179"/>
      <c r="M14" s="179"/>
      <c r="N14" s="179"/>
      <c r="O14" s="179"/>
    </row>
    <row r="15" spans="2:15">
      <c r="B15" s="192"/>
      <c r="C15" s="197"/>
      <c r="D15" s="198"/>
      <c r="E15" s="199"/>
      <c r="F15" s="200"/>
      <c r="G15" s="197"/>
      <c r="H15" s="197"/>
      <c r="I15" s="200"/>
      <c r="J15" s="197"/>
      <c r="K15" s="179"/>
      <c r="L15" s="179"/>
      <c r="M15" s="179"/>
      <c r="N15" s="179"/>
      <c r="O15" s="179"/>
    </row>
    <row r="16" spans="2:15">
      <c r="B16" s="200"/>
      <c r="C16" s="201"/>
      <c r="D16" s="198"/>
      <c r="E16" s="202"/>
      <c r="F16" s="200"/>
      <c r="G16" s="203"/>
      <c r="H16" s="201"/>
      <c r="I16" s="200"/>
      <c r="J16" s="201"/>
      <c r="K16" s="221"/>
      <c r="L16" s="245"/>
      <c r="M16" s="246"/>
      <c r="N16" s="199"/>
      <c r="O16" s="199"/>
    </row>
    <row r="17" spans="2:17" ht="17.25" customHeight="1">
      <c r="B17" s="80"/>
      <c r="C17" s="80"/>
      <c r="D17" s="80"/>
      <c r="E17" s="179"/>
      <c r="F17" s="196"/>
      <c r="G17" s="80"/>
      <c r="H17" s="80"/>
      <c r="I17" s="80"/>
      <c r="J17" s="80"/>
      <c r="K17" s="222"/>
      <c r="L17" s="216"/>
      <c r="M17" s="217"/>
      <c r="N17" s="202"/>
      <c r="O17" s="202"/>
    </row>
    <row r="18" spans="2:17" ht="14.25" customHeight="1">
      <c r="B18" s="192"/>
      <c r="C18" s="204"/>
      <c r="D18" s="200"/>
      <c r="E18" s="205"/>
      <c r="F18" s="206"/>
      <c r="G18" s="207"/>
      <c r="H18" s="207"/>
      <c r="I18" s="208"/>
      <c r="J18" s="207"/>
      <c r="K18" s="221"/>
      <c r="L18" s="233"/>
      <c r="M18" s="238"/>
      <c r="N18" s="205"/>
      <c r="O18" s="205"/>
    </row>
    <row r="19" spans="2:17" ht="14.25" customHeight="1">
      <c r="B19" s="200"/>
      <c r="C19" s="209"/>
      <c r="D19" s="200"/>
      <c r="E19" s="210"/>
      <c r="F19" s="211"/>
      <c r="G19" s="209"/>
      <c r="H19" s="209"/>
      <c r="I19" s="208"/>
      <c r="J19" s="209"/>
      <c r="K19" s="221"/>
      <c r="L19" s="247"/>
      <c r="M19" s="248"/>
      <c r="N19" s="249"/>
      <c r="O19" s="249"/>
    </row>
    <row r="20" spans="2:17">
      <c r="B20" s="80"/>
      <c r="C20" s="80"/>
      <c r="D20" s="80"/>
      <c r="E20" s="179"/>
      <c r="F20" s="196"/>
      <c r="G20" s="80"/>
      <c r="H20" s="80"/>
      <c r="I20" s="80"/>
      <c r="J20" s="80"/>
      <c r="K20" s="222"/>
      <c r="L20" s="239"/>
      <c r="M20" s="210"/>
      <c r="N20" s="205"/>
      <c r="O20" s="205"/>
    </row>
    <row r="21" spans="2:17">
      <c r="B21" s="80"/>
      <c r="C21" s="80"/>
      <c r="D21" s="80"/>
      <c r="E21" s="179"/>
      <c r="F21" s="196"/>
      <c r="G21" s="80"/>
      <c r="H21" s="80"/>
      <c r="I21" s="80"/>
      <c r="J21" s="80"/>
      <c r="K21" s="220"/>
      <c r="L21" s="239"/>
      <c r="M21" s="210"/>
      <c r="N21" s="205"/>
      <c r="O21" s="205"/>
    </row>
    <row r="22" spans="2:17" ht="13.5" customHeight="1">
      <c r="B22" s="212"/>
      <c r="C22" s="213"/>
      <c r="D22" s="213"/>
      <c r="E22" s="213"/>
      <c r="F22" s="193"/>
      <c r="G22" s="213"/>
      <c r="H22" s="213"/>
      <c r="I22" s="193"/>
      <c r="J22" s="213"/>
      <c r="K22" s="240"/>
      <c r="L22" s="230"/>
      <c r="M22" s="230"/>
      <c r="N22" s="230"/>
      <c r="O22" s="230"/>
    </row>
    <row r="23" spans="2:17" ht="34" customHeight="1">
      <c r="B23" s="212"/>
      <c r="C23" s="214"/>
      <c r="D23" s="214"/>
      <c r="E23" s="214"/>
      <c r="F23" s="193"/>
      <c r="G23" s="214"/>
      <c r="H23" s="214"/>
      <c r="I23" s="193"/>
      <c r="J23" s="214"/>
      <c r="K23" s="240"/>
      <c r="L23" s="250"/>
      <c r="M23" s="250"/>
      <c r="N23" s="250"/>
      <c r="O23" s="250"/>
    </row>
    <row r="24" spans="2:17" s="10" customFormat="1" ht="24" customHeight="1">
      <c r="B24" s="212"/>
      <c r="C24" s="214"/>
      <c r="D24" s="214"/>
      <c r="E24" s="214"/>
      <c r="F24" s="193"/>
      <c r="G24" s="214"/>
      <c r="H24" s="214"/>
      <c r="I24" s="193"/>
      <c r="J24" s="214"/>
      <c r="K24" s="222"/>
      <c r="L24" s="230"/>
      <c r="M24" s="230"/>
      <c r="N24" s="230"/>
      <c r="O24" s="230"/>
    </row>
    <row r="25" spans="2:17" ht="21.75" customHeight="1">
      <c r="B25" s="191"/>
      <c r="C25" s="181"/>
      <c r="D25" s="190"/>
      <c r="E25" s="178"/>
      <c r="F25" s="189"/>
      <c r="G25" s="181"/>
      <c r="H25" s="177"/>
      <c r="I25" s="189"/>
      <c r="J25" s="177"/>
      <c r="K25" s="176"/>
      <c r="L25" s="177"/>
      <c r="M25" s="178"/>
      <c r="N25" s="178"/>
      <c r="O25" s="178"/>
      <c r="P25" s="179"/>
      <c r="Q25" s="179"/>
    </row>
    <row r="26" spans="2:17">
      <c r="B26" s="183"/>
      <c r="C26" s="181"/>
      <c r="D26" s="182"/>
      <c r="E26" s="181"/>
      <c r="F26" s="182"/>
      <c r="G26" s="181"/>
      <c r="H26" s="184"/>
      <c r="I26" s="182"/>
      <c r="J26" s="184"/>
      <c r="K26" s="180"/>
      <c r="L26" s="181"/>
      <c r="M26" s="178"/>
      <c r="N26" s="178"/>
      <c r="O26" s="178"/>
      <c r="P26" s="179"/>
      <c r="Q26" s="179"/>
    </row>
    <row r="27" spans="2:17">
      <c r="B27" s="185"/>
      <c r="C27" s="186"/>
      <c r="D27" s="182"/>
      <c r="E27" s="181"/>
      <c r="F27" s="185"/>
      <c r="G27" s="181"/>
      <c r="H27" s="184"/>
      <c r="I27" s="187"/>
      <c r="J27" s="184"/>
    </row>
    <row r="28" spans="2:17">
      <c r="B28" s="183"/>
      <c r="C28" s="188"/>
      <c r="D28" s="188"/>
      <c r="E28" s="179"/>
      <c r="F28" s="179"/>
      <c r="G28" s="188"/>
      <c r="H28" s="188"/>
      <c r="I28" s="188"/>
      <c r="J28" s="188"/>
    </row>
    <row r="29" spans="2:17">
      <c r="B29" s="185"/>
      <c r="C29" s="188"/>
      <c r="D29" s="188"/>
      <c r="E29" s="179"/>
      <c r="F29" s="179"/>
      <c r="G29" s="188"/>
      <c r="H29" s="179"/>
      <c r="I29" s="179"/>
      <c r="J29" s="179"/>
    </row>
    <row r="30" spans="2:17">
      <c r="B30" s="24"/>
      <c r="C30" s="174"/>
      <c r="D30" s="24"/>
      <c r="F30" s="24"/>
      <c r="G30" s="24"/>
      <c r="H30" s="24"/>
      <c r="I30" s="24"/>
      <c r="J30" s="24"/>
    </row>
    <row r="31" spans="2:17">
      <c r="B31" s="24"/>
      <c r="C31" s="24"/>
      <c r="D31" s="24"/>
      <c r="F31" s="24"/>
      <c r="G31" s="24"/>
      <c r="H31" s="24"/>
      <c r="I31" s="24"/>
      <c r="J31" s="24"/>
    </row>
    <row r="32" spans="2:17">
      <c r="B32" s="175"/>
      <c r="C32" s="25"/>
      <c r="D32" s="25"/>
      <c r="E32" s="25"/>
      <c r="F32" s="25"/>
      <c r="G32" s="25"/>
      <c r="H32" s="25"/>
      <c r="I32" s="25"/>
      <c r="J32" s="25"/>
    </row>
    <row r="33" spans="2:10">
      <c r="B33" s="24"/>
      <c r="C33" s="26"/>
      <c r="D33" s="26"/>
      <c r="E33" s="26"/>
      <c r="F33" s="26"/>
      <c r="G33" s="26"/>
      <c r="H33" s="26"/>
      <c r="I33" s="26"/>
      <c r="J33" s="26"/>
    </row>
  </sheetData>
  <mergeCells count="12">
    <mergeCell ref="K25:K26"/>
    <mergeCell ref="J23:J24"/>
    <mergeCell ref="H23:H24"/>
    <mergeCell ref="G23:G24"/>
    <mergeCell ref="E23:E24"/>
    <mergeCell ref="D23:D24"/>
    <mergeCell ref="C23:C24"/>
    <mergeCell ref="B28:B29"/>
    <mergeCell ref="B26:B27"/>
    <mergeCell ref="D26:D27"/>
    <mergeCell ref="F26:F27"/>
    <mergeCell ref="I26:I27"/>
  </mergeCells>
  <pageMargins left="0.7" right="0.7" top="0.75" bottom="0.75" header="0.3" footer="0.3"/>
  <pageSetup paperSize="9" orientation="portrait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AE316-7C71-8447-A4C7-2C787ADC73D9}">
  <dimension ref="A1:N33"/>
  <sheetViews>
    <sheetView zoomScale="110" zoomScaleNormal="110" workbookViewId="0">
      <selection sqref="A1:E25"/>
    </sheetView>
  </sheetViews>
  <sheetFormatPr baseColWidth="10" defaultColWidth="8.83203125" defaultRowHeight="15"/>
  <cols>
    <col min="1" max="1" width="19.33203125" customWidth="1"/>
    <col min="2" max="2" width="12.5" customWidth="1"/>
    <col min="3" max="3" width="13.5" customWidth="1"/>
    <col min="4" max="5" width="13.6640625" customWidth="1"/>
  </cols>
  <sheetData>
    <row r="1" spans="1:14" ht="31" thickBot="1">
      <c r="A1" s="46"/>
      <c r="B1" s="47" t="s">
        <v>0</v>
      </c>
      <c r="C1" s="81" t="s">
        <v>1</v>
      </c>
      <c r="D1" s="82" t="s">
        <v>54</v>
      </c>
      <c r="E1" s="82" t="s">
        <v>3</v>
      </c>
    </row>
    <row r="2" spans="1:14" ht="46" thickBot="1">
      <c r="A2" s="50" t="s">
        <v>7</v>
      </c>
      <c r="B2" s="1" t="s">
        <v>56</v>
      </c>
      <c r="C2" s="83" t="s">
        <v>56</v>
      </c>
      <c r="D2" s="84" t="s">
        <v>55</v>
      </c>
      <c r="E2" s="85" t="s">
        <v>56</v>
      </c>
      <c r="F2" s="79"/>
      <c r="G2" s="78"/>
    </row>
    <row r="3" spans="1:14">
      <c r="A3" s="129" t="s">
        <v>14</v>
      </c>
      <c r="B3" s="138">
        <v>40</v>
      </c>
      <c r="C3" s="86">
        <v>11.4</v>
      </c>
      <c r="D3" s="118" t="s">
        <v>57</v>
      </c>
      <c r="E3" s="117">
        <v>40</v>
      </c>
    </row>
    <row r="4" spans="1:14">
      <c r="A4" s="130"/>
      <c r="B4" s="139"/>
      <c r="C4" s="86">
        <v>38.1</v>
      </c>
      <c r="D4" s="118"/>
      <c r="E4" s="118"/>
    </row>
    <row r="5" spans="1:14" ht="6" customHeight="1" thickBot="1">
      <c r="A5" s="130"/>
      <c r="B5" s="139"/>
      <c r="C5" s="87"/>
      <c r="D5" s="118"/>
      <c r="E5" s="119"/>
    </row>
    <row r="6" spans="1:14">
      <c r="A6" s="129" t="s">
        <v>16</v>
      </c>
      <c r="B6" s="138">
        <v>2.5000000000000001E-2</v>
      </c>
      <c r="C6" s="88">
        <f>0.125*2.54</f>
        <v>0.3175</v>
      </c>
      <c r="D6" s="120" t="s">
        <v>58</v>
      </c>
      <c r="E6" s="120">
        <v>1</v>
      </c>
    </row>
    <row r="7" spans="1:14" ht="16" thickBot="1">
      <c r="A7" s="130"/>
      <c r="B7" s="139"/>
      <c r="C7" s="89">
        <f>0.25*2.54</f>
        <v>0.63500000000000001</v>
      </c>
      <c r="D7" s="118"/>
      <c r="E7" s="118"/>
    </row>
    <row r="8" spans="1:14">
      <c r="A8" s="129" t="s">
        <v>13</v>
      </c>
      <c r="B8" s="136">
        <v>5280</v>
      </c>
      <c r="C8" s="90">
        <v>4.5</v>
      </c>
      <c r="D8" s="121" t="s">
        <v>60</v>
      </c>
      <c r="E8" s="121">
        <v>5</v>
      </c>
    </row>
    <row r="9" spans="1:14">
      <c r="A9" s="130"/>
      <c r="B9" s="137"/>
      <c r="C9" s="90">
        <v>12</v>
      </c>
      <c r="D9" s="122"/>
      <c r="E9" s="122"/>
    </row>
    <row r="10" spans="1:14" ht="16" thickBot="1">
      <c r="A10" s="130"/>
      <c r="B10" s="137"/>
      <c r="C10" s="91">
        <v>20</v>
      </c>
      <c r="D10" s="122"/>
      <c r="E10" s="122"/>
    </row>
    <row r="11" spans="1:14">
      <c r="A11" s="129" t="s">
        <v>21</v>
      </c>
      <c r="B11" s="134">
        <v>1</v>
      </c>
      <c r="C11" s="251">
        <v>0.24199999999999999</v>
      </c>
      <c r="D11" s="123" t="s">
        <v>61</v>
      </c>
      <c r="E11" s="123">
        <v>0.38</v>
      </c>
    </row>
    <row r="12" spans="1:14" ht="16" thickBot="1">
      <c r="A12" s="131"/>
      <c r="B12" s="135"/>
      <c r="C12" s="92">
        <v>0.31</v>
      </c>
      <c r="D12" s="124"/>
      <c r="E12" s="124"/>
    </row>
    <row r="13" spans="1:14" ht="31" thickBot="1">
      <c r="A13" s="50" t="s">
        <v>18</v>
      </c>
      <c r="B13" s="3" t="s">
        <v>12</v>
      </c>
      <c r="C13" s="93" t="s">
        <v>17</v>
      </c>
      <c r="D13" s="93" t="s">
        <v>61</v>
      </c>
      <c r="E13" s="93" t="s">
        <v>19</v>
      </c>
    </row>
    <row r="14" spans="1:14" ht="16" thickTop="1">
      <c r="A14" s="129" t="s">
        <v>20</v>
      </c>
      <c r="B14" s="5">
        <v>0.1</v>
      </c>
      <c r="C14" s="88">
        <v>7.0000000000000007E-2</v>
      </c>
      <c r="D14" s="94"/>
      <c r="E14" s="94">
        <f>50/60</f>
        <v>0.83333333333333337</v>
      </c>
    </row>
    <row r="15" spans="1:14">
      <c r="A15" s="130"/>
      <c r="B15" s="33" t="s">
        <v>38</v>
      </c>
      <c r="C15" s="95" t="s">
        <v>38</v>
      </c>
      <c r="D15" s="96" t="s">
        <v>61</v>
      </c>
      <c r="E15" s="96" t="s">
        <v>38</v>
      </c>
      <c r="N15" t="s">
        <v>41</v>
      </c>
    </row>
    <row r="16" spans="1:14" ht="16" thickBot="1">
      <c r="A16" s="131"/>
      <c r="B16" s="4">
        <v>10</v>
      </c>
      <c r="C16" s="93">
        <v>30</v>
      </c>
      <c r="D16" s="97"/>
      <c r="E16" s="97">
        <f>200/60</f>
        <v>3.3333333333333335</v>
      </c>
    </row>
    <row r="17" spans="1:5" ht="17.25" customHeight="1" thickTop="1">
      <c r="A17" s="129" t="s">
        <v>39</v>
      </c>
      <c r="B17" s="8">
        <f>SQRT(2)*B14/(B3*B6*60)</f>
        <v>2.3570226039551587E-3</v>
      </c>
      <c r="C17" s="98">
        <f>SQRT(2*C4*C4)*C14/(C4*C4*C7*C12*60)</f>
        <v>2.1998921634758085E-4</v>
      </c>
      <c r="D17" s="99">
        <v>5.9999999999999995E-4</v>
      </c>
      <c r="E17" s="99">
        <f>SQRT(2*E3*E3)*E14/(742*60)</f>
        <v>1.0588601095935124E-3</v>
      </c>
    </row>
    <row r="18" spans="1:5" ht="14.25" customHeight="1">
      <c r="A18" s="130"/>
      <c r="B18" s="34" t="s">
        <v>38</v>
      </c>
      <c r="C18" s="100" t="s">
        <v>38</v>
      </c>
      <c r="D18" s="101" t="s">
        <v>38</v>
      </c>
      <c r="E18" s="101" t="s">
        <v>38</v>
      </c>
    </row>
    <row r="19" spans="1:5" ht="14.25" customHeight="1" thickBot="1">
      <c r="A19" s="131"/>
      <c r="B19" s="11">
        <f>SQRT(2)*B16/(B3*B6*60)</f>
        <v>0.23570226039551584</v>
      </c>
      <c r="C19" s="102">
        <f>SQRT(2*C3*C3)*C16/(C4*C3*C6*C11*60)</f>
        <v>0.2415466011844748</v>
      </c>
      <c r="D19" s="103">
        <v>2.1000000000000001E-2</v>
      </c>
      <c r="E19" s="103">
        <f>SQRT(2*E3*E3)*E16/(742*60)</f>
        <v>4.2354404383740498E-3</v>
      </c>
    </row>
    <row r="20" spans="1:5" ht="70.5" customHeight="1" thickBot="1">
      <c r="A20" s="52" t="s">
        <v>25</v>
      </c>
      <c r="B20" s="38" t="s">
        <v>26</v>
      </c>
      <c r="C20" s="104" t="s">
        <v>27</v>
      </c>
      <c r="D20" s="105" t="s">
        <v>59</v>
      </c>
      <c r="E20" s="105" t="s">
        <v>29</v>
      </c>
    </row>
    <row r="21" spans="1:5" ht="16.5" customHeight="1">
      <c r="A21" s="132" t="s">
        <v>43</v>
      </c>
      <c r="B21" s="42">
        <v>4240</v>
      </c>
      <c r="C21" s="106">
        <v>390</v>
      </c>
      <c r="D21" s="107"/>
      <c r="E21" s="108">
        <v>3000</v>
      </c>
    </row>
    <row r="22" spans="1:5" ht="13.5" customHeight="1">
      <c r="A22" s="132"/>
      <c r="B22" s="35" t="s">
        <v>38</v>
      </c>
      <c r="C22" s="109" t="s">
        <v>38</v>
      </c>
      <c r="D22" s="110" t="s">
        <v>61</v>
      </c>
      <c r="E22" s="111" t="s">
        <v>38</v>
      </c>
    </row>
    <row r="23" spans="1:5" ht="13.5" customHeight="1" thickBot="1">
      <c r="A23" s="133"/>
      <c r="B23" s="43">
        <v>424000</v>
      </c>
      <c r="C23" s="112">
        <v>330000</v>
      </c>
      <c r="D23" s="113"/>
      <c r="E23" s="114">
        <v>12000</v>
      </c>
    </row>
    <row r="24" spans="1:5" s="10" customFormat="1" ht="24" customHeight="1" thickTop="1">
      <c r="A24" s="125"/>
      <c r="B24" s="31"/>
      <c r="C24" s="32"/>
      <c r="D24" s="32"/>
      <c r="E24" s="32"/>
    </row>
    <row r="25" spans="1:5" ht="21.75" customHeight="1" thickBot="1">
      <c r="A25" s="126"/>
      <c r="B25" s="13"/>
      <c r="C25" s="18"/>
      <c r="D25" s="18"/>
      <c r="E25" s="18"/>
    </row>
    <row r="26" spans="1:5">
      <c r="A26" s="127"/>
      <c r="B26" s="14"/>
      <c r="C26" s="16"/>
      <c r="D26" s="16"/>
      <c r="E26" s="16"/>
    </row>
    <row r="27" spans="1:5" ht="16" thickBot="1">
      <c r="A27" s="128"/>
      <c r="B27" s="15"/>
      <c r="C27" s="17"/>
      <c r="D27" s="17"/>
      <c r="E27" s="17"/>
    </row>
    <row r="28" spans="1:5">
      <c r="A28" s="115"/>
      <c r="B28" s="12"/>
    </row>
    <row r="29" spans="1:5" ht="16" thickBot="1">
      <c r="A29" s="116"/>
      <c r="B29" s="12"/>
    </row>
    <row r="30" spans="1:5">
      <c r="B30" s="12"/>
    </row>
    <row r="32" spans="1:5">
      <c r="A32" s="19"/>
      <c r="B32" s="20"/>
      <c r="C32" s="20"/>
      <c r="D32" s="20"/>
      <c r="E32" s="20"/>
    </row>
    <row r="33" spans="2:5">
      <c r="B33" s="7"/>
      <c r="C33" s="7"/>
      <c r="D33" s="7"/>
      <c r="E33" s="7"/>
    </row>
  </sheetData>
  <mergeCells count="22">
    <mergeCell ref="A14:A16"/>
    <mergeCell ref="A17:A19"/>
    <mergeCell ref="A21:A23"/>
    <mergeCell ref="A24:A25"/>
    <mergeCell ref="A26:A27"/>
    <mergeCell ref="A28:A29"/>
    <mergeCell ref="A8:A10"/>
    <mergeCell ref="B8:B10"/>
    <mergeCell ref="D8:D10"/>
    <mergeCell ref="E8:E10"/>
    <mergeCell ref="A11:A12"/>
    <mergeCell ref="B11:B12"/>
    <mergeCell ref="D11:D12"/>
    <mergeCell ref="E11:E12"/>
    <mergeCell ref="A3:A5"/>
    <mergeCell ref="B3:B5"/>
    <mergeCell ref="D3:D5"/>
    <mergeCell ref="E3:E5"/>
    <mergeCell ref="A6:A7"/>
    <mergeCell ref="B6:B7"/>
    <mergeCell ref="D6:D7"/>
    <mergeCell ref="E6:E7"/>
  </mergeCells>
  <pageMargins left="0.7" right="0.7" top="0.75" bottom="0.75" header="0.3" footer="0.3"/>
  <pageSetup paperSize="9"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65A8D-1D8A-994E-8EA6-7F087982BF93}">
  <dimension ref="A1:I32"/>
  <sheetViews>
    <sheetView zoomScale="110" zoomScaleNormal="110" workbookViewId="0">
      <selection activeCell="R14" sqref="R14"/>
    </sheetView>
  </sheetViews>
  <sheetFormatPr baseColWidth="10" defaultColWidth="8.83203125" defaultRowHeight="15"/>
  <cols>
    <col min="1" max="1" width="26.1640625" customWidth="1"/>
    <col min="2" max="2" width="12.5" customWidth="1"/>
    <col min="3" max="3" width="13.83203125" customWidth="1"/>
    <col min="4" max="4" width="13.6640625" customWidth="1"/>
    <col min="5" max="5" width="13.6640625" style="22" customWidth="1"/>
    <col min="6" max="6" width="13.5" customWidth="1"/>
    <col min="7" max="7" width="12.5" customWidth="1"/>
    <col min="8" max="9" width="14.5" customWidth="1"/>
  </cols>
  <sheetData>
    <row r="1" spans="1:9" ht="31" thickBot="1">
      <c r="A1" s="46"/>
      <c r="B1" s="47" t="s">
        <v>0</v>
      </c>
      <c r="C1" s="48" t="s">
        <v>2</v>
      </c>
      <c r="D1" s="252" t="s">
        <v>36</v>
      </c>
      <c r="E1" s="49" t="s">
        <v>24</v>
      </c>
      <c r="F1" s="48" t="s">
        <v>4</v>
      </c>
      <c r="G1" s="48" t="s">
        <v>45</v>
      </c>
      <c r="H1" s="48" t="s">
        <v>5</v>
      </c>
      <c r="I1" s="48" t="s">
        <v>44</v>
      </c>
    </row>
    <row r="2" spans="1:9" ht="16" thickBot="1">
      <c r="A2" s="50" t="s">
        <v>7</v>
      </c>
      <c r="B2" s="1" t="s">
        <v>8</v>
      </c>
      <c r="C2" s="2" t="s">
        <v>9</v>
      </c>
      <c r="D2" s="253" t="s">
        <v>50</v>
      </c>
      <c r="E2" s="21" t="s">
        <v>8</v>
      </c>
      <c r="F2" s="2" t="s">
        <v>8</v>
      </c>
      <c r="G2" s="2" t="s">
        <v>50</v>
      </c>
      <c r="H2" s="2" t="s">
        <v>8</v>
      </c>
      <c r="I2" s="2" t="s">
        <v>50</v>
      </c>
    </row>
    <row r="3" spans="1:9" ht="31" thickBot="1">
      <c r="A3" s="50" t="s">
        <v>46</v>
      </c>
      <c r="B3" s="1" t="s">
        <v>53</v>
      </c>
      <c r="C3" s="2" t="s">
        <v>52</v>
      </c>
      <c r="D3" s="253" t="s">
        <v>51</v>
      </c>
      <c r="E3" s="21" t="s">
        <v>53</v>
      </c>
      <c r="F3" s="2" t="s">
        <v>49</v>
      </c>
      <c r="G3" s="2" t="s">
        <v>51</v>
      </c>
      <c r="H3" s="2" t="s">
        <v>53</v>
      </c>
      <c r="I3" s="2" t="s">
        <v>51</v>
      </c>
    </row>
    <row r="4" spans="1:9">
      <c r="A4" s="129" t="s">
        <v>47</v>
      </c>
      <c r="B4" s="138">
        <v>40</v>
      </c>
      <c r="C4" s="140">
        <v>30.5</v>
      </c>
      <c r="D4" s="254" t="s">
        <v>33</v>
      </c>
      <c r="E4" s="173">
        <v>28.6</v>
      </c>
      <c r="F4" s="140" t="s">
        <v>10</v>
      </c>
      <c r="G4" s="140">
        <v>28</v>
      </c>
      <c r="H4" s="140">
        <v>50</v>
      </c>
      <c r="I4" s="140">
        <v>14</v>
      </c>
    </row>
    <row r="5" spans="1:9">
      <c r="A5" s="130"/>
      <c r="B5" s="139"/>
      <c r="C5" s="141"/>
      <c r="D5" s="167"/>
      <c r="E5" s="167"/>
      <c r="F5" s="141"/>
      <c r="G5" s="141"/>
      <c r="H5" s="141"/>
      <c r="I5" s="141"/>
    </row>
    <row r="6" spans="1:9" ht="6" customHeight="1" thickBot="1">
      <c r="A6" s="130"/>
      <c r="B6" s="139"/>
      <c r="C6" s="141"/>
      <c r="D6" s="167"/>
      <c r="E6" s="167"/>
      <c r="F6" s="141"/>
      <c r="G6" s="141"/>
      <c r="H6" s="141"/>
      <c r="I6" s="141"/>
    </row>
    <row r="7" spans="1:9" ht="31" thickBot="1">
      <c r="A7" s="46" t="s">
        <v>15</v>
      </c>
      <c r="B7" s="27" t="s">
        <v>11</v>
      </c>
      <c r="C7" s="28">
        <v>15.25</v>
      </c>
      <c r="D7" s="255" t="s">
        <v>12</v>
      </c>
      <c r="E7" s="29" t="s">
        <v>12</v>
      </c>
      <c r="F7" s="28">
        <v>10</v>
      </c>
      <c r="G7" s="28" t="s">
        <v>11</v>
      </c>
      <c r="H7" s="28" t="s">
        <v>11</v>
      </c>
      <c r="I7" s="28" t="s">
        <v>11</v>
      </c>
    </row>
    <row r="8" spans="1:9">
      <c r="A8" s="129" t="s">
        <v>16</v>
      </c>
      <c r="B8" s="138">
        <v>2.5000000000000001E-2</v>
      </c>
      <c r="C8" s="256">
        <f>0.0015*2.54</f>
        <v>3.81E-3</v>
      </c>
      <c r="D8" s="58">
        <v>0.15</v>
      </c>
      <c r="E8" s="173">
        <v>0.01</v>
      </c>
      <c r="F8" s="140">
        <v>6.0999999999999999E-2</v>
      </c>
      <c r="G8" s="56">
        <v>7.6E-3</v>
      </c>
      <c r="H8" s="140">
        <v>3.7499999999999999E-2</v>
      </c>
      <c r="I8" s="57">
        <v>7.6E-3</v>
      </c>
    </row>
    <row r="9" spans="1:9" ht="16" thickBot="1">
      <c r="A9" s="130"/>
      <c r="B9" s="139"/>
      <c r="C9" s="30">
        <f>0.0047*2.54</f>
        <v>1.1938000000000001E-2</v>
      </c>
      <c r="D9" s="58">
        <v>0.3</v>
      </c>
      <c r="E9" s="167"/>
      <c r="F9" s="141"/>
      <c r="G9" s="59">
        <v>0.1143</v>
      </c>
      <c r="H9" s="141"/>
      <c r="I9" s="57">
        <v>4.19E-2</v>
      </c>
    </row>
    <row r="10" spans="1:9">
      <c r="A10" s="129" t="s">
        <v>13</v>
      </c>
      <c r="B10" s="136">
        <v>5280</v>
      </c>
      <c r="C10" s="53"/>
      <c r="D10" s="257"/>
      <c r="E10" s="169">
        <f>(E8*E8*0.0001/12)/0.0000000000009869</f>
        <v>844.3949066099234</v>
      </c>
      <c r="F10" s="171">
        <v>31400</v>
      </c>
      <c r="G10" s="55"/>
      <c r="H10" s="171">
        <v>11900</v>
      </c>
      <c r="I10" s="55"/>
    </row>
    <row r="11" spans="1:9">
      <c r="A11" s="130"/>
      <c r="B11" s="137"/>
      <c r="C11" s="53">
        <f>(C8*C8*0.0001/12)/0.0000000000009869</f>
        <v>122.57320903840309</v>
      </c>
      <c r="D11" s="258">
        <v>190000</v>
      </c>
      <c r="E11" s="170"/>
      <c r="F11" s="172"/>
      <c r="G11" s="258">
        <v>488</v>
      </c>
      <c r="H11" s="172"/>
      <c r="I11" s="258">
        <v>488</v>
      </c>
    </row>
    <row r="12" spans="1:9" ht="16" thickBot="1">
      <c r="A12" s="130"/>
      <c r="B12" s="137"/>
      <c r="C12" s="53">
        <v>1200</v>
      </c>
      <c r="D12" s="258">
        <v>760000</v>
      </c>
      <c r="E12" s="170"/>
      <c r="F12" s="172"/>
      <c r="G12" s="258">
        <v>110000</v>
      </c>
      <c r="H12" s="172"/>
      <c r="I12" s="258">
        <v>14800</v>
      </c>
    </row>
    <row r="13" spans="1:9" ht="16" thickTop="1">
      <c r="A13" s="129" t="s">
        <v>20</v>
      </c>
      <c r="B13" s="5">
        <v>0.1</v>
      </c>
      <c r="C13" s="163">
        <f>60*C7*C8*0.02/SQRT(2)</f>
        <v>4.9301606104669646E-2</v>
      </c>
      <c r="D13" s="259">
        <f>0.82*D8*60</f>
        <v>7.379999999999999</v>
      </c>
      <c r="E13" s="166">
        <v>8.3000000000000007</v>
      </c>
      <c r="F13" s="56">
        <f>0.00026*60</f>
        <v>1.5599999999999999E-2</v>
      </c>
      <c r="G13" s="56">
        <v>0.4</v>
      </c>
      <c r="H13" s="140">
        <v>1</v>
      </c>
      <c r="I13" s="56">
        <v>1E-3</v>
      </c>
    </row>
    <row r="14" spans="1:9">
      <c r="A14" s="130"/>
      <c r="B14" s="33" t="s">
        <v>38</v>
      </c>
      <c r="C14" s="164"/>
      <c r="D14" s="260" t="s">
        <v>40</v>
      </c>
      <c r="E14" s="167"/>
      <c r="F14" s="37" t="s">
        <v>38</v>
      </c>
      <c r="G14" s="51" t="s">
        <v>38</v>
      </c>
      <c r="H14" s="141"/>
      <c r="I14" s="51" t="s">
        <v>38</v>
      </c>
    </row>
    <row r="15" spans="1:9" ht="16" thickBot="1">
      <c r="A15" s="131"/>
      <c r="B15" s="4">
        <v>10</v>
      </c>
      <c r="C15" s="165"/>
      <c r="D15" s="261">
        <f>4.1*D9*60</f>
        <v>73.799999999999983</v>
      </c>
      <c r="E15" s="168"/>
      <c r="F15" s="54">
        <f>0.392*60</f>
        <v>23.52</v>
      </c>
      <c r="G15" s="59">
        <v>40</v>
      </c>
      <c r="H15" s="168"/>
      <c r="I15" s="59">
        <v>10</v>
      </c>
    </row>
    <row r="16" spans="1:9" ht="17.25" customHeight="1" thickTop="1">
      <c r="A16" s="129" t="s">
        <v>39</v>
      </c>
      <c r="B16" s="8">
        <f>SQRT(2)*B13/(B4*B8*60)</f>
        <v>2.3570226039551587E-3</v>
      </c>
      <c r="C16" s="140" t="s">
        <v>22</v>
      </c>
      <c r="D16" s="262">
        <f>SQRT(2*20*20)*D13/(20*20*D9*60)</f>
        <v>2.8991378028648446E-2</v>
      </c>
      <c r="E16" s="155">
        <f>SQRT(2)*E13/(E8*60)</f>
        <v>19.563287612827818</v>
      </c>
      <c r="F16" s="9">
        <f>SQRT(2)*F13/(F8*60)</f>
        <v>6.0277955117541753E-3</v>
      </c>
      <c r="G16" s="60">
        <f>SQRT(2*G4*G4)*G13/(G4*G4*G8*60)</f>
        <v>4.4304936164570645E-2</v>
      </c>
      <c r="H16" s="158">
        <f>SQRT(2*H4*H4)*H13/(H4*H4*H8*60)</f>
        <v>1.2570787221094179E-2</v>
      </c>
      <c r="I16" s="9">
        <f>SQRT(2*I4*I4)*I13/(I4*I4*I8*60)</f>
        <v>2.2152468082285321E-4</v>
      </c>
    </row>
    <row r="17" spans="1:9" ht="14.25" customHeight="1">
      <c r="A17" s="130"/>
      <c r="B17" s="34" t="s">
        <v>38</v>
      </c>
      <c r="C17" s="141"/>
      <c r="D17" s="263" t="s">
        <v>38</v>
      </c>
      <c r="E17" s="156"/>
      <c r="F17" s="36" t="s">
        <v>38</v>
      </c>
      <c r="G17" s="36" t="s">
        <v>38</v>
      </c>
      <c r="H17" s="159"/>
      <c r="I17" s="36" t="s">
        <v>38</v>
      </c>
    </row>
    <row r="18" spans="1:9" ht="14.25" customHeight="1" thickBot="1">
      <c r="A18" s="131"/>
      <c r="B18" s="11">
        <f>SQRT(2)*B15/(B4*B8*60)</f>
        <v>0.23570226039551584</v>
      </c>
      <c r="C18" s="141"/>
      <c r="D18" s="264">
        <f>SQRT(2*20*20)*D15/(20*20*D8*60)</f>
        <v>0.5798275605729688</v>
      </c>
      <c r="E18" s="157"/>
      <c r="F18" s="6">
        <f>SQRT(2)*F15/(F8*60)</f>
        <v>9.0880609254139877</v>
      </c>
      <c r="G18" s="6">
        <f>SQRT(2*G4*G4)*G15/(G4*G4*G9*60)</f>
        <v>0.29459100161919244</v>
      </c>
      <c r="H18" s="160"/>
      <c r="I18" s="6">
        <f>SQRT(2*I4*I4)*I15/(I4*I4*I9*60)</f>
        <v>0.40181087691018724</v>
      </c>
    </row>
    <row r="19" spans="1:9" ht="70.5" customHeight="1" thickBot="1">
      <c r="A19" s="52" t="s">
        <v>25</v>
      </c>
      <c r="B19" s="38" t="s">
        <v>26</v>
      </c>
      <c r="C19" s="56" t="s">
        <v>28</v>
      </c>
      <c r="D19" s="265" t="s">
        <v>34</v>
      </c>
      <c r="E19" s="39" t="s">
        <v>32</v>
      </c>
      <c r="F19" s="40" t="s">
        <v>30</v>
      </c>
      <c r="G19" s="41" t="s">
        <v>48</v>
      </c>
      <c r="H19" s="41" t="s">
        <v>31</v>
      </c>
      <c r="I19" s="41" t="s">
        <v>35</v>
      </c>
    </row>
    <row r="20" spans="1:9" ht="16.5" customHeight="1">
      <c r="A20" s="132" t="s">
        <v>43</v>
      </c>
      <c r="B20" s="42">
        <v>4240</v>
      </c>
      <c r="C20" s="55">
        <v>1100</v>
      </c>
      <c r="D20" s="55">
        <v>6500</v>
      </c>
      <c r="E20" s="161">
        <v>881000</v>
      </c>
      <c r="F20" s="55">
        <v>70</v>
      </c>
      <c r="G20" s="55">
        <v>3100</v>
      </c>
      <c r="H20" s="161">
        <v>28300</v>
      </c>
      <c r="I20" s="55">
        <v>6</v>
      </c>
    </row>
    <row r="21" spans="1:9" ht="13.5" customHeight="1">
      <c r="A21" s="132"/>
      <c r="B21" s="35" t="s">
        <v>38</v>
      </c>
      <c r="C21" s="44" t="s">
        <v>38</v>
      </c>
      <c r="D21" s="44" t="s">
        <v>38</v>
      </c>
      <c r="E21" s="266"/>
      <c r="F21" s="44" t="s">
        <v>38</v>
      </c>
      <c r="G21" s="44" t="s">
        <v>38</v>
      </c>
      <c r="H21" s="266"/>
      <c r="I21" s="44" t="s">
        <v>38</v>
      </c>
    </row>
    <row r="22" spans="1:9" ht="13.5" customHeight="1" thickBot="1">
      <c r="A22" s="133"/>
      <c r="B22" s="43">
        <v>424000</v>
      </c>
      <c r="C22" s="45">
        <v>3400</v>
      </c>
      <c r="D22" s="45">
        <v>131000</v>
      </c>
      <c r="E22" s="162"/>
      <c r="F22" s="45">
        <v>102000</v>
      </c>
      <c r="G22" s="45">
        <v>4650000</v>
      </c>
      <c r="H22" s="162"/>
      <c r="I22" s="45">
        <v>350000</v>
      </c>
    </row>
    <row r="23" spans="1:9" s="10" customFormat="1" ht="24" customHeight="1" thickTop="1">
      <c r="A23" s="142" t="s">
        <v>37</v>
      </c>
      <c r="B23" s="61">
        <f>$B$29+2*B8*B8*B16*B16/(945*$B$29)</f>
        <v>5.449539486576524E-6</v>
      </c>
      <c r="C23" s="144">
        <f>$B$29</f>
        <v>3.0000000000000001E-6</v>
      </c>
      <c r="D23" s="62">
        <f>$B$29+2*D9*D9*D16*D16/(945*$B$29)</f>
        <v>5.3368079365079354E-2</v>
      </c>
      <c r="E23" s="146">
        <f>$B$29+2*E8*E8*E16*E16/(945*$B$29)</f>
        <v>26.99980703684108</v>
      </c>
      <c r="F23" s="63">
        <f>$B$29+2*F8*F8*F16*F16/(945*$B$29)</f>
        <v>9.8379188712522037E-5</v>
      </c>
      <c r="G23" s="64">
        <f>$B$29+2*G8*G8*G16*G16/(945*$B$29)</f>
        <v>8.2984962826988524E-5</v>
      </c>
      <c r="H23" s="148">
        <f>$B$29+2*H8*H8*H16*H16/(945*$B$29)</f>
        <v>1.597705271408975E-4</v>
      </c>
      <c r="I23" s="64">
        <f>$B$29+2*I8*I8*I16*I16/(945*$B$29)</f>
        <v>3.0019996240706749E-6</v>
      </c>
    </row>
    <row r="24" spans="1:9" ht="21.75" customHeight="1" thickBot="1">
      <c r="A24" s="143"/>
      <c r="B24" s="65">
        <f>$B$29+2*B8*B8*B18*B18/(945*$B$29)</f>
        <v>2.4498394865765237E-2</v>
      </c>
      <c r="C24" s="145"/>
      <c r="D24" s="66">
        <f>$B$29+2*D8*D8*D18*D18/(945*$B$29)</f>
        <v>5.3365109365079331</v>
      </c>
      <c r="E24" s="147"/>
      <c r="F24" s="67">
        <f>$B$29+2*F8*F8*F18*F18/(945*$B$29)</f>
        <v>216.80987954320983</v>
      </c>
      <c r="G24" s="68">
        <f>$B$29+2*G9*G9*G18*G18/(945*$B$29)</f>
        <v>0.79985262826988535</v>
      </c>
      <c r="H24" s="149"/>
      <c r="I24" s="68">
        <f>$B$29+2*I9*I9*I18*I18/(945*$B$29)</f>
        <v>0.19996540706747126</v>
      </c>
    </row>
    <row r="25" spans="1:9">
      <c r="A25" s="150" t="s">
        <v>42</v>
      </c>
      <c r="B25" s="69">
        <f t="shared" ref="B25:I25" si="0">B13*60/(2*3.14159*B23*B8)</f>
        <v>7009256.2316419156</v>
      </c>
      <c r="C25" s="151">
        <f t="shared" si="0"/>
        <v>41189506.255475149</v>
      </c>
      <c r="D25" s="70">
        <f t="shared" si="0"/>
        <v>8803.498166725587</v>
      </c>
      <c r="E25" s="151">
        <f t="shared" si="0"/>
        <v>293.55479651769923</v>
      </c>
      <c r="F25" s="70">
        <f t="shared" si="0"/>
        <v>24823.514882454449</v>
      </c>
      <c r="G25" s="71">
        <f t="shared" si="0"/>
        <v>6056458.4779528994</v>
      </c>
      <c r="H25" s="151">
        <f t="shared" si="0"/>
        <v>1593836.6643463201</v>
      </c>
      <c r="I25" s="71">
        <f t="shared" si="0"/>
        <v>418550.17038160731</v>
      </c>
    </row>
    <row r="26" spans="1:9" ht="16" thickBot="1">
      <c r="A26" s="267"/>
      <c r="B26" s="268">
        <f>B15*60/(2*3.14159*B24*B8)</f>
        <v>155917.2297416231</v>
      </c>
      <c r="C26" s="152"/>
      <c r="D26" s="72">
        <f>D15*60/(2*3.14159*D24*D8)</f>
        <v>880.39881196155261</v>
      </c>
      <c r="E26" s="153"/>
      <c r="F26" s="72">
        <f>F15*60/(2*3.14159*F24*F8)</f>
        <v>16.982442902501436</v>
      </c>
      <c r="G26" s="73">
        <f>G15*60/(2*3.14159*G24*G9)</f>
        <v>4178.0682841281296</v>
      </c>
      <c r="H26" s="154"/>
      <c r="I26" s="73">
        <f>I15*60/(2*3.14159*I24*I9)</f>
        <v>11397.322946846818</v>
      </c>
    </row>
    <row r="27" spans="1:9">
      <c r="A27" s="269"/>
      <c r="B27" s="270"/>
      <c r="C27" s="74"/>
      <c r="D27" s="75"/>
      <c r="E27" s="75"/>
      <c r="F27" s="74"/>
      <c r="G27" s="74"/>
      <c r="H27" s="74"/>
      <c r="I27" s="74"/>
    </row>
    <row r="28" spans="1:9">
      <c r="A28" s="271"/>
      <c r="B28" s="270"/>
      <c r="C28" s="74"/>
      <c r="D28" s="75"/>
      <c r="E28" s="75"/>
      <c r="F28" s="74"/>
      <c r="G28" s="75"/>
      <c r="H28" s="75"/>
      <c r="I28" s="75"/>
    </row>
    <row r="29" spans="1:9" ht="17">
      <c r="A29" s="75" t="s">
        <v>23</v>
      </c>
      <c r="B29" s="74">
        <v>3.0000000000000001E-6</v>
      </c>
      <c r="C29" s="75"/>
      <c r="D29" s="75"/>
      <c r="E29" s="75"/>
      <c r="F29" s="75"/>
      <c r="G29" s="75"/>
      <c r="H29" s="75"/>
      <c r="I29" s="75"/>
    </row>
    <row r="30" spans="1:9">
      <c r="A30" s="75"/>
      <c r="B30" s="75"/>
      <c r="C30" s="75"/>
      <c r="D30" s="75"/>
      <c r="E30" s="75"/>
      <c r="F30" s="75"/>
      <c r="G30" s="75"/>
      <c r="H30" s="75"/>
      <c r="I30" s="75"/>
    </row>
    <row r="31" spans="1:9">
      <c r="A31" s="76"/>
      <c r="B31" s="77"/>
      <c r="C31" s="77"/>
      <c r="D31" s="77"/>
      <c r="E31" s="77"/>
      <c r="F31" s="77"/>
      <c r="G31" s="77"/>
      <c r="H31" s="77"/>
      <c r="I31" s="77"/>
    </row>
    <row r="32" spans="1:9">
      <c r="B32" s="7"/>
      <c r="C32" s="7"/>
      <c r="D32" s="7"/>
      <c r="E32" s="23"/>
      <c r="F32" s="7"/>
      <c r="G32" s="7"/>
      <c r="H32" s="7"/>
      <c r="I32" s="7"/>
    </row>
  </sheetData>
  <mergeCells count="39">
    <mergeCell ref="A27:A28"/>
    <mergeCell ref="A23:A24"/>
    <mergeCell ref="C23:C24"/>
    <mergeCell ref="E23:E24"/>
    <mergeCell ref="H23:H24"/>
    <mergeCell ref="A25:A26"/>
    <mergeCell ref="C25:C26"/>
    <mergeCell ref="E25:E26"/>
    <mergeCell ref="H25:H26"/>
    <mergeCell ref="A16:A18"/>
    <mergeCell ref="C16:C18"/>
    <mergeCell ref="E16:E18"/>
    <mergeCell ref="H16:H18"/>
    <mergeCell ref="A20:A22"/>
    <mergeCell ref="E20:E22"/>
    <mergeCell ref="H20:H22"/>
    <mergeCell ref="A10:A12"/>
    <mergeCell ref="B10:B12"/>
    <mergeCell ref="E10:E12"/>
    <mergeCell ref="F10:F12"/>
    <mergeCell ref="H10:H12"/>
    <mergeCell ref="A13:A15"/>
    <mergeCell ref="C13:C15"/>
    <mergeCell ref="E13:E15"/>
    <mergeCell ref="H13:H15"/>
    <mergeCell ref="G4:G6"/>
    <mergeCell ref="H4:H6"/>
    <mergeCell ref="I4:I6"/>
    <mergeCell ref="A8:A9"/>
    <mergeCell ref="B8:B9"/>
    <mergeCell ref="E8:E9"/>
    <mergeCell ref="F8:F9"/>
    <mergeCell ref="H8:H9"/>
    <mergeCell ref="A4:A6"/>
    <mergeCell ref="B4:B6"/>
    <mergeCell ref="C4:C6"/>
    <mergeCell ref="D4:D6"/>
    <mergeCell ref="E4:E6"/>
    <mergeCell ref="F4:F6"/>
  </mergeCells>
  <pageMargins left="0.7" right="0.7" top="0.75" bottom="0.75" header="0.3" footer="0.3"/>
  <pageSetup paperSize="9" orientation="portrait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Table_formatted</vt:lpstr>
      <vt:lpstr>Table 1B Porous Media</vt:lpstr>
      <vt:lpstr>Table 1A Hele Shaw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 Muggeridge</dc:creator>
  <cp:lastModifiedBy>Microsoft Office User</cp:lastModifiedBy>
  <dcterms:created xsi:type="dcterms:W3CDTF">2020-03-10T11:30:42Z</dcterms:created>
  <dcterms:modified xsi:type="dcterms:W3CDTF">2021-10-11T03:45:06Z</dcterms:modified>
</cp:coreProperties>
</file>