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ngre\Downloads\"/>
    </mc:Choice>
  </mc:AlternateContent>
  <xr:revisionPtr revIDLastSave="0" documentId="13_ncr:1_{8DEA6E9D-1FD7-41BB-B63A-D507959EF592}" xr6:coauthVersionLast="47" xr6:coauthVersionMax="47" xr10:uidLastSave="{00000000-0000-0000-0000-000000000000}"/>
  <bookViews>
    <workbookView xWindow="-110" yWindow="-110" windowWidth="25820" windowHeight="15500" tabRatio="838" firstSheet="1" activeTab="1" xr2:uid="{00000000-000D-0000-FFFF-FFFF00000000}"/>
  </bookViews>
  <sheets>
    <sheet name="SOUTH" sheetId="44" r:id="rId1"/>
    <sheet name=" road inventory 2024" sheetId="31" r:id="rId2"/>
    <sheet name="UPDATED (FOR PRINTING) (2)" sheetId="5" state="hidden" r:id="rId3"/>
    <sheet name="GRAPH" sheetId="6" state="hidden" r:id="rId4"/>
    <sheet name="SUMMARY 2021" sheetId="10" state="hidden" r:id="rId5"/>
    <sheet name="Indicator 5" sheetId="14" state="hidden" r:id="rId6"/>
    <sheet name="inventory2019(FOR UPDATE)" sheetId="18" state="hidden" r:id="rId7"/>
    <sheet name="GOOD TO FAIR2019" sheetId="19" state="hidden" r:id="rId8"/>
    <sheet name="inventory2020(FOR UPDATE)" sheetId="16" state="hidden" r:id="rId9"/>
    <sheet name="GOOD TO FAIR2020" sheetId="17" state="hidden" r:id="rId10"/>
    <sheet name="CORE ROAD" sheetId="15" state="hidden" r:id="rId11"/>
    <sheet name="inventory2022 (FINAL)" sheetId="13" state="hidden" r:id="rId12"/>
    <sheet name="SUMMARY 2022  ppdo" sheetId="36" state="hidden" r:id="rId13"/>
    <sheet name="SUMMARY 2022 " sheetId="29" state="hidden" r:id="rId14"/>
    <sheet name="inventory2020(FOR revised)" sheetId="23" state="hidden" r:id="rId15"/>
    <sheet name="GOOD TO FAIR2020 (REVISED)" sheetId="24" state="hidden" r:id="rId16"/>
    <sheet name="inventory2019(REVISED)" sheetId="25" state="hidden" r:id="rId17"/>
    <sheet name="GOOD TO FAIR2019 (REVISED)" sheetId="26" state="hidden" r:id="rId18"/>
    <sheet name="GOODTOFAIR2021 (FINAL) " sheetId="27" state="hidden" r:id="rId19"/>
    <sheet name="inventory2022 (FINAL) (2)" sheetId="30" state="hidden" r:id="rId20"/>
    <sheet name="inventory2022 (FINAL) (3)" sheetId="33" state="hidden" r:id="rId21"/>
    <sheet name="Chart1" sheetId="32" state="hidden" r:id="rId22"/>
    <sheet name="SOUTH PROV road inventory 2 (2" sheetId="35" state="hidden" r:id="rId23"/>
    <sheet name="SUMMARY 2023 ppdo " sheetId="37" state="hidden" r:id="rId24"/>
    <sheet name="inventory2020(FOR UPDATE) -2" sheetId="20" state="hidden" r:id="rId25"/>
    <sheet name="BRIDGE INVENTORY (2)" sheetId="8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xlnm._FilterDatabase" localSheetId="1" hidden="1">' road inventory 2024'!$J$1:$J$335</definedName>
    <definedName name="_xlnm._FilterDatabase" localSheetId="25" hidden="1">'BRIDGE INVENTORY (2)'!$E$1:$F$423</definedName>
    <definedName name="_xlnm._FilterDatabase" localSheetId="9" hidden="1">'GOOD TO FAIR2020'!$J$1:$J$460</definedName>
    <definedName name="_xlnm._FilterDatabase" localSheetId="15" hidden="1">'GOOD TO FAIR2020 (REVISED)'!$J$1:$J$458</definedName>
    <definedName name="_xlnm._FilterDatabase" localSheetId="18" hidden="1">'GOODTOFAIR2021 (FINAL) '!$I$1:$I$243</definedName>
    <definedName name="_xlnm._FilterDatabase" localSheetId="6" hidden="1">'inventory2019(FOR UPDATE)'!$J$1:$J$550</definedName>
    <definedName name="_xlnm._FilterDatabase" localSheetId="16" hidden="1">'inventory2019(REVISED)'!$J$1:$J$550</definedName>
    <definedName name="_xlnm._FilterDatabase" localSheetId="14" hidden="1">'inventory2020(FOR revised)'!$J$1:$J$557</definedName>
    <definedName name="_xlnm._FilterDatabase" localSheetId="8" hidden="1">'inventory2020(FOR UPDATE)'!$J$1:$J$557</definedName>
    <definedName name="_xlnm._FilterDatabase" localSheetId="24" hidden="1">'inventory2020(FOR UPDATE) -2'!$J$1:$J$557</definedName>
    <definedName name="_xlnm._FilterDatabase" localSheetId="11" hidden="1">'inventory2022 (FINAL)'!$J$1:$J$316</definedName>
    <definedName name="_xlnm._FilterDatabase" localSheetId="19" hidden="1">'inventory2022 (FINAL) (2)'!$J$1:$J$316</definedName>
    <definedName name="_xlnm._FilterDatabase" localSheetId="20" hidden="1">'inventory2022 (FINAL) (3)'!$J$1:$J$316</definedName>
    <definedName name="_xlnm._FilterDatabase" localSheetId="22" hidden="1">'SOUTH PROV road inventory 2 (2'!$J$1:$J$319</definedName>
    <definedName name="_xlnm._FilterDatabase" localSheetId="2" hidden="1">'UPDATED (FOR PRINTING) (2)'!$K$1:$K$562</definedName>
    <definedName name="_xlnm.Print_Area" localSheetId="1">' road inventory 2024'!$B$1:$J$330</definedName>
    <definedName name="_xlnm.Print_Area" localSheetId="25">'BRIDGE INVENTORY (2)'!$B$1:$F$287</definedName>
    <definedName name="_xlnm.Print_Area" localSheetId="10">'CORE ROAD'!$A$1:$O$63</definedName>
    <definedName name="_xlnm.Print_Area" localSheetId="7">'GOOD TO FAIR2019'!$A$1:$L$318</definedName>
    <definedName name="_xlnm.Print_Area" localSheetId="17">'GOOD TO FAIR2019 (REVISED)'!$A$1:$L$317</definedName>
    <definedName name="_xlnm.Print_Area" localSheetId="9">'GOOD TO FAIR2020'!$A$1:$L$322</definedName>
    <definedName name="_xlnm.Print_Area" localSheetId="15">'GOOD TO FAIR2020 (REVISED)'!$A$1:$K$313</definedName>
    <definedName name="_xlnm.Print_Area" localSheetId="18">'GOODTOFAIR2021 (FINAL) '!$B$1:$I$243</definedName>
    <definedName name="_xlnm.Print_Area" localSheetId="6">'inventory2019(FOR UPDATE)'!$A$1:$L$385</definedName>
    <definedName name="_xlnm.Print_Area" localSheetId="16">'inventory2019(REVISED)'!$A$1:$L$385</definedName>
    <definedName name="_xlnm.Print_Area" localSheetId="14">'inventory2020(FOR revised)'!$A$1:$L$387</definedName>
    <definedName name="_xlnm.Print_Area" localSheetId="8">'inventory2020(FOR UPDATE)'!$A$1:$L$387</definedName>
    <definedName name="_xlnm.Print_Area" localSheetId="24">'inventory2020(FOR UPDATE) -2'!$A$1:$L$387</definedName>
    <definedName name="_xlnm.Print_Area" localSheetId="11">'inventory2022 (FINAL)'!$B$1:$J$295</definedName>
    <definedName name="_xlnm.Print_Area" localSheetId="19">'inventory2022 (FINAL) (2)'!$B$1:$J$295</definedName>
    <definedName name="_xlnm.Print_Area" localSheetId="20">'inventory2022 (FINAL) (3)'!$B$1:$J$295</definedName>
    <definedName name="_xlnm.Print_Area" localSheetId="0">SOUTH!$A$1:$I$176</definedName>
    <definedName name="_xlnm.Print_Area" localSheetId="22">'SOUTH PROV road inventory 2 (2'!$B$1:$J$319</definedName>
    <definedName name="_xlnm.Print_Area" localSheetId="4">'SUMMARY 2021'!$A$1:$H$61</definedName>
    <definedName name="_xlnm.Print_Area" localSheetId="13">'SUMMARY 2022 '!$A$1:$H$43</definedName>
    <definedName name="_xlnm.Print_Area" localSheetId="12">'SUMMARY 2022  ppdo'!$A$1:$H$43</definedName>
    <definedName name="_xlnm.Print_Area" localSheetId="23">'SUMMARY 2023 ppdo '!$A$1:$H$70</definedName>
    <definedName name="_xlnm.Print_Area" localSheetId="2">'UPDATED (FOR PRINTING) (2)'!$B$1:$M$410</definedName>
    <definedName name="_xlnm.Print_Titles" localSheetId="1">' road inventory 2024'!$6:$7</definedName>
    <definedName name="_xlnm.Print_Titles" localSheetId="25">'BRIDGE INVENTORY (2)'!$8:$9</definedName>
    <definedName name="_xlnm.Print_Titles" localSheetId="18">'GOODTOFAIR2021 (FINAL) '!$5:$6</definedName>
    <definedName name="_xlnm.Print_Titles" localSheetId="6">'inventory2019(FOR UPDATE)'!$6:$7</definedName>
    <definedName name="_xlnm.Print_Titles" localSheetId="16">'inventory2019(REVISED)'!$6:$7</definedName>
    <definedName name="_xlnm.Print_Titles" localSheetId="11">'inventory2022 (FINAL)'!$5:$6</definedName>
    <definedName name="_xlnm.Print_Titles" localSheetId="19">'inventory2022 (FINAL) (2)'!$5:$6</definedName>
    <definedName name="_xlnm.Print_Titles" localSheetId="20">'inventory2022 (FINAL) (3)'!$5:$6</definedName>
    <definedName name="_xlnm.Print_Titles" localSheetId="22">'SOUTH PROV road inventory 2 (2'!$6:$7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6" i="31" l="1"/>
  <c r="I288" i="31"/>
  <c r="I283" i="31"/>
  <c r="I272" i="31"/>
  <c r="I274" i="31"/>
  <c r="I275" i="31"/>
  <c r="I270" i="31"/>
  <c r="I269" i="31"/>
  <c r="I268" i="31"/>
  <c r="I264" i="31"/>
  <c r="I262" i="31"/>
  <c r="I261" i="31"/>
  <c r="I260" i="31"/>
  <c r="I251" i="31"/>
  <c r="I252" i="31"/>
  <c r="I253" i="31"/>
  <c r="I254" i="31"/>
  <c r="I255" i="31"/>
  <c r="I256" i="31"/>
  <c r="I250" i="31"/>
  <c r="I249" i="31"/>
  <c r="I248" i="31"/>
  <c r="I247" i="31"/>
  <c r="I246" i="31"/>
  <c r="I229" i="31"/>
  <c r="I230" i="31"/>
  <c r="I231" i="31"/>
  <c r="I214" i="31"/>
  <c r="I215" i="31"/>
  <c r="I216" i="31"/>
  <c r="I213" i="31"/>
  <c r="I212" i="31"/>
  <c r="I211" i="31"/>
  <c r="I210" i="31"/>
  <c r="I204" i="31"/>
  <c r="I205" i="31"/>
  <c r="I206" i="31"/>
  <c r="I203" i="31"/>
  <c r="I188" i="31"/>
  <c r="I189" i="31"/>
  <c r="I190" i="31"/>
  <c r="I191" i="31"/>
  <c r="I192" i="31"/>
  <c r="I193" i="31"/>
  <c r="I194" i="31"/>
  <c r="I195" i="31"/>
  <c r="I196" i="31"/>
  <c r="I197" i="31"/>
  <c r="I198" i="31"/>
  <c r="I199" i="31"/>
  <c r="I187" i="31"/>
  <c r="I183" i="31"/>
  <c r="I177" i="31"/>
  <c r="I178" i="31"/>
  <c r="I179" i="31"/>
  <c r="I174" i="31"/>
  <c r="I173" i="31"/>
  <c r="I172" i="31"/>
  <c r="I160" i="31"/>
  <c r="I161" i="31"/>
  <c r="I162" i="31"/>
  <c r="I163" i="31"/>
  <c r="I164" i="31"/>
  <c r="I165" i="31"/>
  <c r="I166" i="31"/>
  <c r="I167" i="31"/>
  <c r="I168" i="31"/>
  <c r="I159" i="31"/>
  <c r="I154" i="31"/>
  <c r="I153" i="31"/>
  <c r="I141" i="31"/>
  <c r="I142" i="31"/>
  <c r="I143" i="31"/>
  <c r="I144" i="31"/>
  <c r="I147" i="31"/>
  <c r="I148" i="31"/>
  <c r="I149" i="31"/>
  <c r="I140" i="31"/>
  <c r="I136" i="31"/>
  <c r="I129" i="31"/>
  <c r="I130" i="31"/>
  <c r="I131" i="31"/>
  <c r="I127" i="31"/>
  <c r="I126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99" i="31"/>
  <c r="I98" i="31"/>
  <c r="I97" i="31"/>
  <c r="I96" i="31"/>
  <c r="I95" i="31"/>
  <c r="I94" i="31"/>
  <c r="I73" i="31"/>
  <c r="I74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72" i="31"/>
  <c r="I71" i="31"/>
  <c r="I70" i="31"/>
  <c r="I69" i="31"/>
  <c r="I68" i="31"/>
  <c r="I67" i="31"/>
  <c r="I66" i="31"/>
  <c r="I65" i="31"/>
  <c r="I64" i="31"/>
  <c r="I63" i="31"/>
  <c r="I62" i="31"/>
  <c r="I61" i="31"/>
  <c r="I60" i="31"/>
  <c r="I59" i="31"/>
  <c r="I43" i="31"/>
  <c r="I44" i="31"/>
  <c r="I45" i="31"/>
  <c r="I46" i="31"/>
  <c r="I47" i="31"/>
  <c r="I51" i="31"/>
  <c r="I52" i="31"/>
  <c r="I53" i="31"/>
  <c r="I54" i="31"/>
  <c r="I55" i="31"/>
  <c r="I42" i="31"/>
  <c r="I41" i="31"/>
  <c r="I37" i="31"/>
  <c r="I36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9" i="31"/>
  <c r="H176" i="31" l="1"/>
  <c r="I176" i="31" s="1"/>
  <c r="H175" i="31"/>
  <c r="I175" i="31" s="1"/>
  <c r="F217" i="31"/>
  <c r="I217" i="31" s="1"/>
  <c r="F158" i="31"/>
  <c r="I158" i="31" s="1"/>
  <c r="F293" i="31"/>
  <c r="F287" i="31"/>
  <c r="I287" i="31" s="1"/>
  <c r="F282" i="31"/>
  <c r="I282" i="31" s="1"/>
  <c r="F281" i="31"/>
  <c r="F285" i="31"/>
  <c r="I285" i="31" s="1"/>
  <c r="F266" i="31"/>
  <c r="I266" i="31" s="1"/>
  <c r="F263" i="31"/>
  <c r="I263" i="31" s="1"/>
  <c r="F271" i="31"/>
  <c r="I271" i="31" s="1"/>
  <c r="F145" i="31"/>
  <c r="I145" i="31" s="1"/>
  <c r="F146" i="31"/>
  <c r="I146" i="31" s="1"/>
  <c r="F132" i="31"/>
  <c r="I132" i="31" s="1"/>
  <c r="F48" i="31"/>
  <c r="I48" i="31" s="1"/>
  <c r="F75" i="31"/>
  <c r="I75" i="31" s="1"/>
  <c r="F32" i="31"/>
  <c r="I32" i="31" s="1"/>
  <c r="I299" i="31" l="1"/>
  <c r="I298" i="31"/>
  <c r="I297" i="31"/>
  <c r="I296" i="31"/>
  <c r="I295" i="31"/>
  <c r="I294" i="31"/>
  <c r="I293" i="31"/>
  <c r="I292" i="31"/>
  <c r="D97" i="44"/>
  <c r="H132" i="44"/>
  <c r="G132" i="44"/>
  <c r="F132" i="44"/>
  <c r="H145" i="44"/>
  <c r="G145" i="44"/>
  <c r="D145" i="44"/>
  <c r="G168" i="44"/>
  <c r="F168" i="44"/>
  <c r="H97" i="44"/>
  <c r="G97" i="44"/>
  <c r="F97" i="44"/>
  <c r="H59" i="44"/>
  <c r="G59" i="44"/>
  <c r="D59" i="44"/>
  <c r="H38" i="44"/>
  <c r="G38" i="44"/>
  <c r="F38" i="44"/>
  <c r="D38" i="44"/>
  <c r="E28" i="44"/>
  <c r="I28" i="44"/>
  <c r="K28" i="44" s="1"/>
  <c r="I164" i="44"/>
  <c r="K164" i="44" s="1"/>
  <c r="E164" i="44"/>
  <c r="I165" i="44"/>
  <c r="L165" i="44" s="1"/>
  <c r="E165" i="44"/>
  <c r="I167" i="44"/>
  <c r="L167" i="44" s="1"/>
  <c r="E167" i="44"/>
  <c r="I163" i="44"/>
  <c r="L163" i="44" s="1"/>
  <c r="E163" i="44"/>
  <c r="I162" i="44"/>
  <c r="L162" i="44" s="1"/>
  <c r="E162" i="44"/>
  <c r="I161" i="44"/>
  <c r="L161" i="44" s="1"/>
  <c r="E161" i="44"/>
  <c r="L166" i="44"/>
  <c r="K166" i="44"/>
  <c r="E166" i="44"/>
  <c r="I160" i="44"/>
  <c r="L160" i="44" s="1"/>
  <c r="E160" i="44"/>
  <c r="I159" i="44"/>
  <c r="E159" i="44"/>
  <c r="L158" i="44"/>
  <c r="K158" i="44"/>
  <c r="E158" i="44"/>
  <c r="H152" i="44"/>
  <c r="G152" i="44"/>
  <c r="F152" i="44"/>
  <c r="D152" i="44"/>
  <c r="I151" i="44"/>
  <c r="I152" i="44" s="1"/>
  <c r="E151" i="44"/>
  <c r="E152" i="44" s="1"/>
  <c r="I142" i="44"/>
  <c r="L142" i="44" s="1"/>
  <c r="E142" i="44"/>
  <c r="I140" i="44"/>
  <c r="E140" i="44"/>
  <c r="I143" i="44"/>
  <c r="L143" i="44" s="1"/>
  <c r="E143" i="44"/>
  <c r="I141" i="44"/>
  <c r="L141" i="44" s="1"/>
  <c r="E141" i="44"/>
  <c r="F144" i="44"/>
  <c r="I144" i="44" s="1"/>
  <c r="L144" i="44" s="1"/>
  <c r="I138" i="44"/>
  <c r="L138" i="44" s="1"/>
  <c r="E138" i="44"/>
  <c r="I139" i="44"/>
  <c r="L139" i="44" s="1"/>
  <c r="E139" i="44"/>
  <c r="I128" i="44"/>
  <c r="L128" i="44" s="1"/>
  <c r="I127" i="44"/>
  <c r="L127" i="44" s="1"/>
  <c r="I105" i="44"/>
  <c r="L105" i="44" s="1"/>
  <c r="E105" i="44"/>
  <c r="I126" i="44"/>
  <c r="L126" i="44" s="1"/>
  <c r="E126" i="44"/>
  <c r="I103" i="44"/>
  <c r="L103" i="44" s="1"/>
  <c r="E103" i="44"/>
  <c r="I125" i="44"/>
  <c r="L125" i="44" s="1"/>
  <c r="E125" i="44"/>
  <c r="I124" i="44"/>
  <c r="L124" i="44" s="1"/>
  <c r="E124" i="44"/>
  <c r="I123" i="44"/>
  <c r="L123" i="44" s="1"/>
  <c r="E123" i="44"/>
  <c r="I122" i="44"/>
  <c r="L122" i="44" s="1"/>
  <c r="E122" i="44"/>
  <c r="I121" i="44"/>
  <c r="E121" i="44"/>
  <c r="I120" i="44"/>
  <c r="E120" i="44"/>
  <c r="I119" i="44"/>
  <c r="L119" i="44" s="1"/>
  <c r="E119" i="44"/>
  <c r="I118" i="44"/>
  <c r="L118" i="44" s="1"/>
  <c r="E118" i="44"/>
  <c r="I117" i="44"/>
  <c r="L117" i="44" s="1"/>
  <c r="E117" i="44"/>
  <c r="I116" i="44"/>
  <c r="L116" i="44" s="1"/>
  <c r="E116" i="44"/>
  <c r="I115" i="44"/>
  <c r="L115" i="44" s="1"/>
  <c r="E115" i="44"/>
  <c r="L114" i="44"/>
  <c r="K114" i="44"/>
  <c r="E114" i="44"/>
  <c r="L131" i="44"/>
  <c r="K131" i="44"/>
  <c r="E131" i="44"/>
  <c r="I130" i="44"/>
  <c r="K130" i="44" s="1"/>
  <c r="E130" i="44"/>
  <c r="I113" i="44"/>
  <c r="L113" i="44" s="1"/>
  <c r="E113" i="44"/>
  <c r="I112" i="44"/>
  <c r="L112" i="44" s="1"/>
  <c r="E112" i="44"/>
  <c r="I111" i="44"/>
  <c r="L111" i="44" s="1"/>
  <c r="E111" i="44"/>
  <c r="I110" i="44"/>
  <c r="L110" i="44" s="1"/>
  <c r="E110" i="44"/>
  <c r="I109" i="44"/>
  <c r="L109" i="44" s="1"/>
  <c r="E109" i="44"/>
  <c r="I108" i="44"/>
  <c r="K108" i="44" s="1"/>
  <c r="E108" i="44"/>
  <c r="L129" i="44"/>
  <c r="K129" i="44"/>
  <c r="I107" i="44"/>
  <c r="E107" i="44"/>
  <c r="I106" i="44"/>
  <c r="K106" i="44" s="1"/>
  <c r="E106" i="44"/>
  <c r="I104" i="44"/>
  <c r="L104" i="44" s="1"/>
  <c r="E104" i="44"/>
  <c r="I94" i="44"/>
  <c r="L94" i="44" s="1"/>
  <c r="I93" i="44"/>
  <c r="K93" i="44" s="1"/>
  <c r="I92" i="44"/>
  <c r="L92" i="44" s="1"/>
  <c r="I91" i="44"/>
  <c r="K91" i="44" s="1"/>
  <c r="I90" i="44"/>
  <c r="L90" i="44" s="1"/>
  <c r="I89" i="44"/>
  <c r="L89" i="44" s="1"/>
  <c r="I88" i="44"/>
  <c r="L88" i="44" s="1"/>
  <c r="I87" i="44"/>
  <c r="L87" i="44" s="1"/>
  <c r="I86" i="44"/>
  <c r="L86" i="44" s="1"/>
  <c r="I85" i="44"/>
  <c r="L85" i="44" s="1"/>
  <c r="I84" i="44"/>
  <c r="L84" i="44" s="1"/>
  <c r="E84" i="44"/>
  <c r="I83" i="44"/>
  <c r="L83" i="44" s="1"/>
  <c r="E83" i="44"/>
  <c r="I82" i="44"/>
  <c r="K82" i="44" s="1"/>
  <c r="E96" i="44"/>
  <c r="I96" i="44" s="1"/>
  <c r="K96" i="44" s="1"/>
  <c r="I81" i="44"/>
  <c r="L81" i="44" s="1"/>
  <c r="E81" i="44"/>
  <c r="I80" i="44"/>
  <c r="L80" i="44" s="1"/>
  <c r="I79" i="44"/>
  <c r="L79" i="44" s="1"/>
  <c r="I78" i="44"/>
  <c r="L78" i="44" s="1"/>
  <c r="I77" i="44"/>
  <c r="K77" i="44" s="1"/>
  <c r="I76" i="44"/>
  <c r="L76" i="44" s="1"/>
  <c r="E76" i="44"/>
  <c r="I95" i="44"/>
  <c r="L95" i="44" s="1"/>
  <c r="E95" i="44"/>
  <c r="I75" i="44"/>
  <c r="L75" i="44" s="1"/>
  <c r="I74" i="44"/>
  <c r="K74" i="44" s="1"/>
  <c r="I73" i="44"/>
  <c r="L73" i="44" s="1"/>
  <c r="I72" i="44"/>
  <c r="E72" i="44"/>
  <c r="I71" i="44"/>
  <c r="L71" i="44" s="1"/>
  <c r="E71" i="44"/>
  <c r="I70" i="44"/>
  <c r="I69" i="44"/>
  <c r="L69" i="44" s="1"/>
  <c r="E69" i="44"/>
  <c r="I68" i="44"/>
  <c r="L68" i="44" s="1"/>
  <c r="E68" i="44"/>
  <c r="I67" i="44"/>
  <c r="E67" i="44"/>
  <c r="I66" i="44"/>
  <c r="L66" i="44" s="1"/>
  <c r="E66" i="44"/>
  <c r="I65" i="44"/>
  <c r="K65" i="44" s="1"/>
  <c r="E65" i="44"/>
  <c r="I47" i="44"/>
  <c r="K47" i="44" s="1"/>
  <c r="E47" i="44"/>
  <c r="I51" i="44"/>
  <c r="L51" i="44" s="1"/>
  <c r="I48" i="44"/>
  <c r="L48" i="44" s="1"/>
  <c r="E48" i="44"/>
  <c r="I49" i="44"/>
  <c r="L49" i="44" s="1"/>
  <c r="E49" i="44"/>
  <c r="I52" i="44"/>
  <c r="L52" i="44" s="1"/>
  <c r="F45" i="44"/>
  <c r="E45" i="44"/>
  <c r="F50" i="44"/>
  <c r="E50" i="44"/>
  <c r="I46" i="44"/>
  <c r="L46" i="44" s="1"/>
  <c r="E46" i="44"/>
  <c r="I44" i="44"/>
  <c r="K44" i="44" s="1"/>
  <c r="E44" i="44"/>
  <c r="I57" i="44"/>
  <c r="L57" i="44" s="1"/>
  <c r="E57" i="44"/>
  <c r="I56" i="44"/>
  <c r="E56" i="44"/>
  <c r="I55" i="44"/>
  <c r="L55" i="44" s="1"/>
  <c r="E55" i="44"/>
  <c r="I58" i="44"/>
  <c r="L58" i="44" s="1"/>
  <c r="E58" i="44"/>
  <c r="I54" i="44"/>
  <c r="K54" i="44" s="1"/>
  <c r="I53" i="44"/>
  <c r="L53" i="44" s="1"/>
  <c r="I27" i="44"/>
  <c r="L27" i="44" s="1"/>
  <c r="E27" i="44"/>
  <c r="I22" i="44"/>
  <c r="K22" i="44" s="1"/>
  <c r="E22" i="44"/>
  <c r="I37" i="44"/>
  <c r="L37" i="44" s="1"/>
  <c r="E37" i="44"/>
  <c r="I36" i="44"/>
  <c r="K36" i="44" s="1"/>
  <c r="E36" i="44"/>
  <c r="I20" i="44"/>
  <c r="L20" i="44" s="1"/>
  <c r="E20" i="44"/>
  <c r="I21" i="44"/>
  <c r="L21" i="44" s="1"/>
  <c r="I35" i="44"/>
  <c r="K35" i="44" s="1"/>
  <c r="E35" i="44"/>
  <c r="I18" i="44"/>
  <c r="L18" i="44" s="1"/>
  <c r="E18" i="44"/>
  <c r="I19" i="44"/>
  <c r="L19" i="44" s="1"/>
  <c r="E19" i="44"/>
  <c r="I17" i="44"/>
  <c r="K17" i="44" s="1"/>
  <c r="E17" i="44"/>
  <c r="I34" i="44"/>
  <c r="L34" i="44" s="1"/>
  <c r="E34" i="44"/>
  <c r="I23" i="44"/>
  <c r="L23" i="44" s="1"/>
  <c r="E23" i="44"/>
  <c r="I33" i="44"/>
  <c r="L33" i="44" s="1"/>
  <c r="E33" i="44"/>
  <c r="I32" i="44"/>
  <c r="L32" i="44" s="1"/>
  <c r="E32" i="44"/>
  <c r="I31" i="44"/>
  <c r="L31" i="44" s="1"/>
  <c r="E31" i="44"/>
  <c r="I30" i="44"/>
  <c r="K30" i="44" s="1"/>
  <c r="E30" i="44"/>
  <c r="I26" i="44"/>
  <c r="L26" i="44" s="1"/>
  <c r="E26" i="44"/>
  <c r="I24" i="44"/>
  <c r="L24" i="44" s="1"/>
  <c r="E24" i="44"/>
  <c r="I15" i="44"/>
  <c r="L15" i="44" s="1"/>
  <c r="E15" i="44"/>
  <c r="I16" i="44"/>
  <c r="L16" i="44" s="1"/>
  <c r="E16" i="44"/>
  <c r="I29" i="44"/>
  <c r="L29" i="44" s="1"/>
  <c r="E29" i="44"/>
  <c r="I25" i="44"/>
  <c r="L25" i="44" s="1"/>
  <c r="E25" i="44"/>
  <c r="I14" i="44"/>
  <c r="L14" i="44" s="1"/>
  <c r="E14" i="44"/>
  <c r="D168" i="44" l="1"/>
  <c r="D132" i="44"/>
  <c r="H168" i="44"/>
  <c r="F145" i="44"/>
  <c r="I132" i="44"/>
  <c r="I168" i="44"/>
  <c r="I145" i="44"/>
  <c r="I97" i="44"/>
  <c r="F59" i="44"/>
  <c r="I38" i="44"/>
  <c r="L28" i="44"/>
  <c r="E168" i="44"/>
  <c r="E145" i="44"/>
  <c r="L82" i="44"/>
  <c r="L93" i="44"/>
  <c r="E97" i="44"/>
  <c r="L106" i="44"/>
  <c r="L17" i="44"/>
  <c r="E59" i="44"/>
  <c r="L35" i="44"/>
  <c r="L108" i="44"/>
  <c r="L44" i="44"/>
  <c r="K87" i="44"/>
  <c r="K88" i="44"/>
  <c r="K110" i="44"/>
  <c r="L36" i="44"/>
  <c r="L74" i="44"/>
  <c r="L22" i="44"/>
  <c r="K112" i="44"/>
  <c r="L91" i="44"/>
  <c r="L164" i="44"/>
  <c r="I45" i="44"/>
  <c r="L45" i="44" s="1"/>
  <c r="K161" i="44"/>
  <c r="L54" i="44"/>
  <c r="L130" i="44"/>
  <c r="K14" i="44"/>
  <c r="E38" i="44"/>
  <c r="K68" i="44"/>
  <c r="L77" i="44"/>
  <c r="L65" i="44"/>
  <c r="L120" i="44"/>
  <c r="K120" i="44"/>
  <c r="K126" i="44"/>
  <c r="K26" i="44"/>
  <c r="K67" i="44"/>
  <c r="L67" i="44"/>
  <c r="K78" i="44"/>
  <c r="K89" i="44"/>
  <c r="K117" i="44"/>
  <c r="K21" i="44"/>
  <c r="K105" i="44"/>
  <c r="K79" i="44"/>
  <c r="K163" i="44"/>
  <c r="K118" i="44"/>
  <c r="K31" i="44"/>
  <c r="K52" i="44"/>
  <c r="K127" i="44"/>
  <c r="K20" i="44"/>
  <c r="K69" i="44"/>
  <c r="K111" i="44"/>
  <c r="K151" i="44"/>
  <c r="K152" i="44" s="1"/>
  <c r="K167" i="44"/>
  <c r="K49" i="44"/>
  <c r="K94" i="44"/>
  <c r="K119" i="44"/>
  <c r="L151" i="44"/>
  <c r="L152" i="44" s="1"/>
  <c r="D155" i="44" s="1"/>
  <c r="K32" i="44"/>
  <c r="L70" i="44"/>
  <c r="K70" i="44"/>
  <c r="K48" i="44"/>
  <c r="K33" i="44"/>
  <c r="L121" i="44"/>
  <c r="K121" i="44"/>
  <c r="K83" i="44"/>
  <c r="K139" i="44"/>
  <c r="K25" i="44"/>
  <c r="K55" i="44"/>
  <c r="K113" i="44"/>
  <c r="E132" i="44"/>
  <c r="K23" i="44"/>
  <c r="L56" i="44"/>
  <c r="K56" i="44"/>
  <c r="K84" i="44"/>
  <c r="K104" i="44"/>
  <c r="K123" i="44"/>
  <c r="K29" i="44"/>
  <c r="K27" i="44"/>
  <c r="K75" i="44"/>
  <c r="K159" i="44"/>
  <c r="L159" i="44"/>
  <c r="K85" i="44"/>
  <c r="K141" i="44"/>
  <c r="K16" i="44"/>
  <c r="K95" i="44"/>
  <c r="K86" i="44"/>
  <c r="L107" i="44"/>
  <c r="K107" i="44"/>
  <c r="K143" i="44"/>
  <c r="K15" i="44"/>
  <c r="K19" i="44"/>
  <c r="K103" i="44"/>
  <c r="K46" i="44"/>
  <c r="K66" i="44"/>
  <c r="K76" i="44"/>
  <c r="K160" i="44"/>
  <c r="L140" i="44"/>
  <c r="L145" i="44" s="1"/>
  <c r="D148" i="44" s="1"/>
  <c r="K140" i="44"/>
  <c r="L30" i="44"/>
  <c r="L47" i="44"/>
  <c r="L96" i="44"/>
  <c r="K116" i="44"/>
  <c r="K125" i="44"/>
  <c r="K144" i="44"/>
  <c r="K51" i="44"/>
  <c r="K80" i="44"/>
  <c r="K115" i="44"/>
  <c r="K124" i="44"/>
  <c r="K138" i="44"/>
  <c r="K165" i="44"/>
  <c r="K18" i="44"/>
  <c r="K57" i="44"/>
  <c r="K71" i="44"/>
  <c r="K92" i="44"/>
  <c r="K109" i="44"/>
  <c r="L72" i="44"/>
  <c r="K72" i="44"/>
  <c r="K162" i="44"/>
  <c r="K58" i="44"/>
  <c r="K37" i="44"/>
  <c r="I50" i="44"/>
  <c r="L50" i="44" s="1"/>
  <c r="K81" i="44"/>
  <c r="K34" i="44"/>
  <c r="K53" i="44"/>
  <c r="K90" i="44"/>
  <c r="K128" i="44"/>
  <c r="K24" i="44"/>
  <c r="K73" i="44"/>
  <c r="K122" i="44"/>
  <c r="K142" i="44"/>
  <c r="G33" i="31"/>
  <c r="H33" i="31"/>
  <c r="G38" i="31"/>
  <c r="H38" i="31"/>
  <c r="G56" i="31"/>
  <c r="H56" i="31"/>
  <c r="G91" i="31"/>
  <c r="H91" i="31"/>
  <c r="G123" i="31"/>
  <c r="H123" i="31"/>
  <c r="G133" i="31"/>
  <c r="H133" i="31"/>
  <c r="G137" i="31"/>
  <c r="H137" i="31"/>
  <c r="G150" i="31"/>
  <c r="H150" i="31"/>
  <c r="G155" i="31"/>
  <c r="H155" i="31"/>
  <c r="G169" i="31"/>
  <c r="H169" i="31"/>
  <c r="G180" i="31"/>
  <c r="H180" i="31"/>
  <c r="G184" i="31"/>
  <c r="H184" i="31"/>
  <c r="G200" i="31"/>
  <c r="H200" i="31"/>
  <c r="G207" i="31"/>
  <c r="H207" i="31"/>
  <c r="G218" i="31"/>
  <c r="H218" i="31"/>
  <c r="G221" i="31"/>
  <c r="G232" i="31"/>
  <c r="I232" i="31" s="1"/>
  <c r="H235" i="31"/>
  <c r="G243" i="31"/>
  <c r="H243" i="31"/>
  <c r="G257" i="31"/>
  <c r="H257" i="31"/>
  <c r="G278" i="31"/>
  <c r="H278" i="31"/>
  <c r="G289" i="31"/>
  <c r="H289" i="31"/>
  <c r="G300" i="31"/>
  <c r="H300" i="31"/>
  <c r="H155" i="44" l="1"/>
  <c r="H148" i="44"/>
  <c r="K145" i="44"/>
  <c r="L132" i="44"/>
  <c r="D135" i="44" s="1"/>
  <c r="K168" i="44"/>
  <c r="K132" i="44"/>
  <c r="L168" i="44"/>
  <c r="D171" i="44" s="1"/>
  <c r="K97" i="44"/>
  <c r="L97" i="44"/>
  <c r="D100" i="44" s="1"/>
  <c r="L59" i="44"/>
  <c r="D62" i="44" s="1"/>
  <c r="I59" i="44"/>
  <c r="L38" i="44"/>
  <c r="D41" i="44" s="1"/>
  <c r="K38" i="44"/>
  <c r="R26" i="44"/>
  <c r="K45" i="44"/>
  <c r="K50" i="44"/>
  <c r="G235" i="31"/>
  <c r="G303" i="31" s="1"/>
  <c r="H303" i="31"/>
  <c r="D281" i="31"/>
  <c r="I281" i="31" s="1"/>
  <c r="H135" i="44" l="1"/>
  <c r="H41" i="44"/>
  <c r="M155" i="44"/>
  <c r="H62" i="44"/>
  <c r="H171" i="44"/>
  <c r="M148" i="44"/>
  <c r="H100" i="44"/>
  <c r="K59" i="44"/>
  <c r="S26" i="44"/>
  <c r="S30" i="44" s="1"/>
  <c r="E296" i="31"/>
  <c r="M62" i="44" l="1"/>
  <c r="M100" i="44"/>
  <c r="M41" i="44"/>
  <c r="M135" i="44"/>
  <c r="M171" i="44"/>
  <c r="F128" i="31"/>
  <c r="I128" i="31" s="1"/>
  <c r="M173" i="44" l="1"/>
  <c r="D175" i="44" s="1"/>
  <c r="D53" i="37" l="1"/>
  <c r="C53" i="37"/>
  <c r="D52" i="37"/>
  <c r="B52" i="37"/>
  <c r="D51" i="37"/>
  <c r="D50" i="37"/>
  <c r="C50" i="37"/>
  <c r="L72" i="37"/>
  <c r="M63" i="37"/>
  <c r="M62" i="37"/>
  <c r="M61" i="37"/>
  <c r="M60" i="37"/>
  <c r="L63" i="37"/>
  <c r="L60" i="37"/>
  <c r="Y39" i="37"/>
  <c r="Y38" i="37"/>
  <c r="Y37" i="37"/>
  <c r="Y36" i="37"/>
  <c r="X39" i="37"/>
  <c r="X38" i="37"/>
  <c r="X37" i="37"/>
  <c r="X36" i="37"/>
  <c r="W39" i="37"/>
  <c r="W38" i="37"/>
  <c r="W37" i="37"/>
  <c r="W36" i="37"/>
  <c r="V39" i="37"/>
  <c r="V38" i="37"/>
  <c r="V37" i="37"/>
  <c r="V36" i="37"/>
  <c r="U39" i="37"/>
  <c r="U38" i="37"/>
  <c r="U37" i="37"/>
  <c r="U36" i="37"/>
  <c r="T39" i="37"/>
  <c r="T38" i="37"/>
  <c r="T37" i="37"/>
  <c r="T36" i="37"/>
  <c r="S36" i="37"/>
  <c r="D54" i="37" l="1"/>
  <c r="M64" i="37"/>
  <c r="D180" i="31" l="1"/>
  <c r="D19" i="37" s="1"/>
  <c r="K62" i="37" l="1"/>
  <c r="AE38" i="37" l="1"/>
  <c r="AD39" i="37"/>
  <c r="AC39" i="37"/>
  <c r="AB39" i="37"/>
  <c r="AB38" i="37"/>
  <c r="AB37" i="37"/>
  <c r="AB36" i="37"/>
  <c r="AA38" i="37"/>
  <c r="Z38" i="37"/>
  <c r="S39" i="37"/>
  <c r="S38" i="37"/>
  <c r="S37" i="37"/>
  <c r="R39" i="37"/>
  <c r="R38" i="37"/>
  <c r="R37" i="37"/>
  <c r="R36" i="37"/>
  <c r="Q39" i="37"/>
  <c r="Q38" i="37"/>
  <c r="Q37" i="37"/>
  <c r="Q36" i="37"/>
  <c r="P39" i="37" l="1"/>
  <c r="P38" i="37"/>
  <c r="P37" i="37"/>
  <c r="P36" i="37"/>
  <c r="O39" i="37"/>
  <c r="O38" i="37"/>
  <c r="O37" i="37"/>
  <c r="O36" i="37"/>
  <c r="N39" i="37"/>
  <c r="N38" i="37"/>
  <c r="N37" i="37"/>
  <c r="N36" i="37"/>
  <c r="M39" i="37"/>
  <c r="M38" i="37"/>
  <c r="M37" i="37"/>
  <c r="M36" i="37"/>
  <c r="L39" i="37"/>
  <c r="L38" i="37"/>
  <c r="L37" i="37"/>
  <c r="L36" i="37"/>
  <c r="K39" i="37" l="1"/>
  <c r="K38" i="37"/>
  <c r="K37" i="37"/>
  <c r="K36" i="37"/>
  <c r="AF74" i="37" l="1"/>
  <c r="AE75" i="37"/>
  <c r="AD75" i="37"/>
  <c r="AC75" i="37" l="1"/>
  <c r="AC74" i="37"/>
  <c r="AC73" i="37"/>
  <c r="AC72" i="37"/>
  <c r="AB74" i="37"/>
  <c r="AA74" i="37"/>
  <c r="Z75" i="37"/>
  <c r="Z74" i="37"/>
  <c r="Z73" i="37"/>
  <c r="Z72" i="37"/>
  <c r="T75" i="37"/>
  <c r="T74" i="37"/>
  <c r="T73" i="37"/>
  <c r="T72" i="37"/>
  <c r="S75" i="37"/>
  <c r="S74" i="37"/>
  <c r="S73" i="37"/>
  <c r="S72" i="37"/>
  <c r="R75" i="37"/>
  <c r="R74" i="37"/>
  <c r="R73" i="37"/>
  <c r="R72" i="37"/>
  <c r="Q75" i="37"/>
  <c r="Q74" i="37"/>
  <c r="Q73" i="37"/>
  <c r="Q72" i="37"/>
  <c r="P75" i="37"/>
  <c r="P74" i="37"/>
  <c r="P73" i="37"/>
  <c r="P72" i="37"/>
  <c r="O75" i="37"/>
  <c r="O74" i="37"/>
  <c r="O73" i="37"/>
  <c r="O72" i="37"/>
  <c r="N75" i="37"/>
  <c r="N74" i="37"/>
  <c r="N73" i="37"/>
  <c r="N72" i="37"/>
  <c r="M75" i="37"/>
  <c r="M74" i="37"/>
  <c r="M73" i="37"/>
  <c r="M72" i="37"/>
  <c r="L74" i="37"/>
  <c r="L73" i="37"/>
  <c r="L75" i="37"/>
  <c r="N84" i="37"/>
  <c r="N83" i="37"/>
  <c r="M83" i="37"/>
  <c r="N82" i="37"/>
  <c r="N81" i="37"/>
  <c r="M81" i="37"/>
  <c r="Y75" i="37"/>
  <c r="X75" i="37"/>
  <c r="W75" i="37"/>
  <c r="Y74" i="37"/>
  <c r="W74" i="37"/>
  <c r="V74" i="37"/>
  <c r="W73" i="37"/>
  <c r="W72" i="37"/>
  <c r="V72" i="37"/>
  <c r="U72" i="37"/>
  <c r="W76" i="37" l="1"/>
  <c r="AC76" i="37"/>
  <c r="Z76" i="37"/>
  <c r="T76" i="37"/>
  <c r="S76" i="37"/>
  <c r="R76" i="37"/>
  <c r="Q76" i="37"/>
  <c r="P76" i="37"/>
  <c r="O76" i="37"/>
  <c r="N76" i="37"/>
  <c r="L76" i="37"/>
  <c r="M76" i="37"/>
  <c r="D200" i="31"/>
  <c r="D21" i="37" s="1"/>
  <c r="D207" i="31" l="1"/>
  <c r="D22" i="37" s="1"/>
  <c r="Y40" i="37" l="1"/>
  <c r="S40" i="37"/>
  <c r="M40" i="37"/>
  <c r="L40" i="37"/>
  <c r="K40" i="37"/>
  <c r="C30" i="37"/>
  <c r="C16" i="37"/>
  <c r="V40" i="37" l="1"/>
  <c r="R40" i="37"/>
  <c r="O40" i="37"/>
  <c r="N40" i="37"/>
  <c r="P40" i="37"/>
  <c r="AB40" i="37"/>
  <c r="Q40" i="37"/>
  <c r="C31" i="37"/>
  <c r="R42" i="37" l="1"/>
  <c r="D169" i="31" l="1"/>
  <c r="D18" i="37" s="1"/>
  <c r="I169" i="31" l="1"/>
  <c r="H18" i="37" l="1"/>
  <c r="H170" i="31"/>
  <c r="G10" i="37" l="1"/>
  <c r="G8" i="37"/>
  <c r="F33" i="31"/>
  <c r="D184" i="31"/>
  <c r="D20" i="37" s="1"/>
  <c r="F8" i="37" l="1"/>
  <c r="E8" i="37"/>
  <c r="I33" i="31" l="1"/>
  <c r="H34" i="31" s="1"/>
  <c r="H8" i="37" l="1"/>
  <c r="I8" i="37" s="1"/>
  <c r="D257" i="31"/>
  <c r="D218" i="31"/>
  <c r="D23" i="37" s="1"/>
  <c r="D155" i="31"/>
  <c r="D17" i="37" s="1"/>
  <c r="D26" i="37" l="1"/>
  <c r="C16" i="36"/>
  <c r="M49" i="36"/>
  <c r="M48" i="36"/>
  <c r="L48" i="36"/>
  <c r="M47" i="36"/>
  <c r="M46" i="36"/>
  <c r="L46" i="36"/>
  <c r="AD40" i="36"/>
  <c r="X40" i="36"/>
  <c r="W40" i="36"/>
  <c r="V40" i="36"/>
  <c r="S40" i="36"/>
  <c r="Q40" i="36"/>
  <c r="N40" i="36"/>
  <c r="L40" i="36"/>
  <c r="AE39" i="36"/>
  <c r="AC39" i="36"/>
  <c r="AA39" i="36"/>
  <c r="Y39" i="36"/>
  <c r="X39" i="36"/>
  <c r="V39" i="36"/>
  <c r="U39" i="36"/>
  <c r="S39" i="36"/>
  <c r="L39" i="36"/>
  <c r="V38" i="36"/>
  <c r="Q38" i="36"/>
  <c r="P38" i="36"/>
  <c r="V37" i="36"/>
  <c r="U37" i="36"/>
  <c r="T37" i="36"/>
  <c r="S37" i="36"/>
  <c r="Q37" i="36"/>
  <c r="P37" i="36"/>
  <c r="C31" i="36"/>
  <c r="G29" i="36"/>
  <c r="F29" i="36"/>
  <c r="C32" i="36" l="1"/>
  <c r="V41" i="36"/>
  <c r="D38" i="31" l="1"/>
  <c r="D9" i="37" l="1"/>
  <c r="E36" i="31" l="1"/>
  <c r="D137" i="31" l="1"/>
  <c r="D14" i="37" s="1"/>
  <c r="G29" i="37" l="1"/>
  <c r="F29" i="37"/>
  <c r="F300" i="31"/>
  <c r="E29" i="37" s="1"/>
  <c r="F28" i="37"/>
  <c r="G28" i="37"/>
  <c r="G27" i="37"/>
  <c r="F27" i="37"/>
  <c r="G25" i="37"/>
  <c r="F25" i="37"/>
  <c r="F243" i="31"/>
  <c r="E25" i="37" s="1"/>
  <c r="G24" i="37"/>
  <c r="G15" i="37"/>
  <c r="F15" i="37"/>
  <c r="F150" i="31"/>
  <c r="E15" i="37" s="1"/>
  <c r="D150" i="31"/>
  <c r="D15" i="37" s="1"/>
  <c r="G14" i="37"/>
  <c r="F14" i="37"/>
  <c r="F137" i="31"/>
  <c r="E14" i="37" s="1"/>
  <c r="F10" i="37"/>
  <c r="D56" i="31"/>
  <c r="G11" i="37"/>
  <c r="F11" i="37"/>
  <c r="F91" i="31"/>
  <c r="E11" i="37" s="1"/>
  <c r="D91" i="31"/>
  <c r="D11" i="37" s="1"/>
  <c r="F12" i="37"/>
  <c r="F123" i="31"/>
  <c r="E12" i="37" s="1"/>
  <c r="D123" i="31"/>
  <c r="D12" i="37" s="1"/>
  <c r="G12" i="37" l="1"/>
  <c r="G13" i="37"/>
  <c r="D10" i="37"/>
  <c r="I123" i="31" l="1"/>
  <c r="D133" i="31"/>
  <c r="H12" i="37" l="1"/>
  <c r="I12" i="37" s="1"/>
  <c r="J12" i="37" s="1"/>
  <c r="H124" i="31"/>
  <c r="D13" i="37"/>
  <c r="I137" i="31" l="1"/>
  <c r="H14" i="37" l="1"/>
  <c r="I14" i="37" s="1"/>
  <c r="J14" i="37" s="1"/>
  <c r="H138" i="31"/>
  <c r="I150" i="31" l="1"/>
  <c r="I297" i="35"/>
  <c r="H297" i="35"/>
  <c r="G297" i="35"/>
  <c r="F297" i="35"/>
  <c r="K296" i="35"/>
  <c r="E296" i="35"/>
  <c r="K295" i="35"/>
  <c r="E295" i="35"/>
  <c r="K294" i="35"/>
  <c r="E294" i="35"/>
  <c r="K293" i="35"/>
  <c r="E293" i="35"/>
  <c r="K292" i="35"/>
  <c r="E292" i="35"/>
  <c r="K291" i="35"/>
  <c r="E291" i="35"/>
  <c r="K290" i="35"/>
  <c r="E290" i="35"/>
  <c r="K289" i="35"/>
  <c r="E289" i="35"/>
  <c r="H286" i="35"/>
  <c r="G286" i="35"/>
  <c r="D285" i="35"/>
  <c r="I285" i="35" s="1"/>
  <c r="K285" i="35" s="1"/>
  <c r="D284" i="35"/>
  <c r="I284" i="35" s="1"/>
  <c r="K284" i="35" s="1"/>
  <c r="D283" i="35"/>
  <c r="I283" i="35" s="1"/>
  <c r="K283" i="35" s="1"/>
  <c r="D282" i="35"/>
  <c r="I282" i="35" s="1"/>
  <c r="K282" i="35" s="1"/>
  <c r="D281" i="35"/>
  <c r="F281" i="35" s="1"/>
  <c r="D280" i="35"/>
  <c r="I280" i="35" s="1"/>
  <c r="K280" i="35" s="1"/>
  <c r="D279" i="35"/>
  <c r="I279" i="35" s="1"/>
  <c r="K279" i="35" s="1"/>
  <c r="D278" i="35"/>
  <c r="H275" i="35"/>
  <c r="G275" i="35"/>
  <c r="D274" i="35"/>
  <c r="E274" i="35" s="1"/>
  <c r="D273" i="35"/>
  <c r="E273" i="35" s="1"/>
  <c r="D272" i="35"/>
  <c r="I272" i="35" s="1"/>
  <c r="K272" i="35" s="1"/>
  <c r="D271" i="35"/>
  <c r="E271" i="35" s="1"/>
  <c r="D270" i="35"/>
  <c r="E270" i="35" s="1"/>
  <c r="D269" i="35"/>
  <c r="I269" i="35" s="1"/>
  <c r="K269" i="35" s="1"/>
  <c r="N268" i="35"/>
  <c r="D268" i="35"/>
  <c r="I268" i="35" s="1"/>
  <c r="K268" i="35" s="1"/>
  <c r="I267" i="35"/>
  <c r="K267" i="35" s="1"/>
  <c r="E267" i="35"/>
  <c r="D266" i="35"/>
  <c r="I266" i="35" s="1"/>
  <c r="K266" i="35" s="1"/>
  <c r="D265" i="35"/>
  <c r="E265" i="35" s="1"/>
  <c r="D264" i="35"/>
  <c r="E264" i="35" s="1"/>
  <c r="D263" i="35"/>
  <c r="I263" i="35" s="1"/>
  <c r="K263" i="35" s="1"/>
  <c r="D262" i="35"/>
  <c r="E262" i="35" s="1"/>
  <c r="D261" i="35"/>
  <c r="E261" i="35" s="1"/>
  <c r="D260" i="35"/>
  <c r="I260" i="35" s="1"/>
  <c r="K260" i="35" s="1"/>
  <c r="I259" i="35"/>
  <c r="K259" i="35" s="1"/>
  <c r="E259" i="35"/>
  <c r="I258" i="35"/>
  <c r="K258" i="35" s="1"/>
  <c r="E258" i="35"/>
  <c r="I255" i="35"/>
  <c r="H255" i="35"/>
  <c r="G255" i="35"/>
  <c r="K254" i="35"/>
  <c r="E254" i="35"/>
  <c r="K253" i="35"/>
  <c r="E253" i="35"/>
  <c r="F252" i="35"/>
  <c r="F255" i="35" s="1"/>
  <c r="E252" i="35"/>
  <c r="K251" i="35"/>
  <c r="E251" i="35"/>
  <c r="K250" i="35"/>
  <c r="E250" i="35"/>
  <c r="K249" i="35"/>
  <c r="E249" i="35"/>
  <c r="K248" i="35"/>
  <c r="E248" i="35"/>
  <c r="K247" i="35"/>
  <c r="E247" i="35"/>
  <c r="K246" i="35"/>
  <c r="E246" i="35"/>
  <c r="K245" i="35"/>
  <c r="E245" i="35"/>
  <c r="K244" i="35"/>
  <c r="E244" i="35"/>
  <c r="H241" i="35"/>
  <c r="G241" i="35"/>
  <c r="F241" i="35"/>
  <c r="O240" i="35"/>
  <c r="D240" i="35"/>
  <c r="I240" i="35" s="1"/>
  <c r="K240" i="35" s="1"/>
  <c r="D239" i="35"/>
  <c r="I239" i="35" s="1"/>
  <c r="K239" i="35" s="1"/>
  <c r="D238" i="35"/>
  <c r="E238" i="35" s="1"/>
  <c r="D237" i="35"/>
  <c r="I237" i="35" s="1"/>
  <c r="K237" i="35" s="1"/>
  <c r="D236" i="35"/>
  <c r="H233" i="35"/>
  <c r="D232" i="35"/>
  <c r="I232" i="35" s="1"/>
  <c r="K232" i="35" s="1"/>
  <c r="D231" i="35"/>
  <c r="E231" i="35" s="1"/>
  <c r="I230" i="35"/>
  <c r="G230" i="35"/>
  <c r="E230" i="35"/>
  <c r="K229" i="35"/>
  <c r="E229" i="35"/>
  <c r="K228" i="35"/>
  <c r="E228" i="35"/>
  <c r="K227" i="35"/>
  <c r="E227" i="35"/>
  <c r="N226" i="35"/>
  <c r="F226" i="35"/>
  <c r="I226" i="35" s="1"/>
  <c r="K226" i="35" s="1"/>
  <c r="E226" i="35"/>
  <c r="D225" i="35"/>
  <c r="I225" i="35" s="1"/>
  <c r="K225" i="35" s="1"/>
  <c r="D224" i="35"/>
  <c r="I224" i="35" s="1"/>
  <c r="K224" i="35" s="1"/>
  <c r="F223" i="35"/>
  <c r="D223" i="35"/>
  <c r="E223" i="35" s="1"/>
  <c r="F222" i="35"/>
  <c r="D222" i="35"/>
  <c r="F221" i="35"/>
  <c r="D221" i="35"/>
  <c r="E221" i="35" s="1"/>
  <c r="K220" i="35"/>
  <c r="D220" i="35"/>
  <c r="E220" i="35" s="1"/>
  <c r="G219" i="35"/>
  <c r="F219" i="35"/>
  <c r="D219" i="35"/>
  <c r="H216" i="35"/>
  <c r="G216" i="35"/>
  <c r="F216" i="35"/>
  <c r="I215" i="35"/>
  <c r="K215" i="35" s="1"/>
  <c r="E215" i="35"/>
  <c r="K214" i="35"/>
  <c r="E214" i="35"/>
  <c r="K213" i="35"/>
  <c r="E213" i="35"/>
  <c r="K212" i="35"/>
  <c r="E212" i="35"/>
  <c r="K211" i="35"/>
  <c r="E211" i="35"/>
  <c r="K210" i="35"/>
  <c r="E210" i="35"/>
  <c r="K209" i="35"/>
  <c r="E209" i="35"/>
  <c r="K208" i="35"/>
  <c r="E208" i="35"/>
  <c r="I205" i="35"/>
  <c r="H205" i="35"/>
  <c r="G205" i="35"/>
  <c r="K204" i="35"/>
  <c r="K203" i="35"/>
  <c r="E203" i="35"/>
  <c r="K202" i="35"/>
  <c r="E202" i="35"/>
  <c r="F201" i="35"/>
  <c r="K201" i="35" s="1"/>
  <c r="E201" i="35"/>
  <c r="I198" i="35"/>
  <c r="H198" i="35"/>
  <c r="G198" i="35"/>
  <c r="F198" i="35"/>
  <c r="K197" i="35"/>
  <c r="E197" i="35"/>
  <c r="K196" i="35"/>
  <c r="E196" i="35"/>
  <c r="K195" i="35"/>
  <c r="E195" i="35"/>
  <c r="K194" i="35"/>
  <c r="E194" i="35"/>
  <c r="K193" i="35"/>
  <c r="E193" i="35"/>
  <c r="K192" i="35"/>
  <c r="E192" i="35"/>
  <c r="K191" i="35"/>
  <c r="E191" i="35"/>
  <c r="K190" i="35"/>
  <c r="E190" i="35"/>
  <c r="K189" i="35"/>
  <c r="E189" i="35"/>
  <c r="K188" i="35"/>
  <c r="E188" i="35"/>
  <c r="K187" i="35"/>
  <c r="E187" i="35"/>
  <c r="K186" i="35"/>
  <c r="E186" i="35"/>
  <c r="K185" i="35"/>
  <c r="E185" i="35"/>
  <c r="I182" i="35"/>
  <c r="H182" i="35"/>
  <c r="G182" i="35"/>
  <c r="F182" i="35"/>
  <c r="E182" i="35"/>
  <c r="K181" i="35"/>
  <c r="I178" i="35"/>
  <c r="H178" i="35"/>
  <c r="G178" i="35"/>
  <c r="F178" i="35"/>
  <c r="K177" i="35"/>
  <c r="E177" i="35"/>
  <c r="K176" i="35"/>
  <c r="E176" i="35"/>
  <c r="K175" i="35"/>
  <c r="E175" i="35"/>
  <c r="K174" i="35"/>
  <c r="E174" i="35"/>
  <c r="K173" i="35"/>
  <c r="K172" i="35"/>
  <c r="E172" i="35"/>
  <c r="K171" i="35"/>
  <c r="E171" i="35"/>
  <c r="K170" i="35"/>
  <c r="E170" i="35"/>
  <c r="I167" i="35"/>
  <c r="H167" i="35"/>
  <c r="G167" i="35"/>
  <c r="K166" i="35"/>
  <c r="E166" i="35"/>
  <c r="K165" i="35"/>
  <c r="E165" i="35"/>
  <c r="K164" i="35"/>
  <c r="E164" i="35"/>
  <c r="K163" i="35"/>
  <c r="E163" i="35"/>
  <c r="K162" i="35"/>
  <c r="E162" i="35"/>
  <c r="K161" i="35"/>
  <c r="E161" i="35"/>
  <c r="K160" i="35"/>
  <c r="E160" i="35"/>
  <c r="K159" i="35"/>
  <c r="E159" i="35"/>
  <c r="K158" i="35"/>
  <c r="E158" i="35"/>
  <c r="K157" i="35"/>
  <c r="E157" i="35"/>
  <c r="F156" i="35"/>
  <c r="K156" i="35" s="1"/>
  <c r="E156" i="35"/>
  <c r="I153" i="35"/>
  <c r="H153" i="35"/>
  <c r="G153" i="35"/>
  <c r="F153" i="35"/>
  <c r="K152" i="35"/>
  <c r="E152" i="35"/>
  <c r="K151" i="35"/>
  <c r="E151" i="35"/>
  <c r="I148" i="35"/>
  <c r="H148" i="35"/>
  <c r="G148" i="35"/>
  <c r="K147" i="35"/>
  <c r="E147" i="35"/>
  <c r="K146" i="35"/>
  <c r="E146" i="35"/>
  <c r="K145" i="35"/>
  <c r="E145" i="35"/>
  <c r="K144" i="35"/>
  <c r="E144" i="35"/>
  <c r="K143" i="35"/>
  <c r="E143" i="35"/>
  <c r="K142" i="35"/>
  <c r="E142" i="35"/>
  <c r="K141" i="35"/>
  <c r="E141" i="35"/>
  <c r="K140" i="35"/>
  <c r="E140" i="35"/>
  <c r="F139" i="35"/>
  <c r="F148" i="35" s="1"/>
  <c r="E139" i="35"/>
  <c r="K138" i="35"/>
  <c r="E138" i="35"/>
  <c r="I135" i="35"/>
  <c r="H135" i="35"/>
  <c r="G135" i="35"/>
  <c r="F135" i="35"/>
  <c r="K134" i="35"/>
  <c r="E134" i="35"/>
  <c r="E135" i="35" s="1"/>
  <c r="H131" i="35"/>
  <c r="G131" i="35"/>
  <c r="I130" i="35"/>
  <c r="F130" i="35"/>
  <c r="E130" i="35"/>
  <c r="K129" i="35"/>
  <c r="E129" i="35"/>
  <c r="K128" i="35"/>
  <c r="E128" i="35"/>
  <c r="F127" i="35"/>
  <c r="K127" i="35" s="1"/>
  <c r="E127" i="35"/>
  <c r="K126" i="35"/>
  <c r="K125" i="35"/>
  <c r="E125" i="35"/>
  <c r="F124" i="35"/>
  <c r="K124" i="35" s="1"/>
  <c r="E124" i="35"/>
  <c r="I121" i="35"/>
  <c r="H121" i="35"/>
  <c r="G121" i="35"/>
  <c r="K120" i="35"/>
  <c r="E120" i="35"/>
  <c r="K119" i="35"/>
  <c r="E119" i="35"/>
  <c r="K118" i="35"/>
  <c r="E118" i="35"/>
  <c r="K117" i="35"/>
  <c r="E117" i="35"/>
  <c r="K116" i="35"/>
  <c r="E116" i="35"/>
  <c r="K115" i="35"/>
  <c r="E115" i="35"/>
  <c r="K114" i="35"/>
  <c r="E114" i="35"/>
  <c r="K113" i="35"/>
  <c r="E113" i="35"/>
  <c r="K112" i="35"/>
  <c r="E112" i="35"/>
  <c r="K111" i="35"/>
  <c r="E111" i="35"/>
  <c r="K110" i="35"/>
  <c r="E110" i="35"/>
  <c r="F109" i="35"/>
  <c r="F121" i="35" s="1"/>
  <c r="E109" i="35"/>
  <c r="K108" i="35"/>
  <c r="E108" i="35"/>
  <c r="K107" i="35"/>
  <c r="E107" i="35"/>
  <c r="K106" i="35"/>
  <c r="E106" i="35"/>
  <c r="K105" i="35"/>
  <c r="E105" i="35"/>
  <c r="K104" i="35"/>
  <c r="E104" i="35"/>
  <c r="K103" i="35"/>
  <c r="E103" i="35"/>
  <c r="K102" i="35"/>
  <c r="E102" i="35"/>
  <c r="K101" i="35"/>
  <c r="E101" i="35"/>
  <c r="K100" i="35"/>
  <c r="E100" i="35"/>
  <c r="K99" i="35"/>
  <c r="E99" i="35"/>
  <c r="K98" i="35"/>
  <c r="E98" i="35"/>
  <c r="K97" i="35"/>
  <c r="K96" i="35"/>
  <c r="E96" i="35"/>
  <c r="K95" i="35"/>
  <c r="E95" i="35"/>
  <c r="K94" i="35"/>
  <c r="E94" i="35"/>
  <c r="H91" i="35"/>
  <c r="G91" i="35"/>
  <c r="F91" i="35"/>
  <c r="D91" i="35"/>
  <c r="I90" i="35"/>
  <c r="K90" i="35" s="1"/>
  <c r="I89" i="35"/>
  <c r="K89" i="35" s="1"/>
  <c r="I88" i="35"/>
  <c r="K88" i="35" s="1"/>
  <c r="I87" i="35"/>
  <c r="K87" i="35" s="1"/>
  <c r="I86" i="35"/>
  <c r="K86" i="35" s="1"/>
  <c r="I85" i="35"/>
  <c r="K85" i="35" s="1"/>
  <c r="I84" i="35"/>
  <c r="K84" i="35" s="1"/>
  <c r="I83" i="35"/>
  <c r="K83" i="35" s="1"/>
  <c r="I82" i="35"/>
  <c r="K82" i="35" s="1"/>
  <c r="I81" i="35"/>
  <c r="K81" i="35" s="1"/>
  <c r="I80" i="35"/>
  <c r="K80" i="35" s="1"/>
  <c r="I79" i="35"/>
  <c r="K79" i="35" s="1"/>
  <c r="I78" i="35"/>
  <c r="K78" i="35" s="1"/>
  <c r="I77" i="35"/>
  <c r="K77" i="35" s="1"/>
  <c r="I76" i="35"/>
  <c r="K76" i="35" s="1"/>
  <c r="I75" i="35"/>
  <c r="K75" i="35" s="1"/>
  <c r="I74" i="35"/>
  <c r="K74" i="35" s="1"/>
  <c r="I73" i="35"/>
  <c r="K73" i="35" s="1"/>
  <c r="I72" i="35"/>
  <c r="K72" i="35" s="1"/>
  <c r="I71" i="35"/>
  <c r="K71" i="35" s="1"/>
  <c r="I70" i="35"/>
  <c r="K70" i="35" s="1"/>
  <c r="I69" i="35"/>
  <c r="K69" i="35" s="1"/>
  <c r="I68" i="35"/>
  <c r="K68" i="35" s="1"/>
  <c r="I67" i="35"/>
  <c r="K67" i="35" s="1"/>
  <c r="I66" i="35"/>
  <c r="K66" i="35" s="1"/>
  <c r="I65" i="35"/>
  <c r="K65" i="35" s="1"/>
  <c r="I64" i="35"/>
  <c r="K64" i="35" s="1"/>
  <c r="I63" i="35"/>
  <c r="K63" i="35" s="1"/>
  <c r="I62" i="35"/>
  <c r="K62" i="35" s="1"/>
  <c r="I61" i="35"/>
  <c r="K61" i="35" s="1"/>
  <c r="I60" i="35"/>
  <c r="K60" i="35" s="1"/>
  <c r="E91" i="35"/>
  <c r="I59" i="35"/>
  <c r="K59" i="35" s="1"/>
  <c r="H56" i="35"/>
  <c r="G56" i="35"/>
  <c r="D56" i="35"/>
  <c r="E55" i="35"/>
  <c r="I55" i="35" s="1"/>
  <c r="K55" i="35" s="1"/>
  <c r="I54" i="35"/>
  <c r="K54" i="35" s="1"/>
  <c r="I53" i="35"/>
  <c r="K53" i="35" s="1"/>
  <c r="E53" i="35"/>
  <c r="I52" i="35"/>
  <c r="K52" i="35" s="1"/>
  <c r="E52" i="35"/>
  <c r="I51" i="35"/>
  <c r="K51" i="35" s="1"/>
  <c r="F50" i="35"/>
  <c r="E50" i="35"/>
  <c r="F49" i="35"/>
  <c r="E49" i="35"/>
  <c r="F48" i="35"/>
  <c r="E48" i="35"/>
  <c r="F47" i="35"/>
  <c r="E47" i="35"/>
  <c r="I46" i="35"/>
  <c r="K46" i="35" s="1"/>
  <c r="E46" i="35"/>
  <c r="I45" i="35"/>
  <c r="K45" i="35" s="1"/>
  <c r="E45" i="35"/>
  <c r="I44" i="35"/>
  <c r="K44" i="35" s="1"/>
  <c r="E44" i="35"/>
  <c r="I43" i="35"/>
  <c r="K43" i="35" s="1"/>
  <c r="E43" i="35"/>
  <c r="I42" i="35"/>
  <c r="K42" i="35" s="1"/>
  <c r="I41" i="35"/>
  <c r="H38" i="35"/>
  <c r="G38" i="35"/>
  <c r="K37" i="35"/>
  <c r="E37" i="35"/>
  <c r="I36" i="35"/>
  <c r="I38" i="35" s="1"/>
  <c r="F36" i="35"/>
  <c r="F38" i="35" s="1"/>
  <c r="E36" i="35"/>
  <c r="I33" i="35"/>
  <c r="H33" i="35"/>
  <c r="G33" i="35"/>
  <c r="K32" i="35"/>
  <c r="E32" i="35"/>
  <c r="K31" i="35"/>
  <c r="E31" i="35"/>
  <c r="K30" i="35"/>
  <c r="E30" i="35"/>
  <c r="K29" i="35"/>
  <c r="E29" i="35"/>
  <c r="K28" i="35"/>
  <c r="E28" i="35"/>
  <c r="K27" i="35"/>
  <c r="K26" i="35"/>
  <c r="E26" i="35"/>
  <c r="K25" i="35"/>
  <c r="E25" i="35"/>
  <c r="K24" i="35"/>
  <c r="E24" i="35"/>
  <c r="K23" i="35"/>
  <c r="E23" i="35"/>
  <c r="K22" i="35"/>
  <c r="E22" i="35"/>
  <c r="F21" i="35"/>
  <c r="K21" i="35" s="1"/>
  <c r="E21" i="35"/>
  <c r="K20" i="35"/>
  <c r="E20" i="35"/>
  <c r="K19" i="35"/>
  <c r="E19" i="35"/>
  <c r="K18" i="35"/>
  <c r="E18" i="35"/>
  <c r="F17" i="35"/>
  <c r="K17" i="35" s="1"/>
  <c r="E17" i="35"/>
  <c r="K16" i="35"/>
  <c r="E16" i="35"/>
  <c r="K15" i="35"/>
  <c r="E15" i="35"/>
  <c r="K14" i="35"/>
  <c r="E14" i="35"/>
  <c r="K13" i="35"/>
  <c r="E13" i="35"/>
  <c r="K12" i="35"/>
  <c r="E12" i="35"/>
  <c r="K11" i="35"/>
  <c r="E11" i="35"/>
  <c r="K10" i="35"/>
  <c r="E10" i="35"/>
  <c r="K9" i="35"/>
  <c r="E9" i="35"/>
  <c r="H15" i="37" l="1"/>
  <c r="I15" i="37" s="1"/>
  <c r="J15" i="37" s="1"/>
  <c r="H151" i="31"/>
  <c r="I216" i="35"/>
  <c r="I49" i="35"/>
  <c r="K49" i="35" s="1"/>
  <c r="K252" i="35"/>
  <c r="F205" i="35"/>
  <c r="K230" i="35"/>
  <c r="K109" i="35"/>
  <c r="F233" i="35"/>
  <c r="F56" i="35"/>
  <c r="I222" i="35"/>
  <c r="K222" i="35" s="1"/>
  <c r="K36" i="35"/>
  <c r="K130" i="35"/>
  <c r="G233" i="35"/>
  <c r="N309" i="35" s="1"/>
  <c r="D241" i="35"/>
  <c r="I262" i="35"/>
  <c r="K262" i="35" s="1"/>
  <c r="I271" i="35"/>
  <c r="K271" i="35" s="1"/>
  <c r="F167" i="35"/>
  <c r="E222" i="35"/>
  <c r="I221" i="35"/>
  <c r="K221" i="35" s="1"/>
  <c r="E153" i="35"/>
  <c r="D286" i="35"/>
  <c r="I223" i="35"/>
  <c r="K223" i="35" s="1"/>
  <c r="E297" i="35"/>
  <c r="E38" i="35"/>
  <c r="E121" i="35"/>
  <c r="E131" i="35"/>
  <c r="E205" i="35"/>
  <c r="E216" i="35"/>
  <c r="I91" i="35"/>
  <c r="E33" i="35"/>
  <c r="M18" i="35"/>
  <c r="E167" i="35"/>
  <c r="I274" i="35"/>
  <c r="K274" i="35" s="1"/>
  <c r="E56" i="35"/>
  <c r="E225" i="35"/>
  <c r="E178" i="35"/>
  <c r="E198" i="35"/>
  <c r="E148" i="35"/>
  <c r="D233" i="35"/>
  <c r="E255" i="35"/>
  <c r="E280" i="35"/>
  <c r="F265" i="35"/>
  <c r="E283" i="35"/>
  <c r="O309" i="35"/>
  <c r="F286" i="35"/>
  <c r="K281" i="35"/>
  <c r="I50" i="35"/>
  <c r="K50" i="35" s="1"/>
  <c r="F131" i="35"/>
  <c r="E219" i="35"/>
  <c r="E224" i="35"/>
  <c r="I231" i="35"/>
  <c r="K231" i="35" s="1"/>
  <c r="I238" i="35"/>
  <c r="K238" i="35" s="1"/>
  <c r="I261" i="35"/>
  <c r="K261" i="35" s="1"/>
  <c r="I264" i="35"/>
  <c r="K264" i="35" s="1"/>
  <c r="I270" i="35"/>
  <c r="K270" i="35" s="1"/>
  <c r="I273" i="35"/>
  <c r="K273" i="35" s="1"/>
  <c r="I47" i="35"/>
  <c r="K47" i="35" s="1"/>
  <c r="F33" i="35"/>
  <c r="E268" i="35"/>
  <c r="E278" i="35"/>
  <c r="E281" i="35"/>
  <c r="E284" i="35"/>
  <c r="I48" i="35"/>
  <c r="K48" i="35" s="1"/>
  <c r="I131" i="35"/>
  <c r="K139" i="35"/>
  <c r="I219" i="35"/>
  <c r="E232" i="35"/>
  <c r="E236" i="35"/>
  <c r="E239" i="35"/>
  <c r="I278" i="35"/>
  <c r="I236" i="35"/>
  <c r="K41" i="35"/>
  <c r="D275" i="35"/>
  <c r="E279" i="35"/>
  <c r="E282" i="35"/>
  <c r="E285" i="35"/>
  <c r="E237" i="35"/>
  <c r="E240" i="35"/>
  <c r="E260" i="35"/>
  <c r="E263" i="35"/>
  <c r="E266" i="35"/>
  <c r="E269" i="35"/>
  <c r="E272" i="35"/>
  <c r="I233" i="35" l="1"/>
  <c r="M233" i="35" s="1"/>
  <c r="D327" i="35"/>
  <c r="P207" i="35"/>
  <c r="N18" i="35"/>
  <c r="O18" i="35" s="1"/>
  <c r="P16" i="35"/>
  <c r="D298" i="35"/>
  <c r="K219" i="35"/>
  <c r="I56" i="35"/>
  <c r="E275" i="35"/>
  <c r="F275" i="35"/>
  <c r="M309" i="35" s="1"/>
  <c r="K265" i="35"/>
  <c r="E233" i="35"/>
  <c r="K236" i="35"/>
  <c r="I241" i="35"/>
  <c r="M241" i="35" s="1"/>
  <c r="E286" i="35"/>
  <c r="K278" i="35"/>
  <c r="I286" i="35"/>
  <c r="M286" i="35" s="1"/>
  <c r="E241" i="35"/>
  <c r="I275" i="35"/>
  <c r="N299" i="35"/>
  <c r="N298" i="35" l="1"/>
  <c r="K298" i="35"/>
  <c r="M275" i="35"/>
  <c r="P309" i="35"/>
  <c r="Q309" i="35" s="1"/>
  <c r="E298" i="35"/>
  <c r="O235" i="35"/>
  <c r="O241" i="35" l="1"/>
  <c r="O243" i="35" s="1"/>
  <c r="Q16" i="35"/>
  <c r="Q17" i="35" s="1"/>
  <c r="E80" i="31" l="1"/>
  <c r="E79" i="31" l="1"/>
  <c r="E77" i="31" l="1"/>
  <c r="E76" i="31" l="1"/>
  <c r="E71" i="31" l="1"/>
  <c r="E70" i="31" l="1"/>
  <c r="E66" i="31" l="1"/>
  <c r="E65" i="31" l="1"/>
  <c r="E60" i="31" l="1"/>
  <c r="E61" i="31"/>
  <c r="E62" i="31"/>
  <c r="E63" i="31"/>
  <c r="E59" i="31"/>
  <c r="E229" i="31"/>
  <c r="E91" i="31" l="1"/>
  <c r="I294" i="33" l="1"/>
  <c r="H294" i="33"/>
  <c r="G294" i="33"/>
  <c r="F294" i="33"/>
  <c r="K293" i="33"/>
  <c r="E293" i="33"/>
  <c r="K292" i="33"/>
  <c r="E292" i="33"/>
  <c r="K291" i="33"/>
  <c r="E291" i="33"/>
  <c r="K290" i="33"/>
  <c r="E290" i="33"/>
  <c r="K289" i="33"/>
  <c r="E289" i="33"/>
  <c r="K288" i="33"/>
  <c r="E288" i="33"/>
  <c r="K287" i="33"/>
  <c r="E287" i="33"/>
  <c r="K286" i="33"/>
  <c r="E286" i="33"/>
  <c r="H283" i="33"/>
  <c r="G283" i="33"/>
  <c r="D282" i="33"/>
  <c r="I282" i="33" s="1"/>
  <c r="K282" i="33" s="1"/>
  <c r="D281" i="33"/>
  <c r="I281" i="33" s="1"/>
  <c r="K281" i="33" s="1"/>
  <c r="D280" i="33"/>
  <c r="I280" i="33" s="1"/>
  <c r="K280" i="33" s="1"/>
  <c r="D279" i="33"/>
  <c r="I279" i="33" s="1"/>
  <c r="K279" i="33" s="1"/>
  <c r="D278" i="33"/>
  <c r="F278" i="33" s="1"/>
  <c r="D277" i="33"/>
  <c r="I277" i="33" s="1"/>
  <c r="K277" i="33" s="1"/>
  <c r="D276" i="33"/>
  <c r="I276" i="33" s="1"/>
  <c r="K276" i="33" s="1"/>
  <c r="D275" i="33"/>
  <c r="H272" i="33"/>
  <c r="G272" i="33"/>
  <c r="D271" i="33"/>
  <c r="I271" i="33" s="1"/>
  <c r="K271" i="33" s="1"/>
  <c r="D270" i="33"/>
  <c r="E270" i="33" s="1"/>
  <c r="D269" i="33"/>
  <c r="I269" i="33" s="1"/>
  <c r="K269" i="33" s="1"/>
  <c r="D268" i="33"/>
  <c r="I268" i="33" s="1"/>
  <c r="K268" i="33" s="1"/>
  <c r="D267" i="33"/>
  <c r="E267" i="33" s="1"/>
  <c r="D266" i="33"/>
  <c r="I266" i="33" s="1"/>
  <c r="K266" i="33" s="1"/>
  <c r="N265" i="33"/>
  <c r="D265" i="33"/>
  <c r="I265" i="33" s="1"/>
  <c r="K265" i="33" s="1"/>
  <c r="I264" i="33"/>
  <c r="K264" i="33" s="1"/>
  <c r="E264" i="33"/>
  <c r="D263" i="33"/>
  <c r="I263" i="33" s="1"/>
  <c r="K263" i="33" s="1"/>
  <c r="D262" i="33"/>
  <c r="F262" i="33" s="1"/>
  <c r="D261" i="33"/>
  <c r="E261" i="33" s="1"/>
  <c r="D260" i="33"/>
  <c r="I260" i="33" s="1"/>
  <c r="K260" i="33" s="1"/>
  <c r="D259" i="33"/>
  <c r="I259" i="33" s="1"/>
  <c r="K259" i="33" s="1"/>
  <c r="D258" i="33"/>
  <c r="E258" i="33" s="1"/>
  <c r="D257" i="33"/>
  <c r="I257" i="33" s="1"/>
  <c r="K257" i="33" s="1"/>
  <c r="I256" i="33"/>
  <c r="K256" i="33" s="1"/>
  <c r="E256" i="33"/>
  <c r="I255" i="33"/>
  <c r="K255" i="33" s="1"/>
  <c r="E255" i="33"/>
  <c r="I252" i="33"/>
  <c r="H252" i="33"/>
  <c r="G252" i="33"/>
  <c r="K251" i="33"/>
  <c r="E251" i="33"/>
  <c r="K250" i="33"/>
  <c r="E250" i="33"/>
  <c r="F249" i="33"/>
  <c r="F252" i="33" s="1"/>
  <c r="E249" i="33"/>
  <c r="K248" i="33"/>
  <c r="E248" i="33"/>
  <c r="K247" i="33"/>
  <c r="E247" i="33"/>
  <c r="K246" i="33"/>
  <c r="E246" i="33"/>
  <c r="K245" i="33"/>
  <c r="E245" i="33"/>
  <c r="K244" i="33"/>
  <c r="E244" i="33"/>
  <c r="K243" i="33"/>
  <c r="E243" i="33"/>
  <c r="K242" i="33"/>
  <c r="E242" i="33"/>
  <c r="K241" i="33"/>
  <c r="E241" i="33"/>
  <c r="H238" i="33"/>
  <c r="G238" i="33"/>
  <c r="F238" i="33"/>
  <c r="O237" i="33"/>
  <c r="D237" i="33"/>
  <c r="I237" i="33" s="1"/>
  <c r="K237" i="33" s="1"/>
  <c r="D236" i="33"/>
  <c r="I236" i="33" s="1"/>
  <c r="K236" i="33" s="1"/>
  <c r="D235" i="33"/>
  <c r="E235" i="33" s="1"/>
  <c r="D234" i="33"/>
  <c r="I234" i="33" s="1"/>
  <c r="K234" i="33" s="1"/>
  <c r="D233" i="33"/>
  <c r="H230" i="33"/>
  <c r="D229" i="33"/>
  <c r="I229" i="33" s="1"/>
  <c r="K229" i="33" s="1"/>
  <c r="D228" i="33"/>
  <c r="E228" i="33" s="1"/>
  <c r="I227" i="33"/>
  <c r="G227" i="33"/>
  <c r="E227" i="33"/>
  <c r="K226" i="33"/>
  <c r="E226" i="33"/>
  <c r="K225" i="33"/>
  <c r="E225" i="33"/>
  <c r="K224" i="33"/>
  <c r="E224" i="33"/>
  <c r="N223" i="33"/>
  <c r="F223" i="33"/>
  <c r="I223" i="33" s="1"/>
  <c r="K223" i="33" s="1"/>
  <c r="E223" i="33"/>
  <c r="D222" i="33"/>
  <c r="E222" i="33" s="1"/>
  <c r="D221" i="33"/>
  <c r="I221" i="33" s="1"/>
  <c r="K221" i="33" s="1"/>
  <c r="F220" i="33"/>
  <c r="D220" i="33"/>
  <c r="E220" i="33" s="1"/>
  <c r="F219" i="33"/>
  <c r="D219" i="33"/>
  <c r="F218" i="33"/>
  <c r="D218" i="33"/>
  <c r="K217" i="33"/>
  <c r="D217" i="33"/>
  <c r="G216" i="33"/>
  <c r="F216" i="33"/>
  <c r="D216" i="33"/>
  <c r="H213" i="33"/>
  <c r="G213" i="33"/>
  <c r="F213" i="33"/>
  <c r="I212" i="33"/>
  <c r="I213" i="33" s="1"/>
  <c r="E212" i="33"/>
  <c r="K211" i="33"/>
  <c r="E211" i="33"/>
  <c r="K210" i="33"/>
  <c r="E210" i="33"/>
  <c r="K209" i="33"/>
  <c r="E209" i="33"/>
  <c r="K208" i="33"/>
  <c r="E208" i="33"/>
  <c r="K207" i="33"/>
  <c r="E207" i="33"/>
  <c r="K206" i="33"/>
  <c r="E206" i="33"/>
  <c r="K205" i="33"/>
  <c r="E205" i="33"/>
  <c r="I202" i="33"/>
  <c r="H202" i="33"/>
  <c r="G202" i="33"/>
  <c r="K201" i="33"/>
  <c r="K200" i="33"/>
  <c r="E200" i="33"/>
  <c r="K199" i="33"/>
  <c r="E199" i="33"/>
  <c r="F198" i="33"/>
  <c r="F202" i="33" s="1"/>
  <c r="E198" i="33"/>
  <c r="I195" i="33"/>
  <c r="H195" i="33"/>
  <c r="G195" i="33"/>
  <c r="F195" i="33"/>
  <c r="K194" i="33"/>
  <c r="E194" i="33"/>
  <c r="K193" i="33"/>
  <c r="E193" i="33"/>
  <c r="K192" i="33"/>
  <c r="E192" i="33"/>
  <c r="K191" i="33"/>
  <c r="E191" i="33"/>
  <c r="K190" i="33"/>
  <c r="E190" i="33"/>
  <c r="K189" i="33"/>
  <c r="E189" i="33"/>
  <c r="K188" i="33"/>
  <c r="E188" i="33"/>
  <c r="K187" i="33"/>
  <c r="E187" i="33"/>
  <c r="K186" i="33"/>
  <c r="E186" i="33"/>
  <c r="K185" i="33"/>
  <c r="E185" i="33"/>
  <c r="K184" i="33"/>
  <c r="E184" i="33"/>
  <c r="K183" i="33"/>
  <c r="E183" i="33"/>
  <c r="K182" i="33"/>
  <c r="E182" i="33"/>
  <c r="I179" i="33"/>
  <c r="H179" i="33"/>
  <c r="G179" i="33"/>
  <c r="F179" i="33"/>
  <c r="E179" i="33"/>
  <c r="K178" i="33"/>
  <c r="I175" i="33"/>
  <c r="H175" i="33"/>
  <c r="G175" i="33"/>
  <c r="F175" i="33"/>
  <c r="K174" i="33"/>
  <c r="E174" i="33"/>
  <c r="K173" i="33"/>
  <c r="E173" i="33"/>
  <c r="K172" i="33"/>
  <c r="E172" i="33"/>
  <c r="K171" i="33"/>
  <c r="E171" i="33"/>
  <c r="K170" i="33"/>
  <c r="K169" i="33"/>
  <c r="E169" i="33"/>
  <c r="K168" i="33"/>
  <c r="E168" i="33"/>
  <c r="K167" i="33"/>
  <c r="E167" i="33"/>
  <c r="I164" i="33"/>
  <c r="H164" i="33"/>
  <c r="G164" i="33"/>
  <c r="K163" i="33"/>
  <c r="E163" i="33"/>
  <c r="K162" i="33"/>
  <c r="E162" i="33"/>
  <c r="K161" i="33"/>
  <c r="E161" i="33"/>
  <c r="K160" i="33"/>
  <c r="E160" i="33"/>
  <c r="K159" i="33"/>
  <c r="E159" i="33"/>
  <c r="K158" i="33"/>
  <c r="E158" i="33"/>
  <c r="K157" i="33"/>
  <c r="E157" i="33"/>
  <c r="K156" i="33"/>
  <c r="E156" i="33"/>
  <c r="K155" i="33"/>
  <c r="E155" i="33"/>
  <c r="K154" i="33"/>
  <c r="E154" i="33"/>
  <c r="F153" i="33"/>
  <c r="K153" i="33" s="1"/>
  <c r="E153" i="33"/>
  <c r="I150" i="33"/>
  <c r="H150" i="33"/>
  <c r="G150" i="33"/>
  <c r="F150" i="33"/>
  <c r="K149" i="33"/>
  <c r="E149" i="33"/>
  <c r="K148" i="33"/>
  <c r="E148" i="33"/>
  <c r="I145" i="33"/>
  <c r="H145" i="33"/>
  <c r="G145" i="33"/>
  <c r="K144" i="33"/>
  <c r="E144" i="33"/>
  <c r="K143" i="33"/>
  <c r="E143" i="33"/>
  <c r="K142" i="33"/>
  <c r="E142" i="33"/>
  <c r="K141" i="33"/>
  <c r="E141" i="33"/>
  <c r="K140" i="33"/>
  <c r="E140" i="33"/>
  <c r="K139" i="33"/>
  <c r="E139" i="33"/>
  <c r="K138" i="33"/>
  <c r="E138" i="33"/>
  <c r="K137" i="33"/>
  <c r="E137" i="33"/>
  <c r="F136" i="33"/>
  <c r="K136" i="33" s="1"/>
  <c r="E136" i="33"/>
  <c r="K135" i="33"/>
  <c r="E135" i="33"/>
  <c r="I132" i="33"/>
  <c r="H132" i="33"/>
  <c r="G132" i="33"/>
  <c r="F132" i="33"/>
  <c r="K131" i="33"/>
  <c r="E131" i="33"/>
  <c r="E132" i="33" s="1"/>
  <c r="H128" i="33"/>
  <c r="G128" i="33"/>
  <c r="I127" i="33"/>
  <c r="I128" i="33" s="1"/>
  <c r="F127" i="33"/>
  <c r="E127" i="33"/>
  <c r="K126" i="33"/>
  <c r="E126" i="33"/>
  <c r="K125" i="33"/>
  <c r="E125" i="33"/>
  <c r="F124" i="33"/>
  <c r="E124" i="33"/>
  <c r="K123" i="33"/>
  <c r="K122" i="33"/>
  <c r="E122" i="33"/>
  <c r="F121" i="33"/>
  <c r="K121" i="33" s="1"/>
  <c r="E121" i="33"/>
  <c r="I118" i="33"/>
  <c r="H118" i="33"/>
  <c r="G118" i="33"/>
  <c r="K117" i="33"/>
  <c r="E117" i="33"/>
  <c r="K116" i="33"/>
  <c r="E116" i="33"/>
  <c r="K115" i="33"/>
  <c r="E115" i="33"/>
  <c r="K114" i="33"/>
  <c r="E114" i="33"/>
  <c r="K113" i="33"/>
  <c r="E113" i="33"/>
  <c r="K112" i="33"/>
  <c r="E112" i="33"/>
  <c r="K111" i="33"/>
  <c r="E111" i="33"/>
  <c r="K110" i="33"/>
  <c r="E110" i="33"/>
  <c r="K109" i="33"/>
  <c r="E109" i="33"/>
  <c r="K108" i="33"/>
  <c r="E108" i="33"/>
  <c r="K107" i="33"/>
  <c r="E107" i="33"/>
  <c r="F106" i="33"/>
  <c r="K106" i="33" s="1"/>
  <c r="E106" i="33"/>
  <c r="K105" i="33"/>
  <c r="E105" i="33"/>
  <c r="K104" i="33"/>
  <c r="E104" i="33"/>
  <c r="K103" i="33"/>
  <c r="E103" i="33"/>
  <c r="K102" i="33"/>
  <c r="E102" i="33"/>
  <c r="K101" i="33"/>
  <c r="E101" i="33"/>
  <c r="K100" i="33"/>
  <c r="E100" i="33"/>
  <c r="K99" i="33"/>
  <c r="E99" i="33"/>
  <c r="K98" i="33"/>
  <c r="E98" i="33"/>
  <c r="K97" i="33"/>
  <c r="E97" i="33"/>
  <c r="K96" i="33"/>
  <c r="E96" i="33"/>
  <c r="K95" i="33"/>
  <c r="E95" i="33"/>
  <c r="K94" i="33"/>
  <c r="K93" i="33"/>
  <c r="E93" i="33"/>
  <c r="K92" i="33"/>
  <c r="E92" i="33"/>
  <c r="K91" i="33"/>
  <c r="E91" i="33"/>
  <c r="H88" i="33"/>
  <c r="G88" i="33"/>
  <c r="K87" i="33"/>
  <c r="E87" i="33"/>
  <c r="K86" i="33"/>
  <c r="E86" i="33"/>
  <c r="K85" i="33"/>
  <c r="E85" i="33"/>
  <c r="K84" i="33"/>
  <c r="E84" i="33"/>
  <c r="K83" i="33"/>
  <c r="E83" i="33"/>
  <c r="K82" i="33"/>
  <c r="E82" i="33"/>
  <c r="K81" i="33"/>
  <c r="E81" i="33"/>
  <c r="K80" i="33"/>
  <c r="E80" i="33"/>
  <c r="K79" i="33"/>
  <c r="E79" i="33"/>
  <c r="K78" i="33"/>
  <c r="E78" i="33"/>
  <c r="K77" i="33"/>
  <c r="E77" i="33"/>
  <c r="K76" i="33"/>
  <c r="E76" i="33"/>
  <c r="K75" i="33"/>
  <c r="E75" i="33"/>
  <c r="K74" i="33"/>
  <c r="E74" i="33"/>
  <c r="K73" i="33"/>
  <c r="E73" i="33"/>
  <c r="K72" i="33"/>
  <c r="E72" i="33"/>
  <c r="K71" i="33"/>
  <c r="E71" i="33"/>
  <c r="I70" i="33"/>
  <c r="I88" i="33" s="1"/>
  <c r="E70" i="33"/>
  <c r="K69" i="33"/>
  <c r="E69" i="33"/>
  <c r="F68" i="33"/>
  <c r="F88" i="33" s="1"/>
  <c r="E68" i="33"/>
  <c r="K67" i="33"/>
  <c r="E67" i="33"/>
  <c r="K66" i="33"/>
  <c r="E66" i="33"/>
  <c r="K65" i="33"/>
  <c r="E65" i="33"/>
  <c r="K64" i="33"/>
  <c r="E64" i="33"/>
  <c r="K63" i="33"/>
  <c r="E63" i="33"/>
  <c r="K62" i="33"/>
  <c r="E62" i="33"/>
  <c r="K61" i="33"/>
  <c r="E61" i="33"/>
  <c r="K60" i="33"/>
  <c r="E60" i="33"/>
  <c r="K59" i="33"/>
  <c r="E59" i="33"/>
  <c r="K58" i="33"/>
  <c r="E58" i="33"/>
  <c r="K57" i="33"/>
  <c r="E57" i="33"/>
  <c r="K56" i="33"/>
  <c r="E56" i="33"/>
  <c r="H54" i="33"/>
  <c r="G54" i="33"/>
  <c r="K53" i="33"/>
  <c r="E53" i="33"/>
  <c r="K52" i="33"/>
  <c r="E52" i="33"/>
  <c r="I51" i="33"/>
  <c r="I54" i="33" s="1"/>
  <c r="E51" i="33"/>
  <c r="K50" i="33"/>
  <c r="E50" i="33"/>
  <c r="K49" i="33"/>
  <c r="E49" i="33"/>
  <c r="F48" i="33"/>
  <c r="K48" i="33" s="1"/>
  <c r="E48" i="33"/>
  <c r="F47" i="33"/>
  <c r="K47" i="33" s="1"/>
  <c r="E47" i="33"/>
  <c r="F46" i="33"/>
  <c r="K46" i="33" s="1"/>
  <c r="E46" i="33"/>
  <c r="F45" i="33"/>
  <c r="K45" i="33" s="1"/>
  <c r="E45" i="33"/>
  <c r="K44" i="33"/>
  <c r="E44" i="33"/>
  <c r="K43" i="33"/>
  <c r="E43" i="33"/>
  <c r="K42" i="33"/>
  <c r="E42" i="33"/>
  <c r="K41" i="33"/>
  <c r="E41" i="33"/>
  <c r="K40" i="33"/>
  <c r="E40" i="33"/>
  <c r="H37" i="33"/>
  <c r="G37" i="33"/>
  <c r="K36" i="33"/>
  <c r="E36" i="33"/>
  <c r="I35" i="33"/>
  <c r="F35" i="33"/>
  <c r="F37" i="33" s="1"/>
  <c r="E35" i="33"/>
  <c r="I32" i="33"/>
  <c r="H32" i="33"/>
  <c r="G32" i="33"/>
  <c r="K31" i="33"/>
  <c r="E31" i="33"/>
  <c r="K30" i="33"/>
  <c r="E30" i="33"/>
  <c r="K29" i="33"/>
  <c r="E29" i="33"/>
  <c r="K28" i="33"/>
  <c r="E28" i="33"/>
  <c r="K27" i="33"/>
  <c r="E27" i="33"/>
  <c r="K26" i="33"/>
  <c r="K25" i="33"/>
  <c r="E25" i="33"/>
  <c r="K24" i="33"/>
  <c r="E24" i="33"/>
  <c r="K23" i="33"/>
  <c r="E23" i="33"/>
  <c r="K22" i="33"/>
  <c r="E22" i="33"/>
  <c r="K21" i="33"/>
  <c r="E21" i="33"/>
  <c r="F20" i="33"/>
  <c r="K20" i="33" s="1"/>
  <c r="E20" i="33"/>
  <c r="K19" i="33"/>
  <c r="E19" i="33"/>
  <c r="K18" i="33"/>
  <c r="E18" i="33"/>
  <c r="K17" i="33"/>
  <c r="E17" i="33"/>
  <c r="F16" i="33"/>
  <c r="K16" i="33" s="1"/>
  <c r="E16" i="33"/>
  <c r="K15" i="33"/>
  <c r="E15" i="33"/>
  <c r="K14" i="33"/>
  <c r="E14" i="33"/>
  <c r="K13" i="33"/>
  <c r="E13" i="33"/>
  <c r="K12" i="33"/>
  <c r="E12" i="33"/>
  <c r="K11" i="33"/>
  <c r="E11" i="33"/>
  <c r="K10" i="33"/>
  <c r="E10" i="33"/>
  <c r="K9" i="33"/>
  <c r="E9" i="33"/>
  <c r="K8" i="33"/>
  <c r="E8" i="33"/>
  <c r="N296" i="33" l="1"/>
  <c r="I216" i="33"/>
  <c r="K216" i="33" s="1"/>
  <c r="F164" i="33"/>
  <c r="K227" i="33"/>
  <c r="K249" i="33"/>
  <c r="E37" i="33"/>
  <c r="G230" i="33"/>
  <c r="N306" i="33" s="1"/>
  <c r="O292" i="33"/>
  <c r="K127" i="33"/>
  <c r="F128" i="33"/>
  <c r="K198" i="33"/>
  <c r="F118" i="33"/>
  <c r="K124" i="33"/>
  <c r="F145" i="33"/>
  <c r="K35" i="33"/>
  <c r="K212" i="33"/>
  <c r="I218" i="33"/>
  <c r="K218" i="33" s="1"/>
  <c r="I219" i="33"/>
  <c r="K219" i="33" s="1"/>
  <c r="E218" i="33"/>
  <c r="E219" i="33"/>
  <c r="D238" i="33"/>
  <c r="D283" i="33"/>
  <c r="F230" i="33"/>
  <c r="I220" i="33"/>
  <c r="K220" i="33" s="1"/>
  <c r="E265" i="33"/>
  <c r="D230" i="33"/>
  <c r="I222" i="33"/>
  <c r="K222" i="33" s="1"/>
  <c r="E164" i="33"/>
  <c r="O306" i="33"/>
  <c r="E252" i="33"/>
  <c r="E195" i="33"/>
  <c r="E32" i="33"/>
  <c r="E150" i="33"/>
  <c r="E88" i="33"/>
  <c r="E175" i="33"/>
  <c r="E202" i="33"/>
  <c r="E213" i="33"/>
  <c r="E145" i="33"/>
  <c r="E128" i="33"/>
  <c r="E54" i="33"/>
  <c r="E294" i="33"/>
  <c r="E118" i="33"/>
  <c r="F272" i="33"/>
  <c r="K262" i="33"/>
  <c r="F283" i="33"/>
  <c r="K278" i="33"/>
  <c r="K68" i="33"/>
  <c r="M42" i="33"/>
  <c r="E216" i="33"/>
  <c r="E221" i="33"/>
  <c r="I228" i="33"/>
  <c r="K228" i="33" s="1"/>
  <c r="I235" i="33"/>
  <c r="K235" i="33" s="1"/>
  <c r="I258" i="33"/>
  <c r="K258" i="33" s="1"/>
  <c r="I261" i="33"/>
  <c r="K261" i="33" s="1"/>
  <c r="I267" i="33"/>
  <c r="K267" i="33" s="1"/>
  <c r="I270" i="33"/>
  <c r="K270" i="33" s="1"/>
  <c r="E275" i="33"/>
  <c r="E278" i="33"/>
  <c r="E281" i="33"/>
  <c r="K51" i="33"/>
  <c r="F32" i="33"/>
  <c r="E229" i="33"/>
  <c r="E233" i="33"/>
  <c r="E236" i="33"/>
  <c r="E259" i="33"/>
  <c r="E262" i="33"/>
  <c r="E268" i="33"/>
  <c r="E271" i="33"/>
  <c r="I275" i="33"/>
  <c r="K70" i="33"/>
  <c r="I37" i="33"/>
  <c r="F54" i="33"/>
  <c r="I233" i="33"/>
  <c r="N295" i="33"/>
  <c r="E217" i="33"/>
  <c r="D272" i="33"/>
  <c r="E276" i="33"/>
  <c r="E279" i="33"/>
  <c r="E282" i="33"/>
  <c r="E234" i="33"/>
  <c r="E237" i="33"/>
  <c r="E257" i="33"/>
  <c r="E260" i="33"/>
  <c r="E263" i="33"/>
  <c r="E266" i="33"/>
  <c r="E269" i="33"/>
  <c r="E277" i="33"/>
  <c r="E280" i="33"/>
  <c r="M306" i="33" l="1"/>
  <c r="D295" i="33"/>
  <c r="P204" i="33"/>
  <c r="I230" i="33"/>
  <c r="M230" i="33" s="1"/>
  <c r="E272" i="33"/>
  <c r="P15" i="33"/>
  <c r="D324" i="33"/>
  <c r="E238" i="33"/>
  <c r="E230" i="33"/>
  <c r="I272" i="33"/>
  <c r="M272" i="33" s="1"/>
  <c r="K233" i="33"/>
  <c r="K295" i="33" s="1"/>
  <c r="I238" i="33"/>
  <c r="M238" i="33" s="1"/>
  <c r="K275" i="33"/>
  <c r="I283" i="33"/>
  <c r="E283" i="33"/>
  <c r="I91" i="31" l="1"/>
  <c r="P306" i="33"/>
  <c r="Q306" i="33" s="1"/>
  <c r="M283" i="33"/>
  <c r="O232" i="33"/>
  <c r="O238" i="33" s="1"/>
  <c r="O240" i="33" s="1"/>
  <c r="E295" i="33"/>
  <c r="H11" i="37" l="1"/>
  <c r="I11" i="37" s="1"/>
  <c r="J11" i="37" s="1"/>
  <c r="H92" i="31"/>
  <c r="Q15" i="33"/>
  <c r="Q16" i="33" s="1"/>
  <c r="F49" i="31"/>
  <c r="I49" i="31" s="1"/>
  <c r="F50" i="31" l="1"/>
  <c r="I50" i="31" s="1"/>
  <c r="B53" i="37" l="1"/>
  <c r="K63" i="37"/>
  <c r="F56" i="31"/>
  <c r="E10" i="37" s="1"/>
  <c r="E299" i="31"/>
  <c r="E298" i="31"/>
  <c r="E297" i="31"/>
  <c r="E295" i="31"/>
  <c r="E294" i="31"/>
  <c r="E293" i="31"/>
  <c r="E292" i="31"/>
  <c r="D284" i="31"/>
  <c r="D276" i="31"/>
  <c r="D273" i="31"/>
  <c r="E269" i="31"/>
  <c r="D265" i="31"/>
  <c r="E261" i="31"/>
  <c r="E260" i="31"/>
  <c r="I257" i="31"/>
  <c r="G26" i="37"/>
  <c r="F26" i="37"/>
  <c r="F257" i="31"/>
  <c r="E26" i="37" s="1"/>
  <c r="E256" i="31"/>
  <c r="E255" i="31"/>
  <c r="E254" i="31"/>
  <c r="E253" i="31"/>
  <c r="E252" i="31"/>
  <c r="E251" i="31"/>
  <c r="E250" i="31"/>
  <c r="E249" i="31"/>
  <c r="E248" i="31"/>
  <c r="E247" i="31"/>
  <c r="E246" i="31"/>
  <c r="D242" i="31"/>
  <c r="I242" i="31" s="1"/>
  <c r="D241" i="31"/>
  <c r="I241" i="31" s="1"/>
  <c r="D240" i="31"/>
  <c r="I240" i="31" s="1"/>
  <c r="D239" i="31"/>
  <c r="I239" i="31" s="1"/>
  <c r="D238" i="31"/>
  <c r="I238" i="31" s="1"/>
  <c r="D234" i="31"/>
  <c r="I234" i="31" s="1"/>
  <c r="D233" i="31"/>
  <c r="I233" i="31" s="1"/>
  <c r="E232" i="31"/>
  <c r="E231" i="31"/>
  <c r="E230" i="31"/>
  <c r="F228" i="31"/>
  <c r="E228" i="31"/>
  <c r="D227" i="31"/>
  <c r="I227" i="31" s="1"/>
  <c r="D226" i="31"/>
  <c r="I226" i="31" s="1"/>
  <c r="F225" i="31"/>
  <c r="D225" i="31"/>
  <c r="F224" i="31"/>
  <c r="D224" i="31"/>
  <c r="I224" i="31" s="1"/>
  <c r="F223" i="31"/>
  <c r="D223" i="31"/>
  <c r="D222" i="31"/>
  <c r="F221" i="31"/>
  <c r="D221" i="31"/>
  <c r="G23" i="37"/>
  <c r="F23" i="37"/>
  <c r="F218" i="31"/>
  <c r="E23" i="37" s="1"/>
  <c r="I218" i="31"/>
  <c r="E217" i="31"/>
  <c r="E216" i="31"/>
  <c r="E215" i="31"/>
  <c r="E214" i="31"/>
  <c r="E213" i="31"/>
  <c r="E212" i="31"/>
  <c r="E211" i="31"/>
  <c r="E210" i="31"/>
  <c r="I207" i="31"/>
  <c r="G22" i="37"/>
  <c r="F22" i="37"/>
  <c r="E205" i="31"/>
  <c r="E204" i="31"/>
  <c r="F207" i="31"/>
  <c r="E22" i="37" s="1"/>
  <c r="E203" i="31"/>
  <c r="I200" i="31"/>
  <c r="G21" i="37"/>
  <c r="F21" i="37"/>
  <c r="F200" i="31"/>
  <c r="E21" i="37" s="1"/>
  <c r="E199" i="31"/>
  <c r="E198" i="31"/>
  <c r="E197" i="31"/>
  <c r="E196" i="31"/>
  <c r="E195" i="31"/>
  <c r="E194" i="31"/>
  <c r="E193" i="31"/>
  <c r="E192" i="31"/>
  <c r="E191" i="31"/>
  <c r="E190" i="31"/>
  <c r="E189" i="31"/>
  <c r="E188" i="31"/>
  <c r="E187" i="31"/>
  <c r="I184" i="31"/>
  <c r="H185" i="31" s="1"/>
  <c r="G20" i="37"/>
  <c r="F184" i="31"/>
  <c r="E20" i="37" s="1"/>
  <c r="E184" i="31"/>
  <c r="I180" i="31"/>
  <c r="G19" i="37"/>
  <c r="F19" i="37"/>
  <c r="F180" i="31"/>
  <c r="E19" i="37" s="1"/>
  <c r="E179" i="31"/>
  <c r="E178" i="31"/>
  <c r="E177" i="31"/>
  <c r="E176" i="31"/>
  <c r="E174" i="31"/>
  <c r="E173" i="31"/>
  <c r="E172" i="31"/>
  <c r="F18" i="37"/>
  <c r="E168" i="31"/>
  <c r="E167" i="31"/>
  <c r="E166" i="31"/>
  <c r="E165" i="31"/>
  <c r="E164" i="31"/>
  <c r="E163" i="31"/>
  <c r="E162" i="31"/>
  <c r="E161" i="31"/>
  <c r="E160" i="31"/>
  <c r="E159" i="31"/>
  <c r="E158" i="31"/>
  <c r="I155" i="31"/>
  <c r="F17" i="37"/>
  <c r="F155" i="31"/>
  <c r="E17" i="37" s="1"/>
  <c r="E154" i="31"/>
  <c r="E153" i="31"/>
  <c r="E149" i="31"/>
  <c r="E148" i="31"/>
  <c r="E147" i="31"/>
  <c r="E146" i="31"/>
  <c r="E145" i="31"/>
  <c r="E144" i="31"/>
  <c r="E143" i="31"/>
  <c r="E142" i="31"/>
  <c r="E141" i="31"/>
  <c r="E140" i="31"/>
  <c r="E136" i="31"/>
  <c r="E137" i="31" s="1"/>
  <c r="F13" i="37"/>
  <c r="I133" i="31"/>
  <c r="E132" i="31"/>
  <c r="E131" i="31"/>
  <c r="E130" i="31"/>
  <c r="E129" i="31"/>
  <c r="E127" i="31"/>
  <c r="E126" i="31"/>
  <c r="E120" i="31"/>
  <c r="E119" i="31"/>
  <c r="E118" i="31"/>
  <c r="E117" i="31"/>
  <c r="E116" i="31"/>
  <c r="E115" i="31"/>
  <c r="E114" i="31"/>
  <c r="E113" i="31"/>
  <c r="E112" i="31"/>
  <c r="E111" i="31"/>
  <c r="E110" i="31"/>
  <c r="E109" i="31"/>
  <c r="E108" i="31"/>
  <c r="E107" i="31"/>
  <c r="E106" i="31"/>
  <c r="E105" i="31"/>
  <c r="E104" i="31"/>
  <c r="E103" i="31"/>
  <c r="E102" i="31"/>
  <c r="E101" i="31"/>
  <c r="E100" i="31"/>
  <c r="E99" i="31"/>
  <c r="E98" i="31"/>
  <c r="E96" i="31"/>
  <c r="E95" i="31"/>
  <c r="E94" i="31"/>
  <c r="E55" i="31"/>
  <c r="E53" i="31"/>
  <c r="E52" i="31"/>
  <c r="E50" i="31"/>
  <c r="E49" i="31"/>
  <c r="E48" i="31"/>
  <c r="E47" i="31"/>
  <c r="E46" i="31"/>
  <c r="E45" i="31"/>
  <c r="E44" i="31"/>
  <c r="E43" i="31"/>
  <c r="E37" i="31"/>
  <c r="I38" i="31"/>
  <c r="H39" i="31" s="1"/>
  <c r="F38" i="31"/>
  <c r="E32" i="31"/>
  <c r="E31" i="31"/>
  <c r="E30" i="31"/>
  <c r="E29" i="31"/>
  <c r="E28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D33" i="31" s="1"/>
  <c r="D8" i="37" s="1"/>
  <c r="J8" i="37" l="1"/>
  <c r="D16" i="37"/>
  <c r="I223" i="31"/>
  <c r="I221" i="31"/>
  <c r="H13" i="37"/>
  <c r="H134" i="31"/>
  <c r="I265" i="31"/>
  <c r="I276" i="31"/>
  <c r="H19" i="37"/>
  <c r="I19" i="37" s="1"/>
  <c r="H181" i="31"/>
  <c r="H17" i="37"/>
  <c r="H156" i="31"/>
  <c r="I228" i="31"/>
  <c r="I273" i="31"/>
  <c r="F284" i="31"/>
  <c r="F289" i="31" s="1"/>
  <c r="E28" i="37" s="1"/>
  <c r="I284" i="31"/>
  <c r="H21" i="37"/>
  <c r="I21" i="37" s="1"/>
  <c r="H201" i="31"/>
  <c r="I225" i="31"/>
  <c r="H26" i="37"/>
  <c r="I26" i="37" s="1"/>
  <c r="J26" i="37" s="1"/>
  <c r="H258" i="31"/>
  <c r="H23" i="37"/>
  <c r="I23" i="37" s="1"/>
  <c r="J23" i="37" s="1"/>
  <c r="H219" i="31"/>
  <c r="H22" i="37"/>
  <c r="I22" i="37" s="1"/>
  <c r="H208" i="31"/>
  <c r="E222" i="31"/>
  <c r="I222" i="31"/>
  <c r="F9" i="37"/>
  <c r="F16" i="37" s="1"/>
  <c r="H9" i="37"/>
  <c r="AA36" i="37"/>
  <c r="AB72" i="37"/>
  <c r="AC38" i="37"/>
  <c r="AD74" i="37"/>
  <c r="G9" i="37"/>
  <c r="G16" i="37" s="1"/>
  <c r="AD36" i="37"/>
  <c r="AE72" i="37"/>
  <c r="E267" i="31"/>
  <c r="AC36" i="37"/>
  <c r="AD72" i="37"/>
  <c r="Z36" i="37"/>
  <c r="AA72" i="37"/>
  <c r="AD38" i="37"/>
  <c r="AE74" i="37"/>
  <c r="E9" i="37"/>
  <c r="AD37" i="37"/>
  <c r="AE73" i="37"/>
  <c r="C52" i="37"/>
  <c r="L62" i="37"/>
  <c r="G18" i="37"/>
  <c r="G17" i="37"/>
  <c r="Z39" i="37"/>
  <c r="AA75" i="37"/>
  <c r="Z37" i="37"/>
  <c r="AA73" i="37"/>
  <c r="B51" i="37"/>
  <c r="K61" i="37"/>
  <c r="AA39" i="37"/>
  <c r="AB75" i="37"/>
  <c r="D278" i="31"/>
  <c r="D27" i="37" s="1"/>
  <c r="AC37" i="37"/>
  <c r="AD73" i="37"/>
  <c r="AA37" i="37"/>
  <c r="AB73" i="37"/>
  <c r="C51" i="37"/>
  <c r="L61" i="37"/>
  <c r="E274" i="31"/>
  <c r="E33" i="31"/>
  <c r="E221" i="31"/>
  <c r="D235" i="31"/>
  <c r="E227" i="31"/>
  <c r="E234" i="31"/>
  <c r="E271" i="31"/>
  <c r="F235" i="31"/>
  <c r="E24" i="37" s="1"/>
  <c r="D243" i="31"/>
  <c r="D25" i="37" s="1"/>
  <c r="E262" i="31"/>
  <c r="E272" i="31"/>
  <c r="E239" i="31"/>
  <c r="E263" i="31"/>
  <c r="E273" i="31"/>
  <c r="E240" i="31"/>
  <c r="E264" i="31"/>
  <c r="E241" i="31"/>
  <c r="E265" i="31"/>
  <c r="E275" i="31"/>
  <c r="E242" i="31"/>
  <c r="E266" i="31"/>
  <c r="E276" i="31"/>
  <c r="E233" i="31"/>
  <c r="D289" i="31"/>
  <c r="D28" i="37" s="1"/>
  <c r="E268" i="31"/>
  <c r="E226" i="31"/>
  <c r="E150" i="31"/>
  <c r="E225" i="31"/>
  <c r="I56" i="31"/>
  <c r="E123" i="31"/>
  <c r="E300" i="31"/>
  <c r="E56" i="31"/>
  <c r="F169" i="31"/>
  <c r="E18" i="37" s="1"/>
  <c r="E284" i="31"/>
  <c r="E38" i="31"/>
  <c r="E207" i="31"/>
  <c r="F267" i="31"/>
  <c r="I267" i="31" s="1"/>
  <c r="E286" i="31"/>
  <c r="E288" i="31"/>
  <c r="E218" i="31"/>
  <c r="E133" i="31"/>
  <c r="E224" i="31"/>
  <c r="E283" i="31"/>
  <c r="E285" i="31"/>
  <c r="E287" i="31"/>
  <c r="E270" i="31"/>
  <c r="E257" i="31"/>
  <c r="E180" i="31"/>
  <c r="E155" i="31"/>
  <c r="E169" i="31"/>
  <c r="E200" i="31"/>
  <c r="E223" i="31"/>
  <c r="F133" i="31"/>
  <c r="E13" i="37" s="1"/>
  <c r="I13" i="37" s="1"/>
  <c r="J13" i="37" s="1"/>
  <c r="E281" i="31"/>
  <c r="E282" i="31"/>
  <c r="E238" i="31"/>
  <c r="E256" i="30"/>
  <c r="E264" i="30"/>
  <c r="E255" i="30"/>
  <c r="E227" i="30"/>
  <c r="E223" i="30"/>
  <c r="I294" i="30"/>
  <c r="H294" i="30"/>
  <c r="G294" i="30"/>
  <c r="F294" i="30"/>
  <c r="K293" i="30"/>
  <c r="E293" i="30"/>
  <c r="K292" i="30"/>
  <c r="E292" i="30"/>
  <c r="K291" i="30"/>
  <c r="E291" i="30"/>
  <c r="K290" i="30"/>
  <c r="E290" i="30"/>
  <c r="K289" i="30"/>
  <c r="E289" i="30"/>
  <c r="K288" i="30"/>
  <c r="E288" i="30"/>
  <c r="K287" i="30"/>
  <c r="E287" i="30"/>
  <c r="K286" i="30"/>
  <c r="E286" i="30"/>
  <c r="H283" i="30"/>
  <c r="G283" i="30"/>
  <c r="D282" i="30"/>
  <c r="I282" i="30" s="1"/>
  <c r="K282" i="30" s="1"/>
  <c r="D281" i="30"/>
  <c r="I281" i="30" s="1"/>
  <c r="K281" i="30" s="1"/>
  <c r="D280" i="30"/>
  <c r="I280" i="30" s="1"/>
  <c r="K280" i="30" s="1"/>
  <c r="D279" i="30"/>
  <c r="I279" i="30" s="1"/>
  <c r="K279" i="30" s="1"/>
  <c r="D278" i="30"/>
  <c r="F278" i="30" s="1"/>
  <c r="D277" i="30"/>
  <c r="I277" i="30" s="1"/>
  <c r="K277" i="30" s="1"/>
  <c r="D276" i="30"/>
  <c r="I276" i="30" s="1"/>
  <c r="K276" i="30" s="1"/>
  <c r="D275" i="30"/>
  <c r="I275" i="30" s="1"/>
  <c r="H272" i="30"/>
  <c r="G272" i="30"/>
  <c r="D271" i="30"/>
  <c r="I271" i="30" s="1"/>
  <c r="K271" i="30" s="1"/>
  <c r="D270" i="30"/>
  <c r="E270" i="30" s="1"/>
  <c r="D269" i="30"/>
  <c r="E269" i="30" s="1"/>
  <c r="D268" i="30"/>
  <c r="E268" i="30" s="1"/>
  <c r="D267" i="30"/>
  <c r="I267" i="30" s="1"/>
  <c r="K267" i="30" s="1"/>
  <c r="D266" i="30"/>
  <c r="E266" i="30" s="1"/>
  <c r="N265" i="30"/>
  <c r="D265" i="30"/>
  <c r="I265" i="30" s="1"/>
  <c r="K265" i="30" s="1"/>
  <c r="I264" i="30"/>
  <c r="K264" i="30" s="1"/>
  <c r="D263" i="30"/>
  <c r="I263" i="30" s="1"/>
  <c r="K263" i="30" s="1"/>
  <c r="D262" i="30"/>
  <c r="E262" i="30" s="1"/>
  <c r="D261" i="30"/>
  <c r="E261" i="30" s="1"/>
  <c r="D260" i="30"/>
  <c r="E260" i="30" s="1"/>
  <c r="D259" i="30"/>
  <c r="I259" i="30" s="1"/>
  <c r="K259" i="30" s="1"/>
  <c r="D258" i="30"/>
  <c r="E258" i="30" s="1"/>
  <c r="D257" i="30"/>
  <c r="I256" i="30"/>
  <c r="K256" i="30" s="1"/>
  <c r="I255" i="30"/>
  <c r="K255" i="30" s="1"/>
  <c r="I252" i="30"/>
  <c r="H252" i="30"/>
  <c r="G252" i="30"/>
  <c r="K251" i="30"/>
  <c r="E251" i="30"/>
  <c r="K250" i="30"/>
  <c r="E250" i="30"/>
  <c r="F249" i="30"/>
  <c r="K249" i="30" s="1"/>
  <c r="E249" i="30"/>
  <c r="K248" i="30"/>
  <c r="E248" i="30"/>
  <c r="K247" i="30"/>
  <c r="E247" i="30"/>
  <c r="K246" i="30"/>
  <c r="E246" i="30"/>
  <c r="K245" i="30"/>
  <c r="E245" i="30"/>
  <c r="K244" i="30"/>
  <c r="E244" i="30"/>
  <c r="K243" i="30"/>
  <c r="E243" i="30"/>
  <c r="K242" i="30"/>
  <c r="E242" i="30"/>
  <c r="K241" i="30"/>
  <c r="E241" i="30"/>
  <c r="H238" i="30"/>
  <c r="G238" i="30"/>
  <c r="F238" i="30"/>
  <c r="O237" i="30"/>
  <c r="D237" i="30"/>
  <c r="E237" i="30" s="1"/>
  <c r="D236" i="30"/>
  <c r="I236" i="30" s="1"/>
  <c r="K236" i="30" s="1"/>
  <c r="D235" i="30"/>
  <c r="E235" i="30" s="1"/>
  <c r="D234" i="30"/>
  <c r="E234" i="30" s="1"/>
  <c r="D233" i="30"/>
  <c r="H230" i="30"/>
  <c r="D229" i="30"/>
  <c r="I229" i="30" s="1"/>
  <c r="K229" i="30" s="1"/>
  <c r="D228" i="30"/>
  <c r="I228" i="30" s="1"/>
  <c r="K228" i="30" s="1"/>
  <c r="I227" i="30"/>
  <c r="G227" i="30"/>
  <c r="K226" i="30"/>
  <c r="E226" i="30"/>
  <c r="K225" i="30"/>
  <c r="E225" i="30"/>
  <c r="K224" i="30"/>
  <c r="E224" i="30"/>
  <c r="N223" i="30"/>
  <c r="F223" i="30"/>
  <c r="I223" i="30" s="1"/>
  <c r="K223" i="30" s="1"/>
  <c r="D222" i="30"/>
  <c r="I222" i="30" s="1"/>
  <c r="K222" i="30" s="1"/>
  <c r="D221" i="30"/>
  <c r="E221" i="30" s="1"/>
  <c r="F220" i="30"/>
  <c r="D220" i="30"/>
  <c r="E220" i="30" s="1"/>
  <c r="F219" i="30"/>
  <c r="D219" i="30"/>
  <c r="E219" i="30" s="1"/>
  <c r="F218" i="30"/>
  <c r="D218" i="30"/>
  <c r="E218" i="30" s="1"/>
  <c r="K217" i="30"/>
  <c r="D217" i="30"/>
  <c r="E217" i="30" s="1"/>
  <c r="G216" i="30"/>
  <c r="F216" i="30"/>
  <c r="D216" i="30"/>
  <c r="H213" i="30"/>
  <c r="G213" i="30"/>
  <c r="F213" i="30"/>
  <c r="I212" i="30"/>
  <c r="K212" i="30" s="1"/>
  <c r="E212" i="30"/>
  <c r="K211" i="30"/>
  <c r="E211" i="30"/>
  <c r="K210" i="30"/>
  <c r="E210" i="30"/>
  <c r="K209" i="30"/>
  <c r="E209" i="30"/>
  <c r="K208" i="30"/>
  <c r="E208" i="30"/>
  <c r="K207" i="30"/>
  <c r="E207" i="30"/>
  <c r="K206" i="30"/>
  <c r="E206" i="30"/>
  <c r="K205" i="30"/>
  <c r="E205" i="30"/>
  <c r="I202" i="30"/>
  <c r="H202" i="30"/>
  <c r="G202" i="30"/>
  <c r="K201" i="30"/>
  <c r="K200" i="30"/>
  <c r="E200" i="30"/>
  <c r="K199" i="30"/>
  <c r="E199" i="30"/>
  <c r="F198" i="30"/>
  <c r="F202" i="30" s="1"/>
  <c r="E198" i="30"/>
  <c r="I195" i="30"/>
  <c r="H195" i="30"/>
  <c r="G195" i="30"/>
  <c r="F195" i="30"/>
  <c r="K194" i="30"/>
  <c r="E194" i="30"/>
  <c r="K193" i="30"/>
  <c r="E193" i="30"/>
  <c r="K192" i="30"/>
  <c r="E192" i="30"/>
  <c r="K191" i="30"/>
  <c r="E191" i="30"/>
  <c r="K190" i="30"/>
  <c r="E190" i="30"/>
  <c r="K189" i="30"/>
  <c r="E189" i="30"/>
  <c r="K188" i="30"/>
  <c r="E188" i="30"/>
  <c r="K187" i="30"/>
  <c r="E187" i="30"/>
  <c r="K186" i="30"/>
  <c r="E186" i="30"/>
  <c r="K185" i="30"/>
  <c r="E185" i="30"/>
  <c r="K184" i="30"/>
  <c r="E184" i="30"/>
  <c r="K183" i="30"/>
  <c r="E183" i="30"/>
  <c r="K182" i="30"/>
  <c r="E182" i="30"/>
  <c r="I179" i="30"/>
  <c r="H179" i="30"/>
  <c r="G179" i="30"/>
  <c r="F179" i="30"/>
  <c r="E179" i="30"/>
  <c r="K178" i="30"/>
  <c r="I175" i="30"/>
  <c r="H175" i="30"/>
  <c r="G175" i="30"/>
  <c r="F175" i="30"/>
  <c r="K174" i="30"/>
  <c r="E174" i="30"/>
  <c r="K173" i="30"/>
  <c r="E173" i="30"/>
  <c r="K172" i="30"/>
  <c r="E172" i="30"/>
  <c r="K171" i="30"/>
  <c r="E171" i="30"/>
  <c r="K170" i="30"/>
  <c r="K169" i="30"/>
  <c r="E169" i="30"/>
  <c r="K168" i="30"/>
  <c r="E168" i="30"/>
  <c r="K167" i="30"/>
  <c r="E167" i="30"/>
  <c r="I164" i="30"/>
  <c r="H164" i="30"/>
  <c r="G164" i="30"/>
  <c r="K163" i="30"/>
  <c r="E163" i="30"/>
  <c r="K162" i="30"/>
  <c r="E162" i="30"/>
  <c r="K161" i="30"/>
  <c r="E161" i="30"/>
  <c r="K160" i="30"/>
  <c r="E160" i="30"/>
  <c r="K159" i="30"/>
  <c r="E159" i="30"/>
  <c r="K158" i="30"/>
  <c r="E158" i="30"/>
  <c r="K157" i="30"/>
  <c r="E157" i="30"/>
  <c r="K156" i="30"/>
  <c r="E156" i="30"/>
  <c r="K155" i="30"/>
  <c r="E155" i="30"/>
  <c r="K154" i="30"/>
  <c r="E154" i="30"/>
  <c r="F153" i="30"/>
  <c r="K153" i="30" s="1"/>
  <c r="E153" i="30"/>
  <c r="I150" i="30"/>
  <c r="H150" i="30"/>
  <c r="G150" i="30"/>
  <c r="F150" i="30"/>
  <c r="K149" i="30"/>
  <c r="E149" i="30"/>
  <c r="K148" i="30"/>
  <c r="E148" i="30"/>
  <c r="I145" i="30"/>
  <c r="H145" i="30"/>
  <c r="G145" i="30"/>
  <c r="K144" i="30"/>
  <c r="E144" i="30"/>
  <c r="K143" i="30"/>
  <c r="E143" i="30"/>
  <c r="K142" i="30"/>
  <c r="E142" i="30"/>
  <c r="K141" i="30"/>
  <c r="E141" i="30"/>
  <c r="K140" i="30"/>
  <c r="E140" i="30"/>
  <c r="K139" i="30"/>
  <c r="E139" i="30"/>
  <c r="K138" i="30"/>
  <c r="E138" i="30"/>
  <c r="K137" i="30"/>
  <c r="E137" i="30"/>
  <c r="F136" i="30"/>
  <c r="F145" i="30" s="1"/>
  <c r="E136" i="30"/>
  <c r="K135" i="30"/>
  <c r="E135" i="30"/>
  <c r="I132" i="30"/>
  <c r="H132" i="30"/>
  <c r="G132" i="30"/>
  <c r="F132" i="30"/>
  <c r="K131" i="30"/>
  <c r="E131" i="30"/>
  <c r="E132" i="30" s="1"/>
  <c r="H128" i="30"/>
  <c r="G128" i="30"/>
  <c r="I127" i="30"/>
  <c r="I128" i="30" s="1"/>
  <c r="F127" i="30"/>
  <c r="E127" i="30"/>
  <c r="K126" i="30"/>
  <c r="E126" i="30"/>
  <c r="K125" i="30"/>
  <c r="E125" i="30"/>
  <c r="F124" i="30"/>
  <c r="K124" i="30" s="1"/>
  <c r="E124" i="30"/>
  <c r="K123" i="30"/>
  <c r="K122" i="30"/>
  <c r="E122" i="30"/>
  <c r="F121" i="30"/>
  <c r="E121" i="30"/>
  <c r="I118" i="30"/>
  <c r="H118" i="30"/>
  <c r="G118" i="30"/>
  <c r="K117" i="30"/>
  <c r="E117" i="30"/>
  <c r="K116" i="30"/>
  <c r="E116" i="30"/>
  <c r="K115" i="30"/>
  <c r="E115" i="30"/>
  <c r="K114" i="30"/>
  <c r="E114" i="30"/>
  <c r="K113" i="30"/>
  <c r="E113" i="30"/>
  <c r="K112" i="30"/>
  <c r="E112" i="30"/>
  <c r="K111" i="30"/>
  <c r="E111" i="30"/>
  <c r="K110" i="30"/>
  <c r="E110" i="30"/>
  <c r="K109" i="30"/>
  <c r="E109" i="30"/>
  <c r="K108" i="30"/>
  <c r="E108" i="30"/>
  <c r="K107" i="30"/>
  <c r="E107" i="30"/>
  <c r="F106" i="30"/>
  <c r="F118" i="30" s="1"/>
  <c r="E106" i="30"/>
  <c r="K105" i="30"/>
  <c r="E105" i="30"/>
  <c r="K104" i="30"/>
  <c r="E104" i="30"/>
  <c r="K103" i="30"/>
  <c r="E103" i="30"/>
  <c r="K102" i="30"/>
  <c r="E102" i="30"/>
  <c r="K101" i="30"/>
  <c r="E101" i="30"/>
  <c r="K100" i="30"/>
  <c r="E100" i="30"/>
  <c r="K99" i="30"/>
  <c r="E99" i="30"/>
  <c r="K98" i="30"/>
  <c r="E98" i="30"/>
  <c r="K97" i="30"/>
  <c r="E97" i="30"/>
  <c r="K96" i="30"/>
  <c r="E96" i="30"/>
  <c r="K95" i="30"/>
  <c r="E95" i="30"/>
  <c r="K94" i="30"/>
  <c r="K93" i="30"/>
  <c r="E93" i="30"/>
  <c r="K92" i="30"/>
  <c r="E92" i="30"/>
  <c r="K91" i="30"/>
  <c r="E91" i="30"/>
  <c r="H88" i="30"/>
  <c r="G88" i="30"/>
  <c r="K87" i="30"/>
  <c r="E87" i="30"/>
  <c r="K86" i="30"/>
  <c r="E86" i="30"/>
  <c r="K85" i="30"/>
  <c r="E85" i="30"/>
  <c r="K84" i="30"/>
  <c r="E84" i="30"/>
  <c r="K83" i="30"/>
  <c r="E83" i="30"/>
  <c r="K82" i="30"/>
  <c r="E82" i="30"/>
  <c r="K81" i="30"/>
  <c r="E81" i="30"/>
  <c r="K80" i="30"/>
  <c r="E80" i="30"/>
  <c r="K79" i="30"/>
  <c r="E79" i="30"/>
  <c r="K78" i="30"/>
  <c r="E78" i="30"/>
  <c r="K77" i="30"/>
  <c r="E77" i="30"/>
  <c r="K76" i="30"/>
  <c r="E76" i="30"/>
  <c r="K75" i="30"/>
  <c r="E75" i="30"/>
  <c r="K74" i="30"/>
  <c r="E74" i="30"/>
  <c r="K73" i="30"/>
  <c r="E73" i="30"/>
  <c r="K72" i="30"/>
  <c r="E72" i="30"/>
  <c r="K71" i="30"/>
  <c r="E71" i="30"/>
  <c r="I70" i="30"/>
  <c r="I88" i="30" s="1"/>
  <c r="E70" i="30"/>
  <c r="K69" i="30"/>
  <c r="E69" i="30"/>
  <c r="F68" i="30"/>
  <c r="F88" i="30" s="1"/>
  <c r="E68" i="30"/>
  <c r="K67" i="30"/>
  <c r="E67" i="30"/>
  <c r="K66" i="30"/>
  <c r="E66" i="30"/>
  <c r="K65" i="30"/>
  <c r="E65" i="30"/>
  <c r="K64" i="30"/>
  <c r="E64" i="30"/>
  <c r="K63" i="30"/>
  <c r="E63" i="30"/>
  <c r="K62" i="30"/>
  <c r="E62" i="30"/>
  <c r="K61" i="30"/>
  <c r="E61" i="30"/>
  <c r="K60" i="30"/>
  <c r="E60" i="30"/>
  <c r="K59" i="30"/>
  <c r="E59" i="30"/>
  <c r="K58" i="30"/>
  <c r="E58" i="30"/>
  <c r="K57" i="30"/>
  <c r="E57" i="30"/>
  <c r="K56" i="30"/>
  <c r="E56" i="30"/>
  <c r="H54" i="30"/>
  <c r="G54" i="30"/>
  <c r="K53" i="30"/>
  <c r="E53" i="30"/>
  <c r="K52" i="30"/>
  <c r="E52" i="30"/>
  <c r="I51" i="30"/>
  <c r="I54" i="30" s="1"/>
  <c r="E51" i="30"/>
  <c r="K50" i="30"/>
  <c r="E50" i="30"/>
  <c r="K49" i="30"/>
  <c r="E49" i="30"/>
  <c r="F48" i="30"/>
  <c r="K48" i="30" s="1"/>
  <c r="E48" i="30"/>
  <c r="F47" i="30"/>
  <c r="K47" i="30" s="1"/>
  <c r="E47" i="30"/>
  <c r="F46" i="30"/>
  <c r="K46" i="30" s="1"/>
  <c r="E46" i="30"/>
  <c r="F45" i="30"/>
  <c r="E45" i="30"/>
  <c r="K44" i="30"/>
  <c r="E44" i="30"/>
  <c r="K43" i="30"/>
  <c r="E43" i="30"/>
  <c r="K42" i="30"/>
  <c r="E42" i="30"/>
  <c r="K41" i="30"/>
  <c r="E41" i="30"/>
  <c r="K40" i="30"/>
  <c r="E40" i="30"/>
  <c r="H37" i="30"/>
  <c r="G37" i="30"/>
  <c r="K36" i="30"/>
  <c r="E36" i="30"/>
  <c r="I35" i="30"/>
  <c r="F35" i="30"/>
  <c r="F37" i="30" s="1"/>
  <c r="E35" i="30"/>
  <c r="I32" i="30"/>
  <c r="H32" i="30"/>
  <c r="G32" i="30"/>
  <c r="K31" i="30"/>
  <c r="E31" i="30"/>
  <c r="K30" i="30"/>
  <c r="E30" i="30"/>
  <c r="K29" i="30"/>
  <c r="E29" i="30"/>
  <c r="K28" i="30"/>
  <c r="E28" i="30"/>
  <c r="K27" i="30"/>
  <c r="E27" i="30"/>
  <c r="K26" i="30"/>
  <c r="K25" i="30"/>
  <c r="E25" i="30"/>
  <c r="K24" i="30"/>
  <c r="E24" i="30"/>
  <c r="K23" i="30"/>
  <c r="E23" i="30"/>
  <c r="K22" i="30"/>
  <c r="E22" i="30"/>
  <c r="K21" i="30"/>
  <c r="E21" i="30"/>
  <c r="F20" i="30"/>
  <c r="K20" i="30" s="1"/>
  <c r="E20" i="30"/>
  <c r="K19" i="30"/>
  <c r="E19" i="30"/>
  <c r="K18" i="30"/>
  <c r="E18" i="30"/>
  <c r="K17" i="30"/>
  <c r="E17" i="30"/>
  <c r="F16" i="30"/>
  <c r="E16" i="30"/>
  <c r="K15" i="30"/>
  <c r="E15" i="30"/>
  <c r="K14" i="30"/>
  <c r="E14" i="30"/>
  <c r="K13" i="30"/>
  <c r="E13" i="30"/>
  <c r="K12" i="30"/>
  <c r="E12" i="30"/>
  <c r="K11" i="30"/>
  <c r="E11" i="30"/>
  <c r="K10" i="30"/>
  <c r="E10" i="30"/>
  <c r="K9" i="30"/>
  <c r="E9" i="30"/>
  <c r="K8" i="30"/>
  <c r="E8" i="30"/>
  <c r="G29" i="29"/>
  <c r="G30" i="29"/>
  <c r="F29" i="29"/>
  <c r="F30" i="29"/>
  <c r="C31" i="29"/>
  <c r="H57" i="31" l="1"/>
  <c r="I213" i="30"/>
  <c r="I18" i="37"/>
  <c r="K35" i="30"/>
  <c r="F32" i="30"/>
  <c r="K70" i="30"/>
  <c r="F278" i="31"/>
  <c r="E27" i="37" s="1"/>
  <c r="E30" i="37" s="1"/>
  <c r="L64" i="37"/>
  <c r="K136" i="30"/>
  <c r="F252" i="30"/>
  <c r="N296" i="30"/>
  <c r="N295" i="30"/>
  <c r="F54" i="30"/>
  <c r="F128" i="30"/>
  <c r="K198" i="30"/>
  <c r="K227" i="30"/>
  <c r="G30" i="37"/>
  <c r="G31" i="37" s="1"/>
  <c r="AE76" i="37"/>
  <c r="AD40" i="37"/>
  <c r="C54" i="37"/>
  <c r="D24" i="37"/>
  <c r="B50" i="37"/>
  <c r="B54" i="37" s="1"/>
  <c r="I17" i="37"/>
  <c r="J17" i="37" s="1"/>
  <c r="I9" i="37"/>
  <c r="J9" i="37" s="1"/>
  <c r="E16" i="37"/>
  <c r="AA76" i="37"/>
  <c r="AB76" i="37"/>
  <c r="Z40" i="37"/>
  <c r="AA40" i="37"/>
  <c r="N62" i="37"/>
  <c r="O62" i="37" s="1"/>
  <c r="E52" i="37"/>
  <c r="AD76" i="37"/>
  <c r="K60" i="37"/>
  <c r="AC40" i="37"/>
  <c r="F24" i="37"/>
  <c r="H10" i="37"/>
  <c r="H16" i="37" s="1"/>
  <c r="E243" i="31"/>
  <c r="E235" i="31"/>
  <c r="F262" i="30"/>
  <c r="K262" i="30" s="1"/>
  <c r="D238" i="30"/>
  <c r="E289" i="31"/>
  <c r="E37" i="30"/>
  <c r="I266" i="30"/>
  <c r="K266" i="30" s="1"/>
  <c r="I260" i="30"/>
  <c r="K260" i="30" s="1"/>
  <c r="I268" i="30"/>
  <c r="K268" i="30" s="1"/>
  <c r="F230" i="30"/>
  <c r="I270" i="30"/>
  <c r="K270" i="30" s="1"/>
  <c r="E278" i="31"/>
  <c r="I235" i="31"/>
  <c r="I258" i="30"/>
  <c r="K258" i="30" s="1"/>
  <c r="I289" i="31"/>
  <c r="H290" i="31" s="1"/>
  <c r="I243" i="31"/>
  <c r="H244" i="31" s="1"/>
  <c r="M42" i="30"/>
  <c r="G230" i="30"/>
  <c r="N306" i="30" s="1"/>
  <c r="E164" i="30"/>
  <c r="O306" i="30"/>
  <c r="E54" i="30"/>
  <c r="E32" i="30"/>
  <c r="E118" i="30"/>
  <c r="E128" i="30"/>
  <c r="E252" i="30"/>
  <c r="E88" i="30"/>
  <c r="E145" i="30"/>
  <c r="E213" i="30"/>
  <c r="E294" i="30"/>
  <c r="E150" i="30"/>
  <c r="E175" i="30"/>
  <c r="E195" i="30"/>
  <c r="E202" i="30"/>
  <c r="I221" i="30"/>
  <c r="K221" i="30" s="1"/>
  <c r="I235" i="30"/>
  <c r="K235" i="30" s="1"/>
  <c r="D272" i="30"/>
  <c r="E229" i="30"/>
  <c r="E236" i="30"/>
  <c r="E271" i="30"/>
  <c r="E267" i="30"/>
  <c r="E263" i="30"/>
  <c r="E259" i="30"/>
  <c r="E275" i="30"/>
  <c r="E279" i="30"/>
  <c r="I233" i="30"/>
  <c r="K233" i="30" s="1"/>
  <c r="I237" i="30"/>
  <c r="K237" i="30" s="1"/>
  <c r="I218" i="30"/>
  <c r="K218" i="30" s="1"/>
  <c r="I257" i="30"/>
  <c r="K257" i="30" s="1"/>
  <c r="I261" i="30"/>
  <c r="K261" i="30" s="1"/>
  <c r="I269" i="30"/>
  <c r="K269" i="30" s="1"/>
  <c r="E222" i="30"/>
  <c r="E228" i="30"/>
  <c r="E282" i="30"/>
  <c r="E278" i="30"/>
  <c r="I216" i="30"/>
  <c r="I219" i="30"/>
  <c r="K219" i="30" s="1"/>
  <c r="I220" i="30"/>
  <c r="K220" i="30" s="1"/>
  <c r="I234" i="30"/>
  <c r="K234" i="30" s="1"/>
  <c r="E233" i="30"/>
  <c r="E265" i="30"/>
  <c r="E257" i="30"/>
  <c r="E281" i="30"/>
  <c r="E277" i="30"/>
  <c r="E216" i="30"/>
  <c r="E280" i="30"/>
  <c r="E276" i="30"/>
  <c r="I283" i="30"/>
  <c r="K275" i="30"/>
  <c r="F283" i="30"/>
  <c r="K278" i="30"/>
  <c r="I37" i="30"/>
  <c r="K16" i="30"/>
  <c r="K45" i="30"/>
  <c r="K51" i="30"/>
  <c r="K68" i="30"/>
  <c r="K106" i="30"/>
  <c r="K127" i="30"/>
  <c r="F164" i="30"/>
  <c r="D230" i="30"/>
  <c r="D283" i="30"/>
  <c r="K121" i="30"/>
  <c r="I264" i="13"/>
  <c r="H24" i="37" l="1"/>
  <c r="I24" i="37" s="1"/>
  <c r="J24" i="37" s="1"/>
  <c r="H236" i="31"/>
  <c r="F303" i="31"/>
  <c r="I278" i="31"/>
  <c r="F272" i="30"/>
  <c r="M306" i="30" s="1"/>
  <c r="E31" i="37"/>
  <c r="H28" i="37"/>
  <c r="I28" i="37" s="1"/>
  <c r="J28" i="37" s="1"/>
  <c r="K64" i="37"/>
  <c r="H25" i="37"/>
  <c r="I25" i="37" s="1"/>
  <c r="J25" i="37" s="1"/>
  <c r="I10" i="37"/>
  <c r="J10" i="37" s="1"/>
  <c r="I16" i="37"/>
  <c r="E303" i="31"/>
  <c r="E238" i="30"/>
  <c r="I272" i="30"/>
  <c r="M272" i="30" s="1"/>
  <c r="E230" i="30"/>
  <c r="I230" i="30"/>
  <c r="M230" i="30" s="1"/>
  <c r="P204" i="30"/>
  <c r="P15" i="30"/>
  <c r="E283" i="30"/>
  <c r="E272" i="30"/>
  <c r="K216" i="30"/>
  <c r="K295" i="30" s="1"/>
  <c r="I238" i="30"/>
  <c r="M238" i="30" s="1"/>
  <c r="D324" i="30"/>
  <c r="D295" i="30"/>
  <c r="M283" i="30"/>
  <c r="I255" i="13"/>
  <c r="H27" i="37" l="1"/>
  <c r="I27" i="37" s="1"/>
  <c r="J27" i="37" s="1"/>
  <c r="H279" i="31"/>
  <c r="J16" i="37"/>
  <c r="O232" i="30"/>
  <c r="Q15" i="30" s="1"/>
  <c r="Q16" i="30" s="1"/>
  <c r="E295" i="30"/>
  <c r="P306" i="30"/>
  <c r="Q306" i="30" s="1"/>
  <c r="I256" i="13"/>
  <c r="O238" i="30" l="1"/>
  <c r="O240" i="30" s="1"/>
  <c r="F218" i="13"/>
  <c r="F216" i="13" l="1"/>
  <c r="I227" i="13" l="1"/>
  <c r="F220" i="13" l="1"/>
  <c r="F219" i="13" l="1"/>
  <c r="M49" i="29" l="1"/>
  <c r="M48" i="29"/>
  <c r="L48" i="29"/>
  <c r="M47" i="29"/>
  <c r="M46" i="29"/>
  <c r="L46" i="29"/>
  <c r="AD40" i="29"/>
  <c r="X40" i="29"/>
  <c r="W40" i="29"/>
  <c r="V40" i="29"/>
  <c r="S40" i="29"/>
  <c r="Q40" i="29"/>
  <c r="N40" i="29"/>
  <c r="L40" i="29"/>
  <c r="AE39" i="29"/>
  <c r="AC39" i="29"/>
  <c r="AA39" i="29"/>
  <c r="Y39" i="29"/>
  <c r="X39" i="29"/>
  <c r="V39" i="29"/>
  <c r="U39" i="29"/>
  <c r="S39" i="29"/>
  <c r="L39" i="29"/>
  <c r="V38" i="29"/>
  <c r="Q38" i="29"/>
  <c r="P38" i="29"/>
  <c r="V37" i="29"/>
  <c r="U37" i="29"/>
  <c r="T37" i="29"/>
  <c r="S37" i="29"/>
  <c r="Q37" i="29"/>
  <c r="P37" i="29"/>
  <c r="V41" i="29" l="1"/>
  <c r="C32" i="29"/>
  <c r="D221" i="13"/>
  <c r="I221" i="13" s="1"/>
  <c r="I16" i="29" l="1"/>
  <c r="D218" i="13"/>
  <c r="I218" i="13" s="1"/>
  <c r="D216" i="13" l="1"/>
  <c r="I216" i="13" s="1"/>
  <c r="D229" i="13" l="1"/>
  <c r="I229" i="13" s="1"/>
  <c r="D228" i="13" l="1"/>
  <c r="I228" i="13" s="1"/>
  <c r="D222" i="13" l="1"/>
  <c r="I222" i="13" s="1"/>
  <c r="D220" i="13" l="1"/>
  <c r="I220" i="13" s="1"/>
  <c r="D219" i="13" l="1"/>
  <c r="I219" i="13" s="1"/>
  <c r="D217" i="13" l="1"/>
  <c r="D230" i="13" s="1"/>
  <c r="D24" i="29" l="1"/>
  <c r="D281" i="13"/>
  <c r="I281" i="13" s="1"/>
  <c r="D278" i="13" l="1"/>
  <c r="F278" i="13" s="1"/>
  <c r="D279" i="13" l="1"/>
  <c r="I279" i="13" s="1"/>
  <c r="D280" i="13" l="1"/>
  <c r="I280" i="13" s="1"/>
  <c r="D275" i="13" l="1"/>
  <c r="I275" i="13" s="1"/>
  <c r="D282" i="13" l="1"/>
  <c r="I282" i="13" s="1"/>
  <c r="D277" i="13" l="1"/>
  <c r="I277" i="13" s="1"/>
  <c r="D276" i="13" l="1"/>
  <c r="D283" i="13" l="1"/>
  <c r="I276" i="13"/>
  <c r="D233" i="13"/>
  <c r="I233" i="13" s="1"/>
  <c r="D28" i="29" l="1"/>
  <c r="D235" i="13"/>
  <c r="I235" i="13" s="1"/>
  <c r="D236" i="13" l="1"/>
  <c r="I236" i="13" s="1"/>
  <c r="D237" i="13" l="1"/>
  <c r="I237" i="13" s="1"/>
  <c r="D234" i="13"/>
  <c r="I234" i="13" s="1"/>
  <c r="D238" i="13" l="1"/>
  <c r="D25" i="29" s="1"/>
  <c r="D270" i="13"/>
  <c r="I270" i="13" s="1"/>
  <c r="D266" i="13" l="1"/>
  <c r="I266" i="13" s="1"/>
  <c r="D260" i="13" l="1"/>
  <c r="I260" i="13" s="1"/>
  <c r="D259" i="13" l="1"/>
  <c r="I259" i="13" s="1"/>
  <c r="D262" i="13" l="1"/>
  <c r="F262" i="13" s="1"/>
  <c r="D258" i="13" l="1"/>
  <c r="I258" i="13" s="1"/>
  <c r="D265" i="13" l="1"/>
  <c r="I265" i="13" s="1"/>
  <c r="D257" i="13" l="1"/>
  <c r="I257" i="13" s="1"/>
  <c r="D261" i="13" l="1"/>
  <c r="I261" i="13" s="1"/>
  <c r="D267" i="13" l="1"/>
  <c r="I267" i="13" s="1"/>
  <c r="D269" i="13" l="1"/>
  <c r="I269" i="13" s="1"/>
  <c r="D268" i="13" l="1"/>
  <c r="I268" i="13" s="1"/>
  <c r="D271" i="13" l="1"/>
  <c r="I271" i="13" s="1"/>
  <c r="D263" i="13" l="1"/>
  <c r="D272" i="13" l="1"/>
  <c r="D295" i="13" s="1"/>
  <c r="I263" i="13"/>
  <c r="D27" i="29"/>
  <c r="D324" i="13"/>
  <c r="H221" i="27"/>
  <c r="G221" i="27"/>
  <c r="F221" i="27"/>
  <c r="E221" i="27"/>
  <c r="J220" i="27"/>
  <c r="D220" i="27"/>
  <c r="J219" i="27"/>
  <c r="D219" i="27"/>
  <c r="J218" i="27"/>
  <c r="D218" i="27"/>
  <c r="J217" i="27"/>
  <c r="D217" i="27"/>
  <c r="J216" i="27"/>
  <c r="D216" i="27"/>
  <c r="J215" i="27"/>
  <c r="D215" i="27"/>
  <c r="J214" i="27"/>
  <c r="D214" i="27"/>
  <c r="G211" i="27"/>
  <c r="F211" i="27"/>
  <c r="E211" i="27"/>
  <c r="J210" i="27"/>
  <c r="D210" i="27"/>
  <c r="H209" i="27"/>
  <c r="H211" i="27" s="1"/>
  <c r="D209" i="27"/>
  <c r="J208" i="27"/>
  <c r="D208" i="27"/>
  <c r="J207" i="27"/>
  <c r="D207" i="27"/>
  <c r="J206" i="27"/>
  <c r="D206" i="27"/>
  <c r="J205" i="27"/>
  <c r="D205" i="27"/>
  <c r="J204" i="27"/>
  <c r="D204" i="27"/>
  <c r="H201" i="27"/>
  <c r="G201" i="27"/>
  <c r="F201" i="27"/>
  <c r="J200" i="27"/>
  <c r="D200" i="27"/>
  <c r="J199" i="27"/>
  <c r="D199" i="27"/>
  <c r="J198" i="27"/>
  <c r="D198" i="27"/>
  <c r="J197" i="27"/>
  <c r="D197" i="27"/>
  <c r="J196" i="27"/>
  <c r="D196" i="27"/>
  <c r="J195" i="27"/>
  <c r="D195" i="27"/>
  <c r="M194" i="27"/>
  <c r="E194" i="27"/>
  <c r="J194" i="27" s="1"/>
  <c r="D194" i="27"/>
  <c r="J193" i="27"/>
  <c r="D193" i="27"/>
  <c r="J192" i="27"/>
  <c r="D192" i="27"/>
  <c r="J191" i="27"/>
  <c r="D191" i="27"/>
  <c r="J190" i="27"/>
  <c r="D190" i="27"/>
  <c r="J189" i="27"/>
  <c r="D189" i="27"/>
  <c r="J188" i="27"/>
  <c r="D188" i="27"/>
  <c r="J187" i="27"/>
  <c r="D187" i="27"/>
  <c r="J186" i="27"/>
  <c r="D186" i="27"/>
  <c r="J185" i="27"/>
  <c r="D185" i="27"/>
  <c r="H182" i="27"/>
  <c r="G182" i="27"/>
  <c r="F182" i="27"/>
  <c r="J181" i="27"/>
  <c r="D181" i="27"/>
  <c r="J180" i="27"/>
  <c r="D180" i="27"/>
  <c r="E179" i="27"/>
  <c r="E182" i="27" s="1"/>
  <c r="D179" i="27"/>
  <c r="J178" i="27"/>
  <c r="D178" i="27"/>
  <c r="J177" i="27"/>
  <c r="D177" i="27"/>
  <c r="J176" i="27"/>
  <c r="D176" i="27"/>
  <c r="J175" i="27"/>
  <c r="D175" i="27"/>
  <c r="G172" i="27"/>
  <c r="F172" i="27"/>
  <c r="N171" i="27"/>
  <c r="J171" i="27"/>
  <c r="D171" i="27"/>
  <c r="J170" i="27"/>
  <c r="D170" i="27"/>
  <c r="E169" i="27"/>
  <c r="E172" i="27" s="1"/>
  <c r="D169" i="27"/>
  <c r="J168" i="27"/>
  <c r="D168" i="27"/>
  <c r="J164" i="27"/>
  <c r="D164" i="27"/>
  <c r="H163" i="27"/>
  <c r="E163" i="27"/>
  <c r="D163" i="27"/>
  <c r="J162" i="27"/>
  <c r="D162" i="27"/>
  <c r="M161" i="27"/>
  <c r="E161" i="27"/>
  <c r="J161" i="27" s="1"/>
  <c r="D161" i="27"/>
  <c r="J160" i="27"/>
  <c r="D160" i="27"/>
  <c r="J159" i="27"/>
  <c r="D159" i="27"/>
  <c r="H158" i="27"/>
  <c r="J158" i="27" s="1"/>
  <c r="D158" i="27"/>
  <c r="H157" i="27"/>
  <c r="D157" i="27"/>
  <c r="J156" i="27"/>
  <c r="D156" i="27"/>
  <c r="G155" i="27"/>
  <c r="G165" i="27" s="1"/>
  <c r="F155" i="27"/>
  <c r="E155" i="27"/>
  <c r="D155" i="27"/>
  <c r="G152" i="27"/>
  <c r="F152" i="27"/>
  <c r="E152" i="27"/>
  <c r="H151" i="27"/>
  <c r="H152" i="27" s="1"/>
  <c r="D151" i="27"/>
  <c r="J150" i="27"/>
  <c r="D150" i="27"/>
  <c r="J149" i="27"/>
  <c r="D149" i="27"/>
  <c r="J148" i="27"/>
  <c r="D148" i="27"/>
  <c r="J147" i="27"/>
  <c r="D147" i="27"/>
  <c r="J146" i="27"/>
  <c r="D146" i="27"/>
  <c r="J145" i="27"/>
  <c r="D145" i="27"/>
  <c r="H142" i="27"/>
  <c r="G142" i="27"/>
  <c r="F142" i="27"/>
  <c r="J141" i="27"/>
  <c r="J140" i="27"/>
  <c r="D140" i="27"/>
  <c r="J139" i="27"/>
  <c r="D139" i="27"/>
  <c r="E138" i="27"/>
  <c r="E142" i="27" s="1"/>
  <c r="D138" i="27"/>
  <c r="H135" i="27"/>
  <c r="G135" i="27"/>
  <c r="F135" i="27"/>
  <c r="E135" i="27"/>
  <c r="J134" i="27"/>
  <c r="D134" i="27"/>
  <c r="J133" i="27"/>
  <c r="D133" i="27"/>
  <c r="J132" i="27"/>
  <c r="D132" i="27"/>
  <c r="J131" i="27"/>
  <c r="D131" i="27"/>
  <c r="J130" i="27"/>
  <c r="D130" i="27"/>
  <c r="J129" i="27"/>
  <c r="D129" i="27"/>
  <c r="J128" i="27"/>
  <c r="D128" i="27"/>
  <c r="J127" i="27"/>
  <c r="D127" i="27"/>
  <c r="J126" i="27"/>
  <c r="D126" i="27"/>
  <c r="J125" i="27"/>
  <c r="D125" i="27"/>
  <c r="J124" i="27"/>
  <c r="D124" i="27"/>
  <c r="J123" i="27"/>
  <c r="D123" i="27"/>
  <c r="H120" i="27"/>
  <c r="G120" i="27"/>
  <c r="F120" i="27"/>
  <c r="E120" i="27"/>
  <c r="D120" i="27"/>
  <c r="J119" i="27"/>
  <c r="H116" i="27"/>
  <c r="G116" i="27"/>
  <c r="F116" i="27"/>
  <c r="E116" i="27"/>
  <c r="J115" i="27"/>
  <c r="D115" i="27"/>
  <c r="J114" i="27"/>
  <c r="D114" i="27"/>
  <c r="J113" i="27"/>
  <c r="D113" i="27"/>
  <c r="J112" i="27"/>
  <c r="J111" i="27"/>
  <c r="D111" i="27"/>
  <c r="J110" i="27"/>
  <c r="D110" i="27"/>
  <c r="J109" i="27"/>
  <c r="D109" i="27"/>
  <c r="H106" i="27"/>
  <c r="G106" i="27"/>
  <c r="F106" i="27"/>
  <c r="E106" i="27"/>
  <c r="J105" i="27"/>
  <c r="D105" i="27"/>
  <c r="J104" i="27"/>
  <c r="D104" i="27"/>
  <c r="J103" i="27"/>
  <c r="D103" i="27"/>
  <c r="H100" i="27"/>
  <c r="G100" i="27"/>
  <c r="F100" i="27"/>
  <c r="E100" i="27"/>
  <c r="J99" i="27"/>
  <c r="D99" i="27"/>
  <c r="J98" i="27"/>
  <c r="D98" i="27"/>
  <c r="H95" i="27"/>
  <c r="G95" i="27"/>
  <c r="F95" i="27"/>
  <c r="J94" i="27"/>
  <c r="D94" i="27"/>
  <c r="J93" i="27"/>
  <c r="D93" i="27"/>
  <c r="J92" i="27"/>
  <c r="D92" i="27"/>
  <c r="J91" i="27"/>
  <c r="D91" i="27"/>
  <c r="H87" i="27"/>
  <c r="G87" i="27"/>
  <c r="F87" i="27"/>
  <c r="J86" i="27"/>
  <c r="D86" i="27"/>
  <c r="J85" i="27"/>
  <c r="D85" i="27"/>
  <c r="J84" i="27"/>
  <c r="D84" i="27"/>
  <c r="J83" i="27"/>
  <c r="D83" i="27"/>
  <c r="J82" i="27"/>
  <c r="D82" i="27"/>
  <c r="J81" i="27"/>
  <c r="D81" i="27"/>
  <c r="J80" i="27"/>
  <c r="D80" i="27"/>
  <c r="E79" i="27"/>
  <c r="J79" i="27" s="1"/>
  <c r="D79" i="27"/>
  <c r="J78" i="27"/>
  <c r="D78" i="27"/>
  <c r="J77" i="27"/>
  <c r="D77" i="27"/>
  <c r="J76" i="27"/>
  <c r="D76" i="27"/>
  <c r="J75" i="27"/>
  <c r="D75" i="27"/>
  <c r="J74" i="27"/>
  <c r="D74" i="27"/>
  <c r="J73" i="27"/>
  <c r="D73" i="27"/>
  <c r="J72" i="27"/>
  <c r="D72" i="27"/>
  <c r="J71" i="27"/>
  <c r="J70" i="27"/>
  <c r="D70" i="27"/>
  <c r="J69" i="27"/>
  <c r="D69" i="27"/>
  <c r="G66" i="27"/>
  <c r="F66" i="27"/>
  <c r="J65" i="27"/>
  <c r="D65" i="27"/>
  <c r="J64" i="27"/>
  <c r="D64" i="27"/>
  <c r="J63" i="27"/>
  <c r="D63" i="27"/>
  <c r="J62" i="27"/>
  <c r="D62" i="27"/>
  <c r="J61" i="27"/>
  <c r="D61" i="27"/>
  <c r="J60" i="27"/>
  <c r="D60" i="27"/>
  <c r="J59" i="27"/>
  <c r="D59" i="27"/>
  <c r="J58" i="27"/>
  <c r="D58" i="27"/>
  <c r="J57" i="27"/>
  <c r="D57" i="27"/>
  <c r="J56" i="27"/>
  <c r="D56" i="27"/>
  <c r="J55" i="27"/>
  <c r="D55" i="27"/>
  <c r="H54" i="27"/>
  <c r="J54" i="27" s="1"/>
  <c r="D54" i="27"/>
  <c r="J53" i="27"/>
  <c r="D53" i="27"/>
  <c r="E52" i="27"/>
  <c r="J52" i="27" s="1"/>
  <c r="D52" i="27"/>
  <c r="J51" i="27"/>
  <c r="D51" i="27"/>
  <c r="J50" i="27"/>
  <c r="D50" i="27"/>
  <c r="J49" i="27"/>
  <c r="D49" i="27"/>
  <c r="J48" i="27"/>
  <c r="D48" i="27"/>
  <c r="J47" i="27"/>
  <c r="D47" i="27"/>
  <c r="J46" i="27"/>
  <c r="D46" i="27"/>
  <c r="J45" i="27"/>
  <c r="D45" i="27"/>
  <c r="J44" i="27"/>
  <c r="D44" i="27"/>
  <c r="J43" i="27"/>
  <c r="D43" i="27"/>
  <c r="G41" i="27"/>
  <c r="F41" i="27"/>
  <c r="J40" i="27"/>
  <c r="D40" i="27"/>
  <c r="H41" i="27"/>
  <c r="J39" i="27"/>
  <c r="D39" i="27"/>
  <c r="E38" i="27"/>
  <c r="J38" i="27" s="1"/>
  <c r="D38" i="27"/>
  <c r="E37" i="27"/>
  <c r="J37" i="27" s="1"/>
  <c r="D37" i="27"/>
  <c r="J36" i="27"/>
  <c r="D36" i="27"/>
  <c r="J35" i="27"/>
  <c r="D35" i="27"/>
  <c r="G32" i="27"/>
  <c r="F32" i="27"/>
  <c r="J31" i="27"/>
  <c r="D31" i="27"/>
  <c r="H30" i="27"/>
  <c r="E30" i="27"/>
  <c r="E32" i="27" s="1"/>
  <c r="D30" i="27"/>
  <c r="H27" i="27"/>
  <c r="G27" i="27"/>
  <c r="F27" i="27"/>
  <c r="J26" i="27"/>
  <c r="D26" i="27"/>
  <c r="J25" i="27"/>
  <c r="D25" i="27"/>
  <c r="J24" i="27"/>
  <c r="D24" i="27"/>
  <c r="J23" i="27"/>
  <c r="D23" i="27"/>
  <c r="J22" i="27"/>
  <c r="D22" i="27"/>
  <c r="J21" i="27"/>
  <c r="D21" i="27"/>
  <c r="E20" i="27"/>
  <c r="J20" i="27" s="1"/>
  <c r="D20" i="27"/>
  <c r="J19" i="27"/>
  <c r="D19" i="27"/>
  <c r="J18" i="27"/>
  <c r="D18" i="27"/>
  <c r="J17" i="27"/>
  <c r="D17" i="27"/>
  <c r="E16" i="27"/>
  <c r="J16" i="27" s="1"/>
  <c r="D16" i="27"/>
  <c r="J15" i="27"/>
  <c r="D15" i="27"/>
  <c r="J14" i="27"/>
  <c r="D14" i="27"/>
  <c r="J13" i="27"/>
  <c r="D13" i="27"/>
  <c r="J12" i="27"/>
  <c r="D12" i="27"/>
  <c r="J11" i="27"/>
  <c r="D11" i="27"/>
  <c r="J10" i="27"/>
  <c r="D10" i="27"/>
  <c r="J9" i="27"/>
  <c r="D9" i="27"/>
  <c r="J8" i="27"/>
  <c r="D8" i="27"/>
  <c r="D74" i="25"/>
  <c r="C74" i="25"/>
  <c r="J14" i="26"/>
  <c r="F445" i="26"/>
  <c r="I307" i="26"/>
  <c r="H307" i="26"/>
  <c r="H458" i="26" s="1"/>
  <c r="G307" i="26"/>
  <c r="F307" i="26"/>
  <c r="E307" i="26"/>
  <c r="I299" i="26"/>
  <c r="H299" i="26"/>
  <c r="H457" i="26" s="1"/>
  <c r="G299" i="26"/>
  <c r="F299" i="26"/>
  <c r="E299" i="26"/>
  <c r="E457" i="26" s="1"/>
  <c r="I298" i="26"/>
  <c r="H298" i="26"/>
  <c r="G298" i="26"/>
  <c r="F298" i="26"/>
  <c r="E298" i="26"/>
  <c r="D297" i="26"/>
  <c r="D296" i="26"/>
  <c r="D295" i="26"/>
  <c r="D294" i="26"/>
  <c r="I288" i="26"/>
  <c r="H288" i="26"/>
  <c r="H456" i="26" s="1"/>
  <c r="G288" i="26"/>
  <c r="F288" i="26"/>
  <c r="E288" i="26"/>
  <c r="E456" i="26" s="1"/>
  <c r="I287" i="26"/>
  <c r="H287" i="26"/>
  <c r="G287" i="26"/>
  <c r="F287" i="26"/>
  <c r="E287" i="26"/>
  <c r="D286" i="26"/>
  <c r="D285" i="26"/>
  <c r="D284" i="26"/>
  <c r="D283" i="26"/>
  <c r="I277" i="26"/>
  <c r="H277" i="26"/>
  <c r="H455" i="26" s="1"/>
  <c r="G277" i="26"/>
  <c r="F277" i="26"/>
  <c r="E277" i="26"/>
  <c r="I276" i="26"/>
  <c r="H276" i="26"/>
  <c r="G276" i="26"/>
  <c r="F276" i="26"/>
  <c r="E276" i="26"/>
  <c r="D275" i="26"/>
  <c r="D274" i="26"/>
  <c r="D273" i="26"/>
  <c r="D272" i="26"/>
  <c r="J271" i="26"/>
  <c r="D271" i="26"/>
  <c r="D270" i="26"/>
  <c r="D269" i="26"/>
  <c r="D268" i="26"/>
  <c r="D267" i="26"/>
  <c r="I261" i="26"/>
  <c r="H261" i="26"/>
  <c r="G261" i="26"/>
  <c r="F261" i="26"/>
  <c r="E261" i="26"/>
  <c r="E454" i="26" s="1"/>
  <c r="I260" i="26"/>
  <c r="H260" i="26"/>
  <c r="G260" i="26"/>
  <c r="F260" i="26"/>
  <c r="E260" i="26"/>
  <c r="D259" i="26"/>
  <c r="D258" i="26"/>
  <c r="I252" i="26"/>
  <c r="H252" i="26"/>
  <c r="H453" i="26" s="1"/>
  <c r="G252" i="26"/>
  <c r="F252" i="26"/>
  <c r="F453" i="26" s="1"/>
  <c r="E252" i="26"/>
  <c r="I251" i="26"/>
  <c r="H251" i="26"/>
  <c r="G251" i="26"/>
  <c r="F251" i="26"/>
  <c r="E251" i="26"/>
  <c r="D250" i="26"/>
  <c r="D249" i="26"/>
  <c r="D248" i="26"/>
  <c r="D247" i="26"/>
  <c r="D246" i="26"/>
  <c r="D245" i="26"/>
  <c r="L243" i="26"/>
  <c r="L256" i="26" s="1"/>
  <c r="L265" i="26" s="1"/>
  <c r="L281" i="26" s="1"/>
  <c r="L292" i="26" s="1"/>
  <c r="L303" i="26" s="1"/>
  <c r="I239" i="26"/>
  <c r="H239" i="26"/>
  <c r="H452" i="26" s="1"/>
  <c r="G239" i="26"/>
  <c r="F239" i="26"/>
  <c r="F452" i="26" s="1"/>
  <c r="E239" i="26"/>
  <c r="E452" i="26" s="1"/>
  <c r="I238" i="26"/>
  <c r="H238" i="26"/>
  <c r="G238" i="26"/>
  <c r="F238" i="26"/>
  <c r="E238" i="26"/>
  <c r="D237" i="26"/>
  <c r="D236" i="26"/>
  <c r="D235" i="26"/>
  <c r="D234" i="26"/>
  <c r="D233" i="26"/>
  <c r="I227" i="26"/>
  <c r="H227" i="26"/>
  <c r="H451" i="26" s="1"/>
  <c r="G227" i="26"/>
  <c r="F227" i="26"/>
  <c r="F451" i="26" s="1"/>
  <c r="E227" i="26"/>
  <c r="E451" i="26" s="1"/>
  <c r="I226" i="26"/>
  <c r="H226" i="26"/>
  <c r="G226" i="26"/>
  <c r="F226" i="26"/>
  <c r="E226" i="26"/>
  <c r="D225" i="26"/>
  <c r="D224" i="26"/>
  <c r="D223" i="26"/>
  <c r="I217" i="26"/>
  <c r="H217" i="26"/>
  <c r="H450" i="26" s="1"/>
  <c r="E217" i="26"/>
  <c r="E450" i="26" s="1"/>
  <c r="I216" i="26"/>
  <c r="H216" i="26"/>
  <c r="E216" i="26"/>
  <c r="D215" i="26"/>
  <c r="D214" i="26"/>
  <c r="D213" i="26"/>
  <c r="D212" i="26"/>
  <c r="D211" i="26"/>
  <c r="D210" i="26"/>
  <c r="D209" i="26"/>
  <c r="D208" i="26"/>
  <c r="J207" i="26"/>
  <c r="G207" i="26"/>
  <c r="G216" i="26" s="1"/>
  <c r="F207" i="26"/>
  <c r="F216" i="26" s="1"/>
  <c r="D207" i="26"/>
  <c r="I201" i="26"/>
  <c r="H201" i="26"/>
  <c r="H449" i="26" s="1"/>
  <c r="G201" i="26"/>
  <c r="F201" i="26"/>
  <c r="E201" i="26"/>
  <c r="E449" i="26" s="1"/>
  <c r="I200" i="26"/>
  <c r="H200" i="26"/>
  <c r="G200" i="26"/>
  <c r="F200" i="26"/>
  <c r="E200" i="26"/>
  <c r="D199" i="26"/>
  <c r="D198" i="26"/>
  <c r="I192" i="26"/>
  <c r="H192" i="26"/>
  <c r="H448" i="26" s="1"/>
  <c r="G192" i="26"/>
  <c r="F192" i="26"/>
  <c r="E192" i="26"/>
  <c r="E448" i="26" s="1"/>
  <c r="I191" i="26"/>
  <c r="H191" i="26"/>
  <c r="G191" i="26"/>
  <c r="F191" i="26"/>
  <c r="E191" i="26"/>
  <c r="D190" i="26"/>
  <c r="D189" i="26"/>
  <c r="D188" i="26"/>
  <c r="D187" i="26"/>
  <c r="D186" i="26"/>
  <c r="D185" i="26"/>
  <c r="D184" i="26"/>
  <c r="L182" i="26"/>
  <c r="L196" i="26" s="1"/>
  <c r="L205" i="26" s="1"/>
  <c r="I178" i="26"/>
  <c r="H178" i="26"/>
  <c r="H447" i="26" s="1"/>
  <c r="G178" i="26"/>
  <c r="F178" i="26"/>
  <c r="E178" i="26"/>
  <c r="E447" i="26" s="1"/>
  <c r="I177" i="26"/>
  <c r="H177" i="26"/>
  <c r="G177" i="26"/>
  <c r="F177" i="26"/>
  <c r="E177" i="26"/>
  <c r="D176" i="26"/>
  <c r="D175" i="26"/>
  <c r="D174" i="26"/>
  <c r="D173" i="26"/>
  <c r="D172" i="26"/>
  <c r="D171" i="26"/>
  <c r="I165" i="26"/>
  <c r="H165" i="26"/>
  <c r="H446" i="26" s="1"/>
  <c r="G165" i="26"/>
  <c r="F165" i="26"/>
  <c r="F446" i="26" s="1"/>
  <c r="E165" i="26"/>
  <c r="E446" i="26" s="1"/>
  <c r="I164" i="26"/>
  <c r="H164" i="26"/>
  <c r="G164" i="26"/>
  <c r="F164" i="26"/>
  <c r="E164" i="26"/>
  <c r="D163" i="26"/>
  <c r="D162" i="26"/>
  <c r="D161" i="26"/>
  <c r="D160" i="26"/>
  <c r="D159" i="26"/>
  <c r="D158" i="26"/>
  <c r="D157" i="26"/>
  <c r="D156" i="26"/>
  <c r="D155" i="26"/>
  <c r="D154" i="26"/>
  <c r="D153" i="26"/>
  <c r="D152" i="26"/>
  <c r="D151" i="26"/>
  <c r="I143" i="26"/>
  <c r="H143" i="26"/>
  <c r="H444" i="26" s="1"/>
  <c r="G143" i="26"/>
  <c r="F143" i="26"/>
  <c r="E143" i="26"/>
  <c r="D142" i="26"/>
  <c r="D141" i="26"/>
  <c r="I135" i="26"/>
  <c r="H135" i="26"/>
  <c r="H443" i="26" s="1"/>
  <c r="G135" i="26"/>
  <c r="F135" i="26"/>
  <c r="E135" i="26"/>
  <c r="I134" i="26"/>
  <c r="H134" i="26"/>
  <c r="G134" i="26"/>
  <c r="F134" i="26"/>
  <c r="E134" i="26"/>
  <c r="D133" i="26"/>
  <c r="D132" i="26"/>
  <c r="D131" i="26"/>
  <c r="D130" i="26"/>
  <c r="D129" i="26"/>
  <c r="I123" i="26"/>
  <c r="H123" i="26"/>
  <c r="H442" i="26" s="1"/>
  <c r="G123" i="26"/>
  <c r="F123" i="26"/>
  <c r="E123" i="26"/>
  <c r="E442" i="26" s="1"/>
  <c r="I122" i="26"/>
  <c r="H122" i="26"/>
  <c r="G122" i="26"/>
  <c r="F122" i="26"/>
  <c r="E122" i="26"/>
  <c r="D121" i="26"/>
  <c r="D120" i="26"/>
  <c r="D119" i="26"/>
  <c r="D118" i="26"/>
  <c r="D117" i="26"/>
  <c r="D116" i="26"/>
  <c r="D115" i="26"/>
  <c r="D114" i="26"/>
  <c r="D113" i="26"/>
  <c r="D112" i="26"/>
  <c r="D111" i="26"/>
  <c r="D110" i="26"/>
  <c r="D109" i="26"/>
  <c r="D108" i="26"/>
  <c r="D107" i="26"/>
  <c r="D106" i="26"/>
  <c r="D105" i="26"/>
  <c r="D104" i="26"/>
  <c r="D103" i="26"/>
  <c r="D102" i="26"/>
  <c r="D101" i="26"/>
  <c r="D100" i="26"/>
  <c r="D99" i="26"/>
  <c r="D98" i="26"/>
  <c r="D97" i="26"/>
  <c r="D96" i="26"/>
  <c r="D95" i="26"/>
  <c r="I89" i="26"/>
  <c r="H89" i="26"/>
  <c r="H441" i="26" s="1"/>
  <c r="G89" i="26"/>
  <c r="F89" i="26"/>
  <c r="E89" i="26"/>
  <c r="H88" i="26"/>
  <c r="G88" i="26"/>
  <c r="F88" i="26"/>
  <c r="E88" i="26"/>
  <c r="D87" i="26"/>
  <c r="D86" i="26"/>
  <c r="D85" i="26"/>
  <c r="D84" i="26"/>
  <c r="D83" i="26"/>
  <c r="D82" i="26"/>
  <c r="I76" i="26"/>
  <c r="H76" i="26"/>
  <c r="H440" i="26" s="1"/>
  <c r="G76" i="26"/>
  <c r="F76" i="26"/>
  <c r="E76" i="26"/>
  <c r="E440" i="26" s="1"/>
  <c r="D75" i="26"/>
  <c r="C75" i="26"/>
  <c r="C76" i="26" s="1"/>
  <c r="I69" i="26"/>
  <c r="I58" i="26"/>
  <c r="H58" i="26"/>
  <c r="H438" i="26" s="1"/>
  <c r="G58" i="26"/>
  <c r="F58" i="26"/>
  <c r="E58" i="26"/>
  <c r="E438" i="26" s="1"/>
  <c r="I57" i="26"/>
  <c r="H57" i="26"/>
  <c r="G57" i="26"/>
  <c r="F57" i="26"/>
  <c r="E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I30" i="26"/>
  <c r="H30" i="26"/>
  <c r="H437" i="26" s="1"/>
  <c r="G30" i="26"/>
  <c r="G437" i="26" s="1"/>
  <c r="G445" i="26" s="1"/>
  <c r="G460" i="26" s="1"/>
  <c r="F30" i="26"/>
  <c r="E30" i="26"/>
  <c r="E437" i="26" s="1"/>
  <c r="I29" i="26"/>
  <c r="H29" i="26"/>
  <c r="G29" i="26"/>
  <c r="F29" i="26"/>
  <c r="E29" i="26"/>
  <c r="D28" i="26"/>
  <c r="D27" i="26"/>
  <c r="D26" i="26"/>
  <c r="D25" i="26"/>
  <c r="D24" i="26"/>
  <c r="D23" i="26"/>
  <c r="D22" i="26"/>
  <c r="J21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M9" i="26"/>
  <c r="E259" i="25"/>
  <c r="F259" i="25"/>
  <c r="G259" i="25"/>
  <c r="H259" i="25"/>
  <c r="I259" i="25"/>
  <c r="E258" i="25"/>
  <c r="F258" i="25"/>
  <c r="G258" i="25"/>
  <c r="H258" i="25"/>
  <c r="I258" i="25"/>
  <c r="G257" i="25"/>
  <c r="I257" i="25"/>
  <c r="E256" i="25"/>
  <c r="F256" i="25"/>
  <c r="G256" i="25"/>
  <c r="I256" i="25"/>
  <c r="E255" i="25"/>
  <c r="F255" i="25"/>
  <c r="G255" i="25"/>
  <c r="H255" i="25"/>
  <c r="I255" i="25"/>
  <c r="E254" i="25"/>
  <c r="F254" i="25"/>
  <c r="G254" i="25"/>
  <c r="I254" i="25"/>
  <c r="E253" i="25"/>
  <c r="F253" i="25"/>
  <c r="G253" i="25"/>
  <c r="H253" i="25"/>
  <c r="I253" i="25"/>
  <c r="E252" i="25"/>
  <c r="F252" i="25"/>
  <c r="G252" i="25"/>
  <c r="H252" i="25"/>
  <c r="I252" i="25"/>
  <c r="E251" i="25"/>
  <c r="F251" i="25"/>
  <c r="G251" i="25"/>
  <c r="H251" i="25"/>
  <c r="I251" i="25"/>
  <c r="E250" i="25"/>
  <c r="F250" i="25"/>
  <c r="G250" i="25"/>
  <c r="H250" i="25"/>
  <c r="I250" i="25"/>
  <c r="E249" i="25"/>
  <c r="F249" i="25"/>
  <c r="G249" i="25"/>
  <c r="H249" i="25"/>
  <c r="I249" i="25"/>
  <c r="E248" i="25"/>
  <c r="F248" i="25"/>
  <c r="G248" i="25"/>
  <c r="H248" i="25"/>
  <c r="I248" i="25"/>
  <c r="E247" i="25"/>
  <c r="F247" i="25"/>
  <c r="G247" i="25"/>
  <c r="H247" i="25"/>
  <c r="I247" i="25"/>
  <c r="E246" i="25"/>
  <c r="H246" i="25"/>
  <c r="I246" i="25"/>
  <c r="C256" i="25"/>
  <c r="E196" i="25"/>
  <c r="F196" i="25"/>
  <c r="G196" i="25"/>
  <c r="H196" i="25"/>
  <c r="I196" i="25"/>
  <c r="E195" i="25"/>
  <c r="F195" i="25"/>
  <c r="G195" i="25"/>
  <c r="I195" i="25"/>
  <c r="E194" i="25"/>
  <c r="F194" i="25"/>
  <c r="G194" i="25"/>
  <c r="H194" i="25"/>
  <c r="I194" i="25"/>
  <c r="E193" i="25"/>
  <c r="F193" i="25"/>
  <c r="G193" i="25"/>
  <c r="H193" i="25"/>
  <c r="I193" i="25"/>
  <c r="E192" i="25"/>
  <c r="F192" i="25"/>
  <c r="G192" i="25"/>
  <c r="H192" i="25"/>
  <c r="I192" i="25"/>
  <c r="E191" i="25"/>
  <c r="F191" i="25"/>
  <c r="G191" i="25"/>
  <c r="H191" i="25"/>
  <c r="I191" i="25"/>
  <c r="E190" i="25"/>
  <c r="F190" i="25"/>
  <c r="G190" i="25"/>
  <c r="H190" i="25"/>
  <c r="I190" i="25"/>
  <c r="E189" i="25"/>
  <c r="F189" i="25"/>
  <c r="G189" i="25"/>
  <c r="H189" i="25"/>
  <c r="I189" i="25"/>
  <c r="E188" i="25"/>
  <c r="F188" i="25"/>
  <c r="G188" i="25"/>
  <c r="H188" i="25"/>
  <c r="I188" i="25"/>
  <c r="E187" i="25"/>
  <c r="F187" i="25"/>
  <c r="G187" i="25"/>
  <c r="H187" i="25"/>
  <c r="I187" i="25"/>
  <c r="E186" i="25"/>
  <c r="F186" i="25"/>
  <c r="G186" i="25"/>
  <c r="H186" i="25"/>
  <c r="I186" i="25"/>
  <c r="E185" i="25"/>
  <c r="F185" i="25"/>
  <c r="G185" i="25"/>
  <c r="H185" i="25"/>
  <c r="I185" i="25"/>
  <c r="E184" i="25"/>
  <c r="F184" i="25"/>
  <c r="G184" i="25"/>
  <c r="H184" i="25"/>
  <c r="I184" i="25"/>
  <c r="E183" i="25"/>
  <c r="F183" i="25"/>
  <c r="G183" i="25"/>
  <c r="H183" i="25"/>
  <c r="I183" i="25"/>
  <c r="E182" i="25"/>
  <c r="F182" i="25"/>
  <c r="G182" i="25"/>
  <c r="H182" i="25"/>
  <c r="I182" i="25"/>
  <c r="E181" i="25"/>
  <c r="F181" i="25"/>
  <c r="G181" i="25"/>
  <c r="H181" i="25"/>
  <c r="I181" i="25"/>
  <c r="E180" i="25"/>
  <c r="F180" i="25"/>
  <c r="G180" i="25"/>
  <c r="H180" i="25"/>
  <c r="I180" i="25"/>
  <c r="C195" i="25"/>
  <c r="C162" i="26" s="1"/>
  <c r="E78" i="25"/>
  <c r="F78" i="25"/>
  <c r="G78" i="25"/>
  <c r="H78" i="25"/>
  <c r="I78" i="25"/>
  <c r="E77" i="25"/>
  <c r="E67" i="26" s="1"/>
  <c r="F77" i="25"/>
  <c r="F67" i="26" s="1"/>
  <c r="G77" i="25"/>
  <c r="G67" i="26" s="1"/>
  <c r="H77" i="25"/>
  <c r="H67" i="26" s="1"/>
  <c r="I77" i="25"/>
  <c r="E76" i="25"/>
  <c r="E66" i="26" s="1"/>
  <c r="F76" i="25"/>
  <c r="F66" i="26" s="1"/>
  <c r="G76" i="25"/>
  <c r="G66" i="26" s="1"/>
  <c r="H76" i="25"/>
  <c r="H66" i="26" s="1"/>
  <c r="I76" i="25"/>
  <c r="E75" i="25"/>
  <c r="E65" i="26" s="1"/>
  <c r="F75" i="25"/>
  <c r="F65" i="26" s="1"/>
  <c r="G75" i="25"/>
  <c r="G65" i="26" s="1"/>
  <c r="H75" i="25"/>
  <c r="H65" i="26" s="1"/>
  <c r="I75" i="25"/>
  <c r="E73" i="25"/>
  <c r="F73" i="25"/>
  <c r="F64" i="26" s="1"/>
  <c r="G73" i="25"/>
  <c r="G64" i="26" s="1"/>
  <c r="H73" i="25"/>
  <c r="H64" i="26" s="1"/>
  <c r="I73" i="25"/>
  <c r="E72" i="25"/>
  <c r="E63" i="26" s="1"/>
  <c r="F72" i="25"/>
  <c r="F63" i="26" s="1"/>
  <c r="G72" i="25"/>
  <c r="G63" i="26" s="1"/>
  <c r="H72" i="25"/>
  <c r="H63" i="26" s="1"/>
  <c r="I72" i="25"/>
  <c r="E65" i="25"/>
  <c r="F65" i="25"/>
  <c r="G65" i="25"/>
  <c r="H65" i="25"/>
  <c r="I65" i="25"/>
  <c r="E64" i="25"/>
  <c r="F64" i="25"/>
  <c r="G64" i="25"/>
  <c r="H64" i="25"/>
  <c r="I64" i="25"/>
  <c r="E63" i="25"/>
  <c r="F63" i="25"/>
  <c r="G63" i="25"/>
  <c r="I63" i="25"/>
  <c r="E62" i="25"/>
  <c r="F62" i="25"/>
  <c r="G62" i="25"/>
  <c r="H62" i="25"/>
  <c r="I62" i="25"/>
  <c r="E61" i="25"/>
  <c r="F61" i="25"/>
  <c r="G61" i="25"/>
  <c r="H61" i="25"/>
  <c r="I61" i="25"/>
  <c r="E60" i="25"/>
  <c r="F60" i="25"/>
  <c r="G60" i="25"/>
  <c r="H60" i="25"/>
  <c r="I60" i="25"/>
  <c r="E59" i="25"/>
  <c r="F59" i="25"/>
  <c r="G59" i="25"/>
  <c r="H59" i="25"/>
  <c r="I59" i="25"/>
  <c r="E58" i="25"/>
  <c r="F58" i="25"/>
  <c r="G58" i="25"/>
  <c r="H58" i="25"/>
  <c r="I58" i="25"/>
  <c r="E57" i="25"/>
  <c r="F57" i="25"/>
  <c r="G57" i="25"/>
  <c r="H57" i="25"/>
  <c r="I57" i="25"/>
  <c r="E56" i="25"/>
  <c r="F56" i="25"/>
  <c r="G56" i="25"/>
  <c r="H56" i="25"/>
  <c r="I56" i="25"/>
  <c r="E55" i="25"/>
  <c r="F55" i="25"/>
  <c r="G55" i="25"/>
  <c r="H55" i="25"/>
  <c r="I55" i="25"/>
  <c r="E54" i="25"/>
  <c r="F54" i="25"/>
  <c r="G54" i="25"/>
  <c r="H54" i="25"/>
  <c r="I54" i="25"/>
  <c r="E53" i="25"/>
  <c r="F53" i="25"/>
  <c r="G53" i="25"/>
  <c r="H53" i="25"/>
  <c r="I53" i="25"/>
  <c r="E52" i="25"/>
  <c r="F52" i="25"/>
  <c r="G52" i="25"/>
  <c r="H52" i="25"/>
  <c r="I52" i="25"/>
  <c r="E51" i="25"/>
  <c r="F51" i="25"/>
  <c r="G51" i="25"/>
  <c r="H51" i="25"/>
  <c r="I51" i="25"/>
  <c r="E50" i="25"/>
  <c r="F50" i="25"/>
  <c r="G50" i="25"/>
  <c r="H50" i="25"/>
  <c r="I50" i="25"/>
  <c r="E49" i="25"/>
  <c r="F49" i="25"/>
  <c r="G49" i="25"/>
  <c r="H49" i="25"/>
  <c r="I49" i="25"/>
  <c r="E48" i="25"/>
  <c r="F48" i="25"/>
  <c r="G48" i="25"/>
  <c r="H48" i="25"/>
  <c r="I48" i="25"/>
  <c r="E47" i="25"/>
  <c r="F47" i="25"/>
  <c r="G47" i="25"/>
  <c r="H47" i="25"/>
  <c r="I47" i="25"/>
  <c r="E46" i="25"/>
  <c r="F46" i="25"/>
  <c r="G46" i="25"/>
  <c r="H46" i="25"/>
  <c r="I46" i="25"/>
  <c r="E45" i="25"/>
  <c r="F45" i="25"/>
  <c r="G45" i="25"/>
  <c r="H45" i="25"/>
  <c r="I45" i="25"/>
  <c r="E44" i="25"/>
  <c r="F44" i="25"/>
  <c r="G44" i="25"/>
  <c r="H44" i="25"/>
  <c r="I44" i="25"/>
  <c r="E43" i="25"/>
  <c r="F43" i="25"/>
  <c r="G43" i="25"/>
  <c r="H43" i="25"/>
  <c r="I43" i="25"/>
  <c r="E42" i="25"/>
  <c r="F42" i="25"/>
  <c r="G42" i="25"/>
  <c r="H42" i="25"/>
  <c r="I42" i="25"/>
  <c r="E41" i="25"/>
  <c r="F41" i="25"/>
  <c r="G41" i="25"/>
  <c r="H41" i="25"/>
  <c r="I41" i="25"/>
  <c r="E40" i="25"/>
  <c r="F40" i="25"/>
  <c r="G40" i="25"/>
  <c r="H40" i="25"/>
  <c r="I40" i="25"/>
  <c r="E39" i="25"/>
  <c r="F39" i="25"/>
  <c r="G39" i="25"/>
  <c r="H39" i="25"/>
  <c r="I39" i="25"/>
  <c r="C63" i="25"/>
  <c r="E31" i="25"/>
  <c r="F31" i="25"/>
  <c r="G31" i="25"/>
  <c r="I31" i="25"/>
  <c r="E30" i="25"/>
  <c r="F30" i="25"/>
  <c r="G30" i="25"/>
  <c r="H30" i="25"/>
  <c r="I30" i="25"/>
  <c r="E29" i="25"/>
  <c r="F29" i="25"/>
  <c r="G29" i="25"/>
  <c r="H29" i="25"/>
  <c r="I29" i="25"/>
  <c r="E28" i="25"/>
  <c r="F28" i="25"/>
  <c r="G28" i="25"/>
  <c r="H28" i="25"/>
  <c r="I28" i="25"/>
  <c r="E27" i="25"/>
  <c r="F27" i="25"/>
  <c r="G27" i="25"/>
  <c r="H27" i="25"/>
  <c r="I27" i="25"/>
  <c r="E26" i="25"/>
  <c r="F26" i="25"/>
  <c r="G26" i="25"/>
  <c r="I26" i="25"/>
  <c r="E25" i="25"/>
  <c r="F25" i="25"/>
  <c r="G25" i="25"/>
  <c r="H25" i="25"/>
  <c r="I25" i="25"/>
  <c r="E24" i="25"/>
  <c r="F24" i="25"/>
  <c r="G24" i="25"/>
  <c r="I24" i="25"/>
  <c r="E23" i="25"/>
  <c r="F23" i="25"/>
  <c r="G23" i="25"/>
  <c r="I23" i="25"/>
  <c r="E22" i="25"/>
  <c r="F22" i="25"/>
  <c r="G22" i="25"/>
  <c r="H22" i="25"/>
  <c r="I22" i="25"/>
  <c r="E21" i="25"/>
  <c r="F21" i="25"/>
  <c r="G21" i="25"/>
  <c r="H21" i="25"/>
  <c r="I21" i="25"/>
  <c r="E20" i="25"/>
  <c r="F20" i="25"/>
  <c r="G20" i="25"/>
  <c r="H20" i="25"/>
  <c r="I20" i="25"/>
  <c r="E19" i="25"/>
  <c r="F19" i="25"/>
  <c r="G19" i="25"/>
  <c r="H19" i="25"/>
  <c r="I19" i="25"/>
  <c r="E18" i="25"/>
  <c r="F18" i="25"/>
  <c r="G18" i="25"/>
  <c r="H18" i="25"/>
  <c r="I18" i="25"/>
  <c r="E17" i="25"/>
  <c r="F17" i="25"/>
  <c r="G17" i="25"/>
  <c r="H17" i="25"/>
  <c r="I17" i="25"/>
  <c r="E16" i="25"/>
  <c r="F16" i="25"/>
  <c r="G16" i="25"/>
  <c r="H16" i="25"/>
  <c r="I16" i="25"/>
  <c r="E15" i="25"/>
  <c r="F15" i="25"/>
  <c r="G15" i="25"/>
  <c r="H15" i="25"/>
  <c r="I15" i="25"/>
  <c r="J13" i="25"/>
  <c r="E14" i="25"/>
  <c r="F14" i="25"/>
  <c r="G14" i="25"/>
  <c r="H14" i="25"/>
  <c r="I14" i="25"/>
  <c r="E13" i="25"/>
  <c r="F13" i="25"/>
  <c r="G13" i="25"/>
  <c r="H13" i="25"/>
  <c r="I13" i="25"/>
  <c r="E12" i="25"/>
  <c r="F12" i="25"/>
  <c r="G12" i="25"/>
  <c r="H12" i="25"/>
  <c r="I12" i="25"/>
  <c r="E11" i="25"/>
  <c r="F11" i="25"/>
  <c r="G11" i="25"/>
  <c r="H11" i="25"/>
  <c r="I11" i="25"/>
  <c r="E10" i="25"/>
  <c r="F10" i="25"/>
  <c r="G10" i="25"/>
  <c r="H10" i="25"/>
  <c r="I10" i="25"/>
  <c r="E9" i="25"/>
  <c r="F9" i="25"/>
  <c r="G9" i="25"/>
  <c r="H9" i="25"/>
  <c r="I9" i="25"/>
  <c r="E8" i="25"/>
  <c r="F8" i="25"/>
  <c r="G8" i="25"/>
  <c r="H8" i="25"/>
  <c r="I8" i="25"/>
  <c r="C23" i="25"/>
  <c r="C24" i="25"/>
  <c r="C26" i="25"/>
  <c r="C31" i="25"/>
  <c r="F520" i="25"/>
  <c r="D391" i="25"/>
  <c r="I375" i="25"/>
  <c r="H375" i="25"/>
  <c r="H533" i="25" s="1"/>
  <c r="G375" i="25"/>
  <c r="F375" i="25"/>
  <c r="E375" i="25"/>
  <c r="C373" i="25"/>
  <c r="C375" i="25" s="1"/>
  <c r="I367" i="25"/>
  <c r="H367" i="25"/>
  <c r="H532" i="25" s="1"/>
  <c r="G367" i="25"/>
  <c r="F367" i="25"/>
  <c r="E367" i="25"/>
  <c r="E532" i="25" s="1"/>
  <c r="I366" i="25"/>
  <c r="H366" i="25"/>
  <c r="G366" i="25"/>
  <c r="F366" i="25"/>
  <c r="E366" i="25"/>
  <c r="D365" i="25"/>
  <c r="C365" i="25"/>
  <c r="C297" i="26" s="1"/>
  <c r="D364" i="25"/>
  <c r="C364" i="25"/>
  <c r="C296" i="26" s="1"/>
  <c r="D363" i="25"/>
  <c r="C363" i="25"/>
  <c r="C295" i="26" s="1"/>
  <c r="D362" i="25"/>
  <c r="C362" i="25"/>
  <c r="C294" i="26" s="1"/>
  <c r="I356" i="25"/>
  <c r="H356" i="25"/>
  <c r="H531" i="25" s="1"/>
  <c r="G356" i="25"/>
  <c r="F356" i="25"/>
  <c r="E356" i="25"/>
  <c r="E531" i="25" s="1"/>
  <c r="I355" i="25"/>
  <c r="H355" i="25"/>
  <c r="G355" i="25"/>
  <c r="F355" i="25"/>
  <c r="E355" i="25"/>
  <c r="D354" i="25"/>
  <c r="C354" i="25"/>
  <c r="D353" i="25"/>
  <c r="C353" i="25"/>
  <c r="C286" i="26" s="1"/>
  <c r="D352" i="25"/>
  <c r="C352" i="25"/>
  <c r="C285" i="26" s="1"/>
  <c r="D351" i="25"/>
  <c r="C351" i="25"/>
  <c r="D350" i="25"/>
  <c r="C350" i="25"/>
  <c r="C284" i="26" s="1"/>
  <c r="D349" i="25"/>
  <c r="C349" i="25"/>
  <c r="C283" i="26" s="1"/>
  <c r="J348" i="25"/>
  <c r="D348" i="25"/>
  <c r="C348" i="25"/>
  <c r="J347" i="25"/>
  <c r="D347" i="25"/>
  <c r="C347" i="25"/>
  <c r="I341" i="25"/>
  <c r="H341" i="25"/>
  <c r="H530" i="25" s="1"/>
  <c r="G341" i="25"/>
  <c r="F341" i="25"/>
  <c r="E341" i="25"/>
  <c r="I340" i="25"/>
  <c r="H340" i="25"/>
  <c r="G340" i="25"/>
  <c r="F340" i="25"/>
  <c r="E340" i="25"/>
  <c r="D339" i="25"/>
  <c r="C339" i="25"/>
  <c r="C275" i="26" s="1"/>
  <c r="D338" i="25"/>
  <c r="C338" i="25"/>
  <c r="D337" i="25"/>
  <c r="C337" i="25"/>
  <c r="C274" i="26" s="1"/>
  <c r="D336" i="25"/>
  <c r="C336" i="25"/>
  <c r="C273" i="26" s="1"/>
  <c r="D335" i="25"/>
  <c r="C335" i="25"/>
  <c r="C272" i="26" s="1"/>
  <c r="D334" i="25"/>
  <c r="C334" i="25"/>
  <c r="D333" i="25"/>
  <c r="C333" i="25"/>
  <c r="J332" i="25"/>
  <c r="D332" i="25"/>
  <c r="C332" i="25"/>
  <c r="C271" i="26" s="1"/>
  <c r="D331" i="25"/>
  <c r="C331" i="25"/>
  <c r="C270" i="26" s="1"/>
  <c r="D330" i="25"/>
  <c r="C330" i="25"/>
  <c r="C269" i="26" s="1"/>
  <c r="D329" i="25"/>
  <c r="C329" i="25"/>
  <c r="C268" i="26" s="1"/>
  <c r="D328" i="25"/>
  <c r="C328" i="25"/>
  <c r="D327" i="25"/>
  <c r="C327" i="25"/>
  <c r="C267" i="26" s="1"/>
  <c r="I321" i="25"/>
  <c r="H321" i="25"/>
  <c r="H529" i="25" s="1"/>
  <c r="G321" i="25"/>
  <c r="F321" i="25"/>
  <c r="E321" i="25"/>
  <c r="E529" i="25" s="1"/>
  <c r="I320" i="25"/>
  <c r="H320" i="25"/>
  <c r="G320" i="25"/>
  <c r="F320" i="25"/>
  <c r="E320" i="25"/>
  <c r="D319" i="25"/>
  <c r="C319" i="25"/>
  <c r="C259" i="26" s="1"/>
  <c r="D318" i="25"/>
  <c r="C318" i="25"/>
  <c r="C258" i="26" s="1"/>
  <c r="I312" i="25"/>
  <c r="H312" i="25"/>
  <c r="H528" i="25" s="1"/>
  <c r="G312" i="25"/>
  <c r="F312" i="25"/>
  <c r="F528" i="25" s="1"/>
  <c r="E312" i="25"/>
  <c r="E528" i="25" s="1"/>
  <c r="I311" i="25"/>
  <c r="H311" i="25"/>
  <c r="G311" i="25"/>
  <c r="F311" i="25"/>
  <c r="E311" i="25"/>
  <c r="D310" i="25"/>
  <c r="C310" i="25"/>
  <c r="C250" i="26" s="1"/>
  <c r="D309" i="25"/>
  <c r="C309" i="25"/>
  <c r="C249" i="26" s="1"/>
  <c r="D308" i="25"/>
  <c r="C308" i="25"/>
  <c r="D307" i="25"/>
  <c r="C307" i="25"/>
  <c r="D306" i="25"/>
  <c r="C306" i="25"/>
  <c r="D305" i="25"/>
  <c r="C305" i="25"/>
  <c r="D304" i="25"/>
  <c r="C304" i="25"/>
  <c r="C248" i="26" s="1"/>
  <c r="D303" i="25"/>
  <c r="C303" i="25"/>
  <c r="C247" i="26" s="1"/>
  <c r="D302" i="25"/>
  <c r="C302" i="25"/>
  <c r="C246" i="26" s="1"/>
  <c r="D301" i="25"/>
  <c r="C301" i="25"/>
  <c r="C245" i="26" s="1"/>
  <c r="D300" i="25"/>
  <c r="C300" i="25"/>
  <c r="L298" i="25"/>
  <c r="L316" i="25" s="1"/>
  <c r="L325" i="25" s="1"/>
  <c r="L345" i="25" s="1"/>
  <c r="L360" i="25" s="1"/>
  <c r="L371" i="25" s="1"/>
  <c r="I294" i="25"/>
  <c r="H294" i="25"/>
  <c r="H527" i="25" s="1"/>
  <c r="G294" i="25"/>
  <c r="F294" i="25"/>
  <c r="F527" i="25" s="1"/>
  <c r="E294" i="25"/>
  <c r="E527" i="25" s="1"/>
  <c r="I293" i="25"/>
  <c r="H293" i="25"/>
  <c r="G293" i="25"/>
  <c r="F293" i="25"/>
  <c r="E293" i="25"/>
  <c r="D292" i="25"/>
  <c r="C292" i="25"/>
  <c r="D291" i="25"/>
  <c r="C291" i="25"/>
  <c r="C237" i="26" s="1"/>
  <c r="L290" i="25"/>
  <c r="L305" i="25" s="1"/>
  <c r="D290" i="25"/>
  <c r="C290" i="25"/>
  <c r="D289" i="25"/>
  <c r="C289" i="25"/>
  <c r="C236" i="26" s="1"/>
  <c r="D288" i="25"/>
  <c r="C288" i="25"/>
  <c r="C235" i="26" s="1"/>
  <c r="D287" i="25"/>
  <c r="C287" i="25"/>
  <c r="D286" i="25"/>
  <c r="C286" i="25"/>
  <c r="C234" i="26" s="1"/>
  <c r="D285" i="25"/>
  <c r="C285" i="25"/>
  <c r="C233" i="26" s="1"/>
  <c r="I279" i="25"/>
  <c r="H279" i="25"/>
  <c r="H526" i="25" s="1"/>
  <c r="G279" i="25"/>
  <c r="F279" i="25"/>
  <c r="F526" i="25" s="1"/>
  <c r="E279" i="25"/>
  <c r="I278" i="25"/>
  <c r="H278" i="25"/>
  <c r="G278" i="25"/>
  <c r="F278" i="25"/>
  <c r="E278" i="25"/>
  <c r="D277" i="25"/>
  <c r="C277" i="25"/>
  <c r="D276" i="25"/>
  <c r="C276" i="25"/>
  <c r="D275" i="25"/>
  <c r="C275" i="25"/>
  <c r="D274" i="25"/>
  <c r="C274" i="25"/>
  <c r="C225" i="26" s="1"/>
  <c r="D273" i="25"/>
  <c r="C273" i="25"/>
  <c r="C224" i="26" s="1"/>
  <c r="D272" i="25"/>
  <c r="C272" i="25"/>
  <c r="D271" i="25"/>
  <c r="C271" i="25"/>
  <c r="D270" i="25"/>
  <c r="C270" i="25"/>
  <c r="D269" i="25"/>
  <c r="C269" i="25"/>
  <c r="D268" i="25"/>
  <c r="C268" i="25"/>
  <c r="C223" i="26" s="1"/>
  <c r="D267" i="25"/>
  <c r="C267" i="25"/>
  <c r="J257" i="25"/>
  <c r="J246" i="25"/>
  <c r="I240" i="25"/>
  <c r="H240" i="25"/>
  <c r="H524" i="25" s="1"/>
  <c r="G240" i="25"/>
  <c r="F240" i="25"/>
  <c r="E240" i="25"/>
  <c r="E524" i="25" s="1"/>
  <c r="I239" i="25"/>
  <c r="H239" i="25"/>
  <c r="G239" i="25"/>
  <c r="F239" i="25"/>
  <c r="E239" i="25"/>
  <c r="D238" i="25"/>
  <c r="C238" i="25"/>
  <c r="D237" i="25"/>
  <c r="C237" i="25"/>
  <c r="C199" i="26" s="1"/>
  <c r="D236" i="25"/>
  <c r="C236" i="25"/>
  <c r="D235" i="25"/>
  <c r="C235" i="25"/>
  <c r="C198" i="26" s="1"/>
  <c r="D234" i="25"/>
  <c r="C234" i="25"/>
  <c r="I228" i="25"/>
  <c r="G228" i="25"/>
  <c r="F228" i="25"/>
  <c r="E228" i="25"/>
  <c r="E523" i="25" s="1"/>
  <c r="I227" i="25"/>
  <c r="G227" i="25"/>
  <c r="F227" i="25"/>
  <c r="E227" i="25"/>
  <c r="D226" i="25"/>
  <c r="C226" i="25"/>
  <c r="C190" i="26" s="1"/>
  <c r="D225" i="25"/>
  <c r="C225" i="25"/>
  <c r="C189" i="26" s="1"/>
  <c r="H224" i="25"/>
  <c r="H228" i="25" s="1"/>
  <c r="H523" i="25" s="1"/>
  <c r="D224" i="25"/>
  <c r="D223" i="25"/>
  <c r="C223" i="25"/>
  <c r="D222" i="25"/>
  <c r="C222" i="25"/>
  <c r="C187" i="26" s="1"/>
  <c r="D221" i="25"/>
  <c r="C221" i="25"/>
  <c r="C186" i="26" s="1"/>
  <c r="D220" i="25"/>
  <c r="C220" i="25"/>
  <c r="C185" i="26" s="1"/>
  <c r="D219" i="25"/>
  <c r="C219" i="25"/>
  <c r="C184" i="26" s="1"/>
  <c r="L217" i="25"/>
  <c r="L232" i="25" s="1"/>
  <c r="L244" i="25" s="1"/>
  <c r="I213" i="25"/>
  <c r="H213" i="25"/>
  <c r="H522" i="25" s="1"/>
  <c r="G213" i="25"/>
  <c r="F213" i="25"/>
  <c r="E213" i="25"/>
  <c r="E522" i="25" s="1"/>
  <c r="I212" i="25"/>
  <c r="H212" i="25"/>
  <c r="G212" i="25"/>
  <c r="F212" i="25"/>
  <c r="E212" i="25"/>
  <c r="D211" i="25"/>
  <c r="C211" i="25"/>
  <c r="C176" i="26" s="1"/>
  <c r="D210" i="25"/>
  <c r="C210" i="25"/>
  <c r="C175" i="26" s="1"/>
  <c r="D209" i="25"/>
  <c r="C209" i="25"/>
  <c r="D208" i="25"/>
  <c r="C208" i="25"/>
  <c r="C174" i="26" s="1"/>
  <c r="D207" i="25"/>
  <c r="C207" i="25"/>
  <c r="C173" i="26" s="1"/>
  <c r="D206" i="25"/>
  <c r="C206" i="25"/>
  <c r="D205" i="25"/>
  <c r="C205" i="25"/>
  <c r="C172" i="26" s="1"/>
  <c r="D204" i="25"/>
  <c r="C204" i="25"/>
  <c r="C171" i="26" s="1"/>
  <c r="I172" i="25"/>
  <c r="H172" i="25"/>
  <c r="H519" i="25" s="1"/>
  <c r="G172" i="25"/>
  <c r="F172" i="25"/>
  <c r="E172" i="25"/>
  <c r="E519" i="25" s="1"/>
  <c r="D171" i="25"/>
  <c r="C171" i="25"/>
  <c r="C142" i="26" s="1"/>
  <c r="D170" i="25"/>
  <c r="C170" i="25"/>
  <c r="C141" i="26" s="1"/>
  <c r="I164" i="25"/>
  <c r="H164" i="25"/>
  <c r="H518" i="25" s="1"/>
  <c r="G164" i="25"/>
  <c r="F164" i="25"/>
  <c r="E164" i="25"/>
  <c r="E518" i="25" s="1"/>
  <c r="I163" i="25"/>
  <c r="H163" i="25"/>
  <c r="G163" i="25"/>
  <c r="F163" i="25"/>
  <c r="E163" i="25"/>
  <c r="D162" i="25"/>
  <c r="C162" i="25"/>
  <c r="D161" i="25"/>
  <c r="C161" i="25"/>
  <c r="D160" i="25"/>
  <c r="C160" i="25"/>
  <c r="D159" i="25"/>
  <c r="C159" i="25"/>
  <c r="C133" i="26" s="1"/>
  <c r="D158" i="25"/>
  <c r="C158" i="25"/>
  <c r="D157" i="25"/>
  <c r="C157" i="25"/>
  <c r="C132" i="26" s="1"/>
  <c r="D156" i="25"/>
  <c r="C156" i="25"/>
  <c r="D155" i="25"/>
  <c r="C155" i="25"/>
  <c r="D154" i="25"/>
  <c r="C154" i="25"/>
  <c r="D153" i="25"/>
  <c r="C153" i="25"/>
  <c r="D152" i="25"/>
  <c r="C152" i="25"/>
  <c r="D151" i="25"/>
  <c r="C151" i="25"/>
  <c r="C131" i="26" s="1"/>
  <c r="D150" i="25"/>
  <c r="C150" i="25"/>
  <c r="C130" i="26" s="1"/>
  <c r="D149" i="25"/>
  <c r="C149" i="25"/>
  <c r="C129" i="26" s="1"/>
  <c r="I143" i="25"/>
  <c r="H143" i="25"/>
  <c r="G143" i="25"/>
  <c r="F143" i="25"/>
  <c r="E143" i="25"/>
  <c r="E517" i="25" s="1"/>
  <c r="I142" i="25"/>
  <c r="H142" i="25"/>
  <c r="G142" i="25"/>
  <c r="F142" i="25"/>
  <c r="E142" i="25"/>
  <c r="D141" i="25"/>
  <c r="D140" i="25"/>
  <c r="D139" i="25"/>
  <c r="D138" i="25"/>
  <c r="D137" i="25"/>
  <c r="D136" i="25"/>
  <c r="D135" i="25"/>
  <c r="D134" i="25"/>
  <c r="D133" i="25"/>
  <c r="D132" i="25"/>
  <c r="D131" i="25"/>
  <c r="D130" i="25"/>
  <c r="D129" i="25"/>
  <c r="D128" i="25"/>
  <c r="D127" i="25"/>
  <c r="D126" i="25"/>
  <c r="D125" i="25"/>
  <c r="D124" i="25"/>
  <c r="D123" i="25"/>
  <c r="D122" i="25"/>
  <c r="D121" i="25"/>
  <c r="D120" i="25"/>
  <c r="D119" i="25"/>
  <c r="D118" i="25"/>
  <c r="D117" i="25"/>
  <c r="D116" i="25"/>
  <c r="D115" i="25"/>
  <c r="D114" i="25"/>
  <c r="D113" i="25"/>
  <c r="D112" i="25"/>
  <c r="D111" i="25"/>
  <c r="D110" i="25"/>
  <c r="I104" i="25"/>
  <c r="H104" i="25"/>
  <c r="H516" i="25" s="1"/>
  <c r="G104" i="25"/>
  <c r="F104" i="25"/>
  <c r="E104" i="25"/>
  <c r="H103" i="25"/>
  <c r="G103" i="25"/>
  <c r="F103" i="25"/>
  <c r="E103" i="25"/>
  <c r="D102" i="25"/>
  <c r="D101" i="25"/>
  <c r="D100" i="25"/>
  <c r="D99" i="25"/>
  <c r="D98" i="25"/>
  <c r="D97" i="25"/>
  <c r="D96" i="25"/>
  <c r="D95" i="25"/>
  <c r="D94" i="25"/>
  <c r="D93" i="25"/>
  <c r="I87" i="25"/>
  <c r="H87" i="25"/>
  <c r="H515" i="25" s="1"/>
  <c r="G87" i="25"/>
  <c r="F87" i="25"/>
  <c r="E87" i="25"/>
  <c r="E515" i="25" s="1"/>
  <c r="D86" i="25"/>
  <c r="C86" i="25"/>
  <c r="C87" i="25" s="1"/>
  <c r="J20" i="25"/>
  <c r="E160" i="24"/>
  <c r="F160" i="24"/>
  <c r="G160" i="24"/>
  <c r="H160" i="24"/>
  <c r="E159" i="24"/>
  <c r="F159" i="24"/>
  <c r="G159" i="24"/>
  <c r="H159" i="24"/>
  <c r="E158" i="24"/>
  <c r="F158" i="24"/>
  <c r="G158" i="24"/>
  <c r="H158" i="24"/>
  <c r="E157" i="24"/>
  <c r="F157" i="24"/>
  <c r="G157" i="24"/>
  <c r="H157" i="24"/>
  <c r="E156" i="24"/>
  <c r="F156" i="24"/>
  <c r="G156" i="24"/>
  <c r="H156" i="24"/>
  <c r="E155" i="24"/>
  <c r="F155" i="24"/>
  <c r="G155" i="24"/>
  <c r="H155" i="24"/>
  <c r="E154" i="24"/>
  <c r="F154" i="24"/>
  <c r="G154" i="24"/>
  <c r="H154" i="24"/>
  <c r="E153" i="24"/>
  <c r="F153" i="24"/>
  <c r="G153" i="24"/>
  <c r="H153" i="24"/>
  <c r="E165" i="24"/>
  <c r="F165" i="24"/>
  <c r="G165" i="24"/>
  <c r="H165" i="24"/>
  <c r="E164" i="24"/>
  <c r="F164" i="24"/>
  <c r="G164" i="24"/>
  <c r="E163" i="24"/>
  <c r="F163" i="24"/>
  <c r="G163" i="24"/>
  <c r="H163" i="24"/>
  <c r="E162" i="24"/>
  <c r="F162" i="24"/>
  <c r="G162" i="24"/>
  <c r="H162" i="24"/>
  <c r="E161" i="24"/>
  <c r="F161" i="24"/>
  <c r="G161" i="24"/>
  <c r="H161" i="24"/>
  <c r="C164" i="24"/>
  <c r="C256" i="23"/>
  <c r="H197" i="23"/>
  <c r="H195" i="25" s="1"/>
  <c r="E28" i="24"/>
  <c r="F28" i="24"/>
  <c r="G28" i="24"/>
  <c r="H28" i="24"/>
  <c r="E27" i="24"/>
  <c r="F27" i="24"/>
  <c r="G27" i="24"/>
  <c r="H27" i="24"/>
  <c r="E26" i="24"/>
  <c r="F26" i="24"/>
  <c r="G26" i="24"/>
  <c r="H26" i="24"/>
  <c r="E25" i="24"/>
  <c r="F25" i="24"/>
  <c r="G25" i="24"/>
  <c r="H25" i="24"/>
  <c r="E24" i="24"/>
  <c r="F24" i="24"/>
  <c r="G24" i="24"/>
  <c r="H24" i="24"/>
  <c r="E23" i="24"/>
  <c r="F23" i="24"/>
  <c r="G23" i="24"/>
  <c r="H23" i="24"/>
  <c r="I23" i="24"/>
  <c r="E22" i="24"/>
  <c r="F22" i="24"/>
  <c r="G22" i="24"/>
  <c r="H22" i="24"/>
  <c r="I22" i="24"/>
  <c r="E21" i="24"/>
  <c r="F21" i="24"/>
  <c r="G21" i="24"/>
  <c r="H21" i="24"/>
  <c r="I21" i="24"/>
  <c r="E20" i="24"/>
  <c r="F20" i="24"/>
  <c r="G20" i="24"/>
  <c r="H20" i="24"/>
  <c r="I20" i="24"/>
  <c r="E19" i="24"/>
  <c r="F19" i="24"/>
  <c r="G19" i="24"/>
  <c r="H19" i="24"/>
  <c r="I19" i="24"/>
  <c r="E18" i="24"/>
  <c r="F18" i="24"/>
  <c r="G18" i="24"/>
  <c r="H18" i="24"/>
  <c r="E17" i="24"/>
  <c r="F17" i="24"/>
  <c r="G17" i="24"/>
  <c r="H17" i="24"/>
  <c r="E16" i="24"/>
  <c r="F16" i="24"/>
  <c r="G16" i="24"/>
  <c r="H16" i="24"/>
  <c r="E15" i="24"/>
  <c r="F15" i="24"/>
  <c r="G15" i="24"/>
  <c r="H15" i="24"/>
  <c r="E14" i="24"/>
  <c r="F14" i="24"/>
  <c r="G14" i="24"/>
  <c r="H14" i="24"/>
  <c r="E13" i="24"/>
  <c r="F13" i="24"/>
  <c r="G13" i="24"/>
  <c r="H13" i="24"/>
  <c r="E12" i="24"/>
  <c r="F12" i="24"/>
  <c r="G12" i="24"/>
  <c r="H12" i="24"/>
  <c r="E11" i="24"/>
  <c r="F11" i="24"/>
  <c r="G11" i="24"/>
  <c r="H11" i="24"/>
  <c r="E10" i="24"/>
  <c r="F10" i="24"/>
  <c r="G10" i="24"/>
  <c r="H10" i="24"/>
  <c r="F428" i="24"/>
  <c r="I310" i="24"/>
  <c r="H310" i="24"/>
  <c r="H441" i="24" s="1"/>
  <c r="G310" i="24"/>
  <c r="F310" i="24"/>
  <c r="E310" i="24"/>
  <c r="I302" i="24"/>
  <c r="H302" i="24"/>
  <c r="H440" i="24" s="1"/>
  <c r="G302" i="24"/>
  <c r="F302" i="24"/>
  <c r="E302" i="24"/>
  <c r="I301" i="24"/>
  <c r="H301" i="24"/>
  <c r="G301" i="24"/>
  <c r="F301" i="24"/>
  <c r="E301" i="24"/>
  <c r="D300" i="24"/>
  <c r="D299" i="24"/>
  <c r="D298" i="24"/>
  <c r="D297" i="24"/>
  <c r="I291" i="24"/>
  <c r="H291" i="24"/>
  <c r="H439" i="24" s="1"/>
  <c r="G291" i="24"/>
  <c r="F291" i="24"/>
  <c r="E291" i="24"/>
  <c r="E439" i="24" s="1"/>
  <c r="I290" i="24"/>
  <c r="H290" i="24"/>
  <c r="G290" i="24"/>
  <c r="F290" i="24"/>
  <c r="E290" i="24"/>
  <c r="D289" i="24"/>
  <c r="L288" i="24"/>
  <c r="L289" i="24" s="1"/>
  <c r="D288" i="24"/>
  <c r="D287" i="24"/>
  <c r="D286" i="24"/>
  <c r="I280" i="24"/>
  <c r="H280" i="24"/>
  <c r="H438" i="24" s="1"/>
  <c r="G280" i="24"/>
  <c r="F280" i="24"/>
  <c r="E280" i="24"/>
  <c r="I279" i="24"/>
  <c r="H279" i="24"/>
  <c r="G279" i="24"/>
  <c r="F279" i="24"/>
  <c r="E279" i="24"/>
  <c r="D278" i="24"/>
  <c r="D277" i="24"/>
  <c r="D276" i="24"/>
  <c r="L275" i="24"/>
  <c r="D275" i="24"/>
  <c r="J274" i="24"/>
  <c r="D274" i="24"/>
  <c r="D273" i="24"/>
  <c r="D272" i="24"/>
  <c r="D271" i="24"/>
  <c r="D270" i="24"/>
  <c r="I264" i="24"/>
  <c r="H264" i="24"/>
  <c r="H437" i="24" s="1"/>
  <c r="G264" i="24"/>
  <c r="F264" i="24"/>
  <c r="E264" i="24"/>
  <c r="E437" i="24" s="1"/>
  <c r="I263" i="24"/>
  <c r="H263" i="24"/>
  <c r="G263" i="24"/>
  <c r="F263" i="24"/>
  <c r="E263" i="24"/>
  <c r="D262" i="24"/>
  <c r="L261" i="24"/>
  <c r="L262" i="24" s="1"/>
  <c r="D261" i="24"/>
  <c r="I255" i="24"/>
  <c r="H255" i="24"/>
  <c r="H436" i="24" s="1"/>
  <c r="G255" i="24"/>
  <c r="F255" i="24"/>
  <c r="F436" i="24" s="1"/>
  <c r="E255" i="24"/>
  <c r="I254" i="24"/>
  <c r="H254" i="24"/>
  <c r="G254" i="24"/>
  <c r="F254" i="24"/>
  <c r="E254" i="24"/>
  <c r="D253" i="24"/>
  <c r="L252" i="24"/>
  <c r="D252" i="24"/>
  <c r="D251" i="24"/>
  <c r="D250" i="24"/>
  <c r="D249" i="24"/>
  <c r="D248" i="24"/>
  <c r="L246" i="24"/>
  <c r="L259" i="24" s="1"/>
  <c r="L268" i="24" s="1"/>
  <c r="L284" i="24" s="1"/>
  <c r="L295" i="24" s="1"/>
  <c r="L306" i="24" s="1"/>
  <c r="I242" i="24"/>
  <c r="H242" i="24"/>
  <c r="H435" i="24" s="1"/>
  <c r="G242" i="24"/>
  <c r="F242" i="24"/>
  <c r="F435" i="24" s="1"/>
  <c r="E242" i="24"/>
  <c r="I241" i="24"/>
  <c r="H241" i="24"/>
  <c r="G241" i="24"/>
  <c r="F241" i="24"/>
  <c r="E241" i="24"/>
  <c r="D240" i="24"/>
  <c r="L239" i="24"/>
  <c r="D239" i="24"/>
  <c r="D238" i="24"/>
  <c r="D237" i="24"/>
  <c r="D236" i="24"/>
  <c r="D235" i="24"/>
  <c r="I229" i="24"/>
  <c r="H229" i="24"/>
  <c r="H434" i="24" s="1"/>
  <c r="G229" i="24"/>
  <c r="F229" i="24"/>
  <c r="F434" i="24" s="1"/>
  <c r="E229" i="24"/>
  <c r="E434" i="24" s="1"/>
  <c r="I228" i="24"/>
  <c r="H228" i="24"/>
  <c r="G228" i="24"/>
  <c r="F228" i="24"/>
  <c r="E228" i="24"/>
  <c r="D227" i="24"/>
  <c r="D226" i="24"/>
  <c r="D225" i="24"/>
  <c r="I219" i="24"/>
  <c r="H219" i="24"/>
  <c r="H433" i="24" s="1"/>
  <c r="E219" i="24"/>
  <c r="E433" i="24" s="1"/>
  <c r="I218" i="24"/>
  <c r="H218" i="24"/>
  <c r="E218" i="24"/>
  <c r="D217" i="24"/>
  <c r="D216" i="24"/>
  <c r="D215" i="24"/>
  <c r="D214" i="24"/>
  <c r="D213" i="24"/>
  <c r="D212" i="24"/>
  <c r="D211" i="24"/>
  <c r="D210" i="24"/>
  <c r="J209" i="24"/>
  <c r="G209" i="24"/>
  <c r="G218" i="24" s="1"/>
  <c r="F209" i="24"/>
  <c r="F218" i="24" s="1"/>
  <c r="D209" i="24"/>
  <c r="I203" i="24"/>
  <c r="H203" i="24"/>
  <c r="H432" i="24" s="1"/>
  <c r="G203" i="24"/>
  <c r="F203" i="24"/>
  <c r="E203" i="24"/>
  <c r="E432" i="24" s="1"/>
  <c r="I202" i="24"/>
  <c r="H202" i="24"/>
  <c r="G202" i="24"/>
  <c r="F202" i="24"/>
  <c r="E202" i="24"/>
  <c r="D201" i="24"/>
  <c r="D200" i="24"/>
  <c r="I194" i="24"/>
  <c r="H194" i="24"/>
  <c r="H431" i="24" s="1"/>
  <c r="G194" i="24"/>
  <c r="F194" i="24"/>
  <c r="E194" i="24"/>
  <c r="E431" i="24" s="1"/>
  <c r="I193" i="24"/>
  <c r="H193" i="24"/>
  <c r="G193" i="24"/>
  <c r="F193" i="24"/>
  <c r="E193" i="24"/>
  <c r="D192" i="24"/>
  <c r="D191" i="24"/>
  <c r="D190" i="24"/>
  <c r="D189" i="24"/>
  <c r="D188" i="24"/>
  <c r="O187" i="24"/>
  <c r="D187" i="24"/>
  <c r="D186" i="24"/>
  <c r="L184" i="24"/>
  <c r="L198" i="24" s="1"/>
  <c r="L207" i="24" s="1"/>
  <c r="I180" i="24"/>
  <c r="H180" i="24"/>
  <c r="H430" i="24" s="1"/>
  <c r="G180" i="24"/>
  <c r="F180" i="24"/>
  <c r="E180" i="24"/>
  <c r="E430" i="24" s="1"/>
  <c r="I179" i="24"/>
  <c r="H179" i="24"/>
  <c r="G179" i="24"/>
  <c r="F179" i="24"/>
  <c r="E179" i="24"/>
  <c r="D178" i="24"/>
  <c r="D177" i="24"/>
  <c r="D176" i="24"/>
  <c r="D175" i="24"/>
  <c r="D174" i="24"/>
  <c r="D173" i="24"/>
  <c r="I167" i="24"/>
  <c r="I166" i="24"/>
  <c r="I145" i="24"/>
  <c r="H145" i="24"/>
  <c r="H427" i="24" s="1"/>
  <c r="G145" i="24"/>
  <c r="F145" i="24"/>
  <c r="E145" i="24"/>
  <c r="D144" i="24"/>
  <c r="D143" i="24"/>
  <c r="I137" i="24"/>
  <c r="H137" i="24"/>
  <c r="H426" i="24" s="1"/>
  <c r="G137" i="24"/>
  <c r="F137" i="24"/>
  <c r="E137" i="24"/>
  <c r="E426" i="24" s="1"/>
  <c r="I136" i="24"/>
  <c r="H136" i="24"/>
  <c r="G136" i="24"/>
  <c r="F136" i="24"/>
  <c r="E136" i="24"/>
  <c r="D135" i="24"/>
  <c r="D134" i="24"/>
  <c r="D133" i="24"/>
  <c r="D132" i="24"/>
  <c r="D131" i="24"/>
  <c r="I125" i="24"/>
  <c r="H125" i="24"/>
  <c r="H425" i="24" s="1"/>
  <c r="G125" i="24"/>
  <c r="F125" i="24"/>
  <c r="E125" i="24"/>
  <c r="E425" i="24" s="1"/>
  <c r="I124" i="24"/>
  <c r="H124" i="24"/>
  <c r="G124" i="24"/>
  <c r="F124" i="24"/>
  <c r="E124" i="24"/>
  <c r="D123" i="24"/>
  <c r="D122" i="24"/>
  <c r="D121" i="24"/>
  <c r="D120" i="24"/>
  <c r="D119" i="24"/>
  <c r="D118" i="24"/>
  <c r="D117" i="24"/>
  <c r="D116" i="24"/>
  <c r="D115" i="24"/>
  <c r="D114" i="24"/>
  <c r="D113" i="24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D100" i="24"/>
  <c r="D99" i="24"/>
  <c r="D98" i="24"/>
  <c r="D97" i="24"/>
  <c r="I91" i="24"/>
  <c r="H91" i="24"/>
  <c r="H424" i="24" s="1"/>
  <c r="G91" i="24"/>
  <c r="F91" i="24"/>
  <c r="E91" i="24"/>
  <c r="E424" i="24" s="1"/>
  <c r="H90" i="24"/>
  <c r="G90" i="24"/>
  <c r="F90" i="24"/>
  <c r="E90" i="24"/>
  <c r="D89" i="24"/>
  <c r="C89" i="24"/>
  <c r="D88" i="24"/>
  <c r="D87" i="24"/>
  <c r="D86" i="24"/>
  <c r="D85" i="24"/>
  <c r="D84" i="24"/>
  <c r="D83" i="24"/>
  <c r="I77" i="24"/>
  <c r="H77" i="24"/>
  <c r="H423" i="24" s="1"/>
  <c r="G77" i="24"/>
  <c r="F77" i="24"/>
  <c r="E77" i="24"/>
  <c r="E423" i="24" s="1"/>
  <c r="D76" i="24"/>
  <c r="I70" i="24"/>
  <c r="H70" i="24"/>
  <c r="H422" i="24" s="1"/>
  <c r="G70" i="24"/>
  <c r="F70" i="24"/>
  <c r="E70" i="24"/>
  <c r="E422" i="24" s="1"/>
  <c r="H69" i="24"/>
  <c r="G69" i="24"/>
  <c r="F69" i="24"/>
  <c r="E69" i="24"/>
  <c r="D68" i="24"/>
  <c r="D67" i="24"/>
  <c r="D66" i="24"/>
  <c r="D65" i="24"/>
  <c r="D64" i="24"/>
  <c r="D63" i="24"/>
  <c r="I58" i="24"/>
  <c r="H58" i="24"/>
  <c r="H421" i="24" s="1"/>
  <c r="G58" i="24"/>
  <c r="F58" i="24"/>
  <c r="E58" i="24"/>
  <c r="E421" i="24" s="1"/>
  <c r="I57" i="24"/>
  <c r="H57" i="24"/>
  <c r="G57" i="24"/>
  <c r="F57" i="24"/>
  <c r="E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N36" i="24"/>
  <c r="D36" i="24"/>
  <c r="J21" i="24"/>
  <c r="J14" i="24"/>
  <c r="J256" i="23"/>
  <c r="H26" i="23"/>
  <c r="H24" i="25" s="1"/>
  <c r="C216" i="17"/>
  <c r="D216" i="17"/>
  <c r="H65" i="23"/>
  <c r="H63" i="25" s="1"/>
  <c r="H258" i="23"/>
  <c r="H256" i="25" s="1"/>
  <c r="C53" i="23"/>
  <c r="C51" i="25" s="1"/>
  <c r="C54" i="23"/>
  <c r="C52" i="25" s="1"/>
  <c r="C62" i="23"/>
  <c r="C60" i="25" s="1"/>
  <c r="C63" i="23"/>
  <c r="C61" i="25" s="1"/>
  <c r="C66" i="23"/>
  <c r="C64" i="25" s="1"/>
  <c r="C95" i="23"/>
  <c r="C93" i="25" s="1"/>
  <c r="C121" i="23"/>
  <c r="C119" i="25" s="1"/>
  <c r="C122" i="23"/>
  <c r="C120" i="25" s="1"/>
  <c r="C134" i="23"/>
  <c r="C132" i="25" s="1"/>
  <c r="C135" i="23"/>
  <c r="C133" i="25" s="1"/>
  <c r="C141" i="23"/>
  <c r="C139" i="25" s="1"/>
  <c r="C269" i="23"/>
  <c r="C271" i="23"/>
  <c r="C272" i="23"/>
  <c r="C274" i="23"/>
  <c r="C289" i="23"/>
  <c r="C294" i="23"/>
  <c r="C302" i="23"/>
  <c r="C308" i="23"/>
  <c r="C310" i="23"/>
  <c r="C309" i="23"/>
  <c r="C335" i="23"/>
  <c r="C340" i="23"/>
  <c r="C349" i="23"/>
  <c r="C353" i="23"/>
  <c r="C350" i="23"/>
  <c r="C253" i="23"/>
  <c r="C251" i="25" s="1"/>
  <c r="C254" i="23"/>
  <c r="C252" i="25" s="1"/>
  <c r="H28" i="23"/>
  <c r="H26" i="25" s="1"/>
  <c r="H33" i="23"/>
  <c r="H31" i="25" s="1"/>
  <c r="H25" i="23"/>
  <c r="H23" i="25" s="1"/>
  <c r="C431" i="24" l="1"/>
  <c r="H66" i="25"/>
  <c r="I198" i="25"/>
  <c r="I261" i="25"/>
  <c r="I30" i="24"/>
  <c r="C287" i="26"/>
  <c r="I260" i="25"/>
  <c r="I29" i="24"/>
  <c r="H197" i="25"/>
  <c r="F198" i="25"/>
  <c r="F521" i="25" s="1"/>
  <c r="F534" i="25" s="1"/>
  <c r="F535" i="25" s="1"/>
  <c r="C251" i="26"/>
  <c r="F459" i="26"/>
  <c r="F460" i="26" s="1"/>
  <c r="C311" i="25"/>
  <c r="C302" i="24"/>
  <c r="C457" i="26"/>
  <c r="D320" i="25"/>
  <c r="D239" i="25"/>
  <c r="D226" i="26"/>
  <c r="D278" i="25"/>
  <c r="D177" i="26"/>
  <c r="D228" i="24"/>
  <c r="H164" i="24"/>
  <c r="H167" i="24" s="1"/>
  <c r="H429" i="24" s="1"/>
  <c r="H442" i="24" s="1"/>
  <c r="C91" i="24"/>
  <c r="D145" i="24"/>
  <c r="D202" i="24"/>
  <c r="F219" i="24"/>
  <c r="H256" i="23"/>
  <c r="H254" i="25" s="1"/>
  <c r="C254" i="25"/>
  <c r="C213" i="26" s="1"/>
  <c r="F166" i="24"/>
  <c r="H69" i="26"/>
  <c r="H439" i="26" s="1"/>
  <c r="H445" i="26" s="1"/>
  <c r="H68" i="26"/>
  <c r="E80" i="25"/>
  <c r="E514" i="25" s="1"/>
  <c r="C305" i="26"/>
  <c r="C307" i="26" s="1"/>
  <c r="C532" i="25"/>
  <c r="C448" i="26"/>
  <c r="E64" i="26"/>
  <c r="E68" i="26" s="1"/>
  <c r="D163" i="25"/>
  <c r="C240" i="25"/>
  <c r="R342" i="25"/>
  <c r="D200" i="26"/>
  <c r="D260" i="26"/>
  <c r="C224" i="25"/>
  <c r="C188" i="26" s="1"/>
  <c r="C192" i="26" s="1"/>
  <c r="C226" i="26"/>
  <c r="D124" i="24"/>
  <c r="D164" i="26"/>
  <c r="D191" i="26"/>
  <c r="D238" i="26"/>
  <c r="C216" i="26"/>
  <c r="D287" i="26"/>
  <c r="D134" i="26"/>
  <c r="E165" i="27"/>
  <c r="D106" i="27"/>
  <c r="D221" i="27"/>
  <c r="D32" i="27"/>
  <c r="D211" i="27"/>
  <c r="D87" i="27"/>
  <c r="M223" i="27"/>
  <c r="D41" i="27"/>
  <c r="J30" i="27"/>
  <c r="J138" i="27"/>
  <c r="F165" i="27"/>
  <c r="M233" i="27" s="1"/>
  <c r="J169" i="27"/>
  <c r="D27" i="27"/>
  <c r="D66" i="27"/>
  <c r="D95" i="27"/>
  <c r="E95" i="27"/>
  <c r="D100" i="27"/>
  <c r="D152" i="27"/>
  <c r="J151" i="27"/>
  <c r="H165" i="27"/>
  <c r="D201" i="27"/>
  <c r="J209" i="27"/>
  <c r="N233" i="27"/>
  <c r="E41" i="27"/>
  <c r="D116" i="27"/>
  <c r="D135" i="27"/>
  <c r="D142" i="27"/>
  <c r="D165" i="27"/>
  <c r="J157" i="27"/>
  <c r="J163" i="27"/>
  <c r="D172" i="27"/>
  <c r="D182" i="27"/>
  <c r="H66" i="27"/>
  <c r="E87" i="27"/>
  <c r="H172" i="27"/>
  <c r="E201" i="27"/>
  <c r="H32" i="27"/>
  <c r="E27" i="27"/>
  <c r="E66" i="27"/>
  <c r="J155" i="27"/>
  <c r="J179" i="27"/>
  <c r="M222" i="27"/>
  <c r="R341" i="25"/>
  <c r="C238" i="26"/>
  <c r="C134" i="26"/>
  <c r="F68" i="26"/>
  <c r="F69" i="26"/>
  <c r="F145" i="26" s="1"/>
  <c r="G69" i="26"/>
  <c r="G145" i="26" s="1"/>
  <c r="G68" i="26"/>
  <c r="D29" i="26"/>
  <c r="D57" i="26"/>
  <c r="C89" i="26"/>
  <c r="C135" i="26"/>
  <c r="D216" i="26"/>
  <c r="C239" i="26"/>
  <c r="D251" i="26"/>
  <c r="C252" i="26"/>
  <c r="C276" i="26"/>
  <c r="C277" i="26"/>
  <c r="D288" i="26"/>
  <c r="C298" i="26"/>
  <c r="E441" i="26"/>
  <c r="C441" i="26" s="1"/>
  <c r="E455" i="26"/>
  <c r="C455" i="26" s="1"/>
  <c r="D88" i="26"/>
  <c r="C143" i="26"/>
  <c r="I145" i="26"/>
  <c r="C201" i="26"/>
  <c r="D276" i="26"/>
  <c r="D298" i="26"/>
  <c r="D299" i="26"/>
  <c r="E309" i="26"/>
  <c r="I309" i="26"/>
  <c r="C456" i="26"/>
  <c r="C438" i="26"/>
  <c r="D122" i="26"/>
  <c r="D143" i="26"/>
  <c r="C177" i="26"/>
  <c r="C449" i="26"/>
  <c r="C450" i="26"/>
  <c r="C261" i="26"/>
  <c r="C288" i="26"/>
  <c r="C104" i="25"/>
  <c r="C213" i="25"/>
  <c r="D340" i="25"/>
  <c r="C143" i="25"/>
  <c r="C172" i="25"/>
  <c r="D355" i="25"/>
  <c r="I80" i="25"/>
  <c r="E79" i="25"/>
  <c r="F197" i="25"/>
  <c r="D103" i="25"/>
  <c r="C523" i="25"/>
  <c r="C279" i="25"/>
  <c r="D311" i="25"/>
  <c r="H32" i="25"/>
  <c r="C437" i="26"/>
  <c r="C440" i="26"/>
  <c r="C447" i="26"/>
  <c r="C442" i="26"/>
  <c r="C451" i="26"/>
  <c r="C446" i="26"/>
  <c r="C452" i="26"/>
  <c r="C123" i="26"/>
  <c r="C200" i="26"/>
  <c r="F217" i="26"/>
  <c r="F309" i="26" s="1"/>
  <c r="C58" i="26"/>
  <c r="H145" i="26"/>
  <c r="C178" i="26"/>
  <c r="G217" i="26"/>
  <c r="G309" i="26" s="1"/>
  <c r="C227" i="26"/>
  <c r="E444" i="26"/>
  <c r="C444" i="26" s="1"/>
  <c r="E453" i="26"/>
  <c r="C453" i="26" s="1"/>
  <c r="E458" i="26"/>
  <c r="C458" i="26" s="1"/>
  <c r="C165" i="26"/>
  <c r="C30" i="26"/>
  <c r="H309" i="26"/>
  <c r="E443" i="26"/>
  <c r="C443" i="26" s="1"/>
  <c r="H454" i="26"/>
  <c r="C454" i="26" s="1"/>
  <c r="C299" i="26"/>
  <c r="H198" i="25"/>
  <c r="H521" i="25" s="1"/>
  <c r="I197" i="25"/>
  <c r="E198" i="25"/>
  <c r="G198" i="25"/>
  <c r="E197" i="25"/>
  <c r="G197" i="25"/>
  <c r="H79" i="25"/>
  <c r="F79" i="25"/>
  <c r="C293" i="25"/>
  <c r="C294" i="25"/>
  <c r="C321" i="25"/>
  <c r="C340" i="25"/>
  <c r="C341" i="25"/>
  <c r="C355" i="25"/>
  <c r="I67" i="25"/>
  <c r="E67" i="25"/>
  <c r="E513" i="25" s="1"/>
  <c r="F67" i="25"/>
  <c r="H80" i="25"/>
  <c r="H514" i="25" s="1"/>
  <c r="D142" i="25"/>
  <c r="D172" i="25"/>
  <c r="C212" i="25"/>
  <c r="H227" i="25"/>
  <c r="D293" i="25"/>
  <c r="C320" i="25"/>
  <c r="C260" i="26" s="1"/>
  <c r="C366" i="25"/>
  <c r="I377" i="25"/>
  <c r="C524" i="25"/>
  <c r="F66" i="25"/>
  <c r="C163" i="25"/>
  <c r="D212" i="25"/>
  <c r="D227" i="25"/>
  <c r="C239" i="25"/>
  <c r="C278" i="25"/>
  <c r="C527" i="25"/>
  <c r="D367" i="25"/>
  <c r="E66" i="25"/>
  <c r="C58" i="24"/>
  <c r="D69" i="24"/>
  <c r="D241" i="24"/>
  <c r="C439" i="24"/>
  <c r="H166" i="24"/>
  <c r="F167" i="24"/>
  <c r="F429" i="24" s="1"/>
  <c r="F442" i="24" s="1"/>
  <c r="F443" i="24" s="1"/>
  <c r="D301" i="24"/>
  <c r="H29" i="24"/>
  <c r="D290" i="24"/>
  <c r="F80" i="25"/>
  <c r="G80" i="25"/>
  <c r="G79" i="25"/>
  <c r="H67" i="25"/>
  <c r="H513" i="25" s="1"/>
  <c r="I66" i="25"/>
  <c r="G67" i="25"/>
  <c r="G66" i="25"/>
  <c r="H33" i="25"/>
  <c r="H512" i="25" s="1"/>
  <c r="F33" i="25"/>
  <c r="I33" i="25"/>
  <c r="I32" i="25"/>
  <c r="E32" i="25"/>
  <c r="E33" i="25"/>
  <c r="E512" i="25" s="1"/>
  <c r="G32" i="25"/>
  <c r="F32" i="25"/>
  <c r="G33" i="25"/>
  <c r="G512" i="25" s="1"/>
  <c r="G520" i="25" s="1"/>
  <c r="G535" i="25" s="1"/>
  <c r="C518" i="25"/>
  <c r="C522" i="25"/>
  <c r="C528" i="25"/>
  <c r="C519" i="25"/>
  <c r="C531" i="25"/>
  <c r="C515" i="25"/>
  <c r="C529" i="25"/>
  <c r="D356" i="25"/>
  <c r="D366" i="25"/>
  <c r="E516" i="25"/>
  <c r="C516" i="25" s="1"/>
  <c r="H517" i="25"/>
  <c r="C517" i="25" s="1"/>
  <c r="E530" i="25"/>
  <c r="C530" i="25" s="1"/>
  <c r="E526" i="25"/>
  <c r="C526" i="25" s="1"/>
  <c r="E533" i="25"/>
  <c r="C533" i="25" s="1"/>
  <c r="C164" i="25"/>
  <c r="L300" i="25"/>
  <c r="C312" i="25"/>
  <c r="C367" i="25"/>
  <c r="C356" i="25"/>
  <c r="D136" i="24"/>
  <c r="D254" i="24"/>
  <c r="D263" i="24"/>
  <c r="D279" i="24"/>
  <c r="C280" i="24"/>
  <c r="C291" i="24"/>
  <c r="N303" i="24"/>
  <c r="C432" i="24"/>
  <c r="D57" i="24"/>
  <c r="O16" i="24"/>
  <c r="D179" i="24"/>
  <c r="D218" i="24"/>
  <c r="C434" i="24"/>
  <c r="C242" i="24"/>
  <c r="H30" i="24"/>
  <c r="H420" i="24" s="1"/>
  <c r="H428" i="24" s="1"/>
  <c r="C425" i="24"/>
  <c r="I312" i="24"/>
  <c r="C421" i="24"/>
  <c r="D90" i="24"/>
  <c r="C137" i="24"/>
  <c r="D193" i="24"/>
  <c r="C433" i="24"/>
  <c r="C255" i="24"/>
  <c r="E30" i="24"/>
  <c r="E420" i="24" s="1"/>
  <c r="E166" i="24"/>
  <c r="E167" i="24"/>
  <c r="E429" i="24" s="1"/>
  <c r="G166" i="24"/>
  <c r="G167" i="24"/>
  <c r="E29" i="24"/>
  <c r="F29" i="24"/>
  <c r="I147" i="24"/>
  <c r="F30" i="24"/>
  <c r="G30" i="24"/>
  <c r="G420" i="24" s="1"/>
  <c r="G428" i="24" s="1"/>
  <c r="G443" i="24" s="1"/>
  <c r="G29" i="24"/>
  <c r="C430" i="24"/>
  <c r="C437" i="24"/>
  <c r="C422" i="24"/>
  <c r="C423" i="24"/>
  <c r="C426" i="24"/>
  <c r="C424" i="24"/>
  <c r="C70" i="24"/>
  <c r="E438" i="24"/>
  <c r="C438" i="24" s="1"/>
  <c r="C125" i="24"/>
  <c r="G219" i="24"/>
  <c r="C229" i="24"/>
  <c r="N242" i="24"/>
  <c r="N255" i="24"/>
  <c r="N280" i="24"/>
  <c r="D291" i="24"/>
  <c r="D302" i="24"/>
  <c r="E427" i="24"/>
  <c r="C427" i="24" s="1"/>
  <c r="E435" i="24"/>
  <c r="C435" i="24" s="1"/>
  <c r="E436" i="24"/>
  <c r="C436" i="24" s="1"/>
  <c r="E441" i="24"/>
  <c r="C441" i="24" s="1"/>
  <c r="C264" i="24"/>
  <c r="E440" i="24"/>
  <c r="C440" i="24" s="1"/>
  <c r="N291" i="24"/>
  <c r="F527" i="23"/>
  <c r="I398" i="23"/>
  <c r="E398" i="23"/>
  <c r="D393" i="23"/>
  <c r="F390" i="23"/>
  <c r="I377" i="23"/>
  <c r="H377" i="23"/>
  <c r="H540" i="23" s="1"/>
  <c r="G377" i="23"/>
  <c r="F377" i="23"/>
  <c r="E377" i="23"/>
  <c r="C375" i="23"/>
  <c r="C308" i="24" s="1"/>
  <c r="I369" i="23"/>
  <c r="H369" i="23"/>
  <c r="H539" i="23" s="1"/>
  <c r="G369" i="23"/>
  <c r="F369" i="23"/>
  <c r="E369" i="23"/>
  <c r="E539" i="23" s="1"/>
  <c r="I368" i="23"/>
  <c r="H368" i="23"/>
  <c r="G368" i="23"/>
  <c r="F368" i="23"/>
  <c r="E368" i="23"/>
  <c r="D367" i="23"/>
  <c r="C367" i="23"/>
  <c r="C300" i="24" s="1"/>
  <c r="D366" i="23"/>
  <c r="C366" i="23"/>
  <c r="C299" i="24" s="1"/>
  <c r="D365" i="23"/>
  <c r="C365" i="23"/>
  <c r="C298" i="24" s="1"/>
  <c r="D364" i="23"/>
  <c r="C364" i="23"/>
  <c r="I358" i="23"/>
  <c r="H358" i="23"/>
  <c r="H538" i="23" s="1"/>
  <c r="G358" i="23"/>
  <c r="F358" i="23"/>
  <c r="E358" i="23"/>
  <c r="E538" i="23" s="1"/>
  <c r="I357" i="23"/>
  <c r="H357" i="23"/>
  <c r="G357" i="23"/>
  <c r="F357" i="23"/>
  <c r="E357" i="23"/>
  <c r="D356" i="23"/>
  <c r="C356" i="23"/>
  <c r="D355" i="23"/>
  <c r="C355" i="23"/>
  <c r="C289" i="24" s="1"/>
  <c r="D354" i="23"/>
  <c r="C354" i="23"/>
  <c r="C288" i="24" s="1"/>
  <c r="D353" i="23"/>
  <c r="D352" i="23"/>
  <c r="C352" i="23"/>
  <c r="C287" i="24" s="1"/>
  <c r="D351" i="23"/>
  <c r="C351" i="23"/>
  <c r="C286" i="24" s="1"/>
  <c r="J350" i="23"/>
  <c r="D350" i="23"/>
  <c r="J349" i="23"/>
  <c r="D349" i="23"/>
  <c r="I343" i="23"/>
  <c r="H343" i="23"/>
  <c r="H537" i="23" s="1"/>
  <c r="G343" i="23"/>
  <c r="F343" i="23"/>
  <c r="E343" i="23"/>
  <c r="I342" i="23"/>
  <c r="H342" i="23"/>
  <c r="G342" i="23"/>
  <c r="F342" i="23"/>
  <c r="E342" i="23"/>
  <c r="D341" i="23"/>
  <c r="C341" i="23"/>
  <c r="C278" i="24" s="1"/>
  <c r="D340" i="23"/>
  <c r="D339" i="23"/>
  <c r="C339" i="23"/>
  <c r="C277" i="24" s="1"/>
  <c r="D338" i="23"/>
  <c r="C338" i="23"/>
  <c r="C276" i="24" s="1"/>
  <c r="D337" i="23"/>
  <c r="C337" i="23"/>
  <c r="C275" i="24" s="1"/>
  <c r="D336" i="23"/>
  <c r="C336" i="23"/>
  <c r="D335" i="23"/>
  <c r="J334" i="23"/>
  <c r="D334" i="23"/>
  <c r="C334" i="23"/>
  <c r="D333" i="23"/>
  <c r="C333" i="23"/>
  <c r="C273" i="24" s="1"/>
  <c r="D332" i="23"/>
  <c r="C332" i="23"/>
  <c r="C272" i="24" s="1"/>
  <c r="D331" i="23"/>
  <c r="C331" i="23"/>
  <c r="C271" i="24" s="1"/>
  <c r="D330" i="23"/>
  <c r="C330" i="23"/>
  <c r="D329" i="23"/>
  <c r="C329" i="23"/>
  <c r="C270" i="24" s="1"/>
  <c r="I323" i="23"/>
  <c r="H323" i="23"/>
  <c r="H536" i="23" s="1"/>
  <c r="G323" i="23"/>
  <c r="F323" i="23"/>
  <c r="E323" i="23"/>
  <c r="E536" i="23" s="1"/>
  <c r="I322" i="23"/>
  <c r="H322" i="23"/>
  <c r="G322" i="23"/>
  <c r="F322" i="23"/>
  <c r="E322" i="23"/>
  <c r="D321" i="23"/>
  <c r="C321" i="23"/>
  <c r="C262" i="24" s="1"/>
  <c r="D320" i="23"/>
  <c r="C320" i="23"/>
  <c r="I314" i="23"/>
  <c r="H314" i="23"/>
  <c r="H535" i="23" s="1"/>
  <c r="G314" i="23"/>
  <c r="F314" i="23"/>
  <c r="F535" i="23" s="1"/>
  <c r="E314" i="23"/>
  <c r="E535" i="23" s="1"/>
  <c r="I313" i="23"/>
  <c r="H313" i="23"/>
  <c r="G313" i="23"/>
  <c r="F313" i="23"/>
  <c r="E313" i="23"/>
  <c r="D312" i="23"/>
  <c r="C312" i="23"/>
  <c r="C253" i="24" s="1"/>
  <c r="D311" i="23"/>
  <c r="C311" i="23"/>
  <c r="D310" i="23"/>
  <c r="D309" i="23"/>
  <c r="D308" i="23"/>
  <c r="D307" i="23"/>
  <c r="C307" i="23"/>
  <c r="D306" i="23"/>
  <c r="C306" i="23"/>
  <c r="C251" i="24" s="1"/>
  <c r="D305" i="23"/>
  <c r="C305" i="23"/>
  <c r="C250" i="24" s="1"/>
  <c r="D304" i="23"/>
  <c r="C304" i="23"/>
  <c r="C249" i="24" s="1"/>
  <c r="D303" i="23"/>
  <c r="C303" i="23"/>
  <c r="C248" i="24" s="1"/>
  <c r="D302" i="23"/>
  <c r="L300" i="23"/>
  <c r="L318" i="23" s="1"/>
  <c r="L327" i="23" s="1"/>
  <c r="L347" i="23" s="1"/>
  <c r="L362" i="23" s="1"/>
  <c r="L373" i="23" s="1"/>
  <c r="I296" i="23"/>
  <c r="H296" i="23"/>
  <c r="H534" i="23" s="1"/>
  <c r="G296" i="23"/>
  <c r="F296" i="23"/>
  <c r="E296" i="23"/>
  <c r="I295" i="23"/>
  <c r="H295" i="23"/>
  <c r="G295" i="23"/>
  <c r="F295" i="23"/>
  <c r="E295" i="23"/>
  <c r="D294" i="23"/>
  <c r="D293" i="23"/>
  <c r="C293" i="23"/>
  <c r="C240" i="24" s="1"/>
  <c r="L292" i="23"/>
  <c r="L307" i="23" s="1"/>
  <c r="D292" i="23"/>
  <c r="C292" i="23"/>
  <c r="C239" i="24" s="1"/>
  <c r="D291" i="23"/>
  <c r="C291" i="23"/>
  <c r="C238" i="24" s="1"/>
  <c r="D290" i="23"/>
  <c r="C290" i="23"/>
  <c r="C237" i="24" s="1"/>
  <c r="D289" i="23"/>
  <c r="D288" i="23"/>
  <c r="C288" i="23"/>
  <c r="D287" i="23"/>
  <c r="C287" i="23"/>
  <c r="C235" i="24" s="1"/>
  <c r="I281" i="23"/>
  <c r="H281" i="23"/>
  <c r="H533" i="23" s="1"/>
  <c r="G281" i="23"/>
  <c r="F281" i="23"/>
  <c r="F533" i="23" s="1"/>
  <c r="E281" i="23"/>
  <c r="E533" i="23" s="1"/>
  <c r="I280" i="23"/>
  <c r="H280" i="23"/>
  <c r="G280" i="23"/>
  <c r="F280" i="23"/>
  <c r="E280" i="23"/>
  <c r="D279" i="23"/>
  <c r="C279" i="23"/>
  <c r="D278" i="23"/>
  <c r="C278" i="23"/>
  <c r="D277" i="23"/>
  <c r="C277" i="23"/>
  <c r="D276" i="23"/>
  <c r="C276" i="23"/>
  <c r="C227" i="24" s="1"/>
  <c r="D275" i="23"/>
  <c r="C275" i="23"/>
  <c r="C226" i="24" s="1"/>
  <c r="D274" i="23"/>
  <c r="D273" i="23"/>
  <c r="C273" i="23"/>
  <c r="D272" i="23"/>
  <c r="D271" i="23"/>
  <c r="D270" i="23"/>
  <c r="C270" i="23"/>
  <c r="C225" i="24" s="1"/>
  <c r="D269" i="23"/>
  <c r="I263" i="23"/>
  <c r="I262" i="23"/>
  <c r="D261" i="23"/>
  <c r="D259" i="25" s="1"/>
  <c r="C261" i="23"/>
  <c r="D260" i="23"/>
  <c r="D258" i="25" s="1"/>
  <c r="C260" i="23"/>
  <c r="J259" i="23"/>
  <c r="H259" i="23"/>
  <c r="F259" i="23"/>
  <c r="F257" i="25" s="1"/>
  <c r="E259" i="23"/>
  <c r="D259" i="23"/>
  <c r="D257" i="25" s="1"/>
  <c r="D258" i="23"/>
  <c r="D256" i="25" s="1"/>
  <c r="D257" i="23"/>
  <c r="D255" i="25" s="1"/>
  <c r="C257" i="23"/>
  <c r="D256" i="23"/>
  <c r="D254" i="25" s="1"/>
  <c r="D255" i="23"/>
  <c r="D253" i="25" s="1"/>
  <c r="C255" i="23"/>
  <c r="D254" i="23"/>
  <c r="D252" i="25" s="1"/>
  <c r="D253" i="23"/>
  <c r="D251" i="25" s="1"/>
  <c r="D252" i="23"/>
  <c r="D250" i="25" s="1"/>
  <c r="C252" i="23"/>
  <c r="D251" i="23"/>
  <c r="D249" i="25" s="1"/>
  <c r="C251" i="23"/>
  <c r="D250" i="23"/>
  <c r="D248" i="25" s="1"/>
  <c r="C250" i="23"/>
  <c r="D249" i="23"/>
  <c r="D247" i="25" s="1"/>
  <c r="C249" i="23"/>
  <c r="J248" i="23"/>
  <c r="G248" i="23"/>
  <c r="F248" i="23"/>
  <c r="D248" i="23"/>
  <c r="I242" i="23"/>
  <c r="H242" i="23"/>
  <c r="H531" i="23" s="1"/>
  <c r="G242" i="23"/>
  <c r="F242" i="23"/>
  <c r="E242" i="23"/>
  <c r="E531" i="23" s="1"/>
  <c r="I241" i="23"/>
  <c r="H241" i="23"/>
  <c r="G241" i="23"/>
  <c r="F241" i="23"/>
  <c r="E241" i="23"/>
  <c r="D240" i="23"/>
  <c r="C240" i="23"/>
  <c r="D239" i="23"/>
  <c r="C239" i="23"/>
  <c r="C201" i="24" s="1"/>
  <c r="D238" i="23"/>
  <c r="C238" i="23"/>
  <c r="D237" i="23"/>
  <c r="C237" i="23"/>
  <c r="C200" i="24" s="1"/>
  <c r="D236" i="23"/>
  <c r="C236" i="23"/>
  <c r="I230" i="23"/>
  <c r="H230" i="23"/>
  <c r="H530" i="23" s="1"/>
  <c r="G230" i="23"/>
  <c r="F230" i="23"/>
  <c r="E230" i="23"/>
  <c r="E530" i="23" s="1"/>
  <c r="I229" i="23"/>
  <c r="H229" i="23"/>
  <c r="G229" i="23"/>
  <c r="F229" i="23"/>
  <c r="E229" i="23"/>
  <c r="D228" i="23"/>
  <c r="C228" i="23"/>
  <c r="C192" i="24" s="1"/>
  <c r="D227" i="23"/>
  <c r="C227" i="23"/>
  <c r="C191" i="24" s="1"/>
  <c r="D226" i="23"/>
  <c r="C226" i="23"/>
  <c r="C190" i="24" s="1"/>
  <c r="D225" i="23"/>
  <c r="C225" i="23"/>
  <c r="D224" i="23"/>
  <c r="C224" i="23"/>
  <c r="C189" i="24" s="1"/>
  <c r="D223" i="23"/>
  <c r="C223" i="23"/>
  <c r="C188" i="24" s="1"/>
  <c r="O222" i="23"/>
  <c r="D222" i="23"/>
  <c r="C222" i="23"/>
  <c r="C187" i="24" s="1"/>
  <c r="D221" i="23"/>
  <c r="C221" i="23"/>
  <c r="L219" i="23"/>
  <c r="L234" i="23" s="1"/>
  <c r="L246" i="23" s="1"/>
  <c r="I215" i="23"/>
  <c r="H215" i="23"/>
  <c r="H529" i="23" s="1"/>
  <c r="G215" i="23"/>
  <c r="F215" i="23"/>
  <c r="E215" i="23"/>
  <c r="E529" i="23" s="1"/>
  <c r="I214" i="23"/>
  <c r="H214" i="23"/>
  <c r="G214" i="23"/>
  <c r="F214" i="23"/>
  <c r="E214" i="23"/>
  <c r="D213" i="23"/>
  <c r="C213" i="23"/>
  <c r="C178" i="24" s="1"/>
  <c r="D212" i="23"/>
  <c r="C212" i="23"/>
  <c r="C177" i="24" s="1"/>
  <c r="D211" i="23"/>
  <c r="C211" i="23"/>
  <c r="D210" i="23"/>
  <c r="C210" i="23"/>
  <c r="C176" i="24" s="1"/>
  <c r="D209" i="23"/>
  <c r="C209" i="23"/>
  <c r="C175" i="24" s="1"/>
  <c r="D208" i="23"/>
  <c r="C208" i="23"/>
  <c r="D207" i="23"/>
  <c r="C207" i="23"/>
  <c r="D206" i="23"/>
  <c r="C206" i="23"/>
  <c r="I200" i="23"/>
  <c r="G200" i="23"/>
  <c r="F200" i="23"/>
  <c r="F528" i="23" s="1"/>
  <c r="E200" i="23"/>
  <c r="E528" i="23" s="1"/>
  <c r="I199" i="23"/>
  <c r="G199" i="23"/>
  <c r="F199" i="23"/>
  <c r="E199" i="23"/>
  <c r="D198" i="23"/>
  <c r="C198" i="23"/>
  <c r="D197" i="23"/>
  <c r="D196" i="23"/>
  <c r="C196" i="23"/>
  <c r="D195" i="23"/>
  <c r="C195" i="23"/>
  <c r="D194" i="23"/>
  <c r="C194" i="23"/>
  <c r="D193" i="23"/>
  <c r="C193" i="23"/>
  <c r="D192" i="23"/>
  <c r="C192" i="23"/>
  <c r="D191" i="23"/>
  <c r="D189" i="25" s="1"/>
  <c r="C191" i="23"/>
  <c r="C189" i="25" s="1"/>
  <c r="D190" i="23"/>
  <c r="C190" i="23"/>
  <c r="D189" i="23"/>
  <c r="C189" i="23"/>
  <c r="D188" i="23"/>
  <c r="C188" i="23"/>
  <c r="D187" i="23"/>
  <c r="D185" i="25" s="1"/>
  <c r="C187" i="23"/>
  <c r="C185" i="25" s="1"/>
  <c r="D186" i="23"/>
  <c r="C186" i="23"/>
  <c r="D185" i="23"/>
  <c r="D183" i="25" s="1"/>
  <c r="C185" i="23"/>
  <c r="C183" i="25" s="1"/>
  <c r="D184" i="23"/>
  <c r="D182" i="25" s="1"/>
  <c r="C184" i="23"/>
  <c r="C182" i="25" s="1"/>
  <c r="D183" i="23"/>
  <c r="C183" i="23"/>
  <c r="D182" i="23"/>
  <c r="C182" i="23"/>
  <c r="I174" i="23"/>
  <c r="H174" i="23"/>
  <c r="H526" i="23" s="1"/>
  <c r="G174" i="23"/>
  <c r="F174" i="23"/>
  <c r="E174" i="23"/>
  <c r="D173" i="23"/>
  <c r="C173" i="23"/>
  <c r="C144" i="24" s="1"/>
  <c r="D172" i="23"/>
  <c r="C172" i="23"/>
  <c r="I166" i="23"/>
  <c r="H166" i="23"/>
  <c r="H525" i="23" s="1"/>
  <c r="G166" i="23"/>
  <c r="F166" i="23"/>
  <c r="E166" i="23"/>
  <c r="I165" i="23"/>
  <c r="H165" i="23"/>
  <c r="G165" i="23"/>
  <c r="F165" i="23"/>
  <c r="E165" i="23"/>
  <c r="D164" i="23"/>
  <c r="C164" i="23"/>
  <c r="D163" i="23"/>
  <c r="C163" i="23"/>
  <c r="D162" i="23"/>
  <c r="C162" i="23"/>
  <c r="D161" i="23"/>
  <c r="C161" i="23"/>
  <c r="C135" i="24" s="1"/>
  <c r="D160" i="23"/>
  <c r="C160" i="23"/>
  <c r="D159" i="23"/>
  <c r="C159" i="23"/>
  <c r="C134" i="24" s="1"/>
  <c r="D158" i="23"/>
  <c r="C158" i="23"/>
  <c r="D157" i="23"/>
  <c r="C157" i="23"/>
  <c r="D156" i="23"/>
  <c r="C156" i="23"/>
  <c r="D155" i="23"/>
  <c r="C155" i="23"/>
  <c r="D154" i="23"/>
  <c r="C154" i="23"/>
  <c r="D153" i="23"/>
  <c r="C153" i="23"/>
  <c r="C133" i="24" s="1"/>
  <c r="D152" i="23"/>
  <c r="C152" i="23"/>
  <c r="C132" i="24" s="1"/>
  <c r="D151" i="23"/>
  <c r="C151" i="23"/>
  <c r="I145" i="23"/>
  <c r="H145" i="23"/>
  <c r="H524" i="23" s="1"/>
  <c r="G145" i="23"/>
  <c r="F145" i="23"/>
  <c r="E145" i="23"/>
  <c r="E524" i="23" s="1"/>
  <c r="I144" i="23"/>
  <c r="H144" i="23"/>
  <c r="G144" i="23"/>
  <c r="F144" i="23"/>
  <c r="E144" i="23"/>
  <c r="D143" i="23"/>
  <c r="C143" i="23"/>
  <c r="D142" i="23"/>
  <c r="C142" i="23"/>
  <c r="D141" i="23"/>
  <c r="D140" i="23"/>
  <c r="C140" i="23"/>
  <c r="D139" i="23"/>
  <c r="C139" i="23"/>
  <c r="D138" i="23"/>
  <c r="C138" i="23"/>
  <c r="D137" i="23"/>
  <c r="C137" i="23"/>
  <c r="D136" i="23"/>
  <c r="C136" i="23"/>
  <c r="D135" i="23"/>
  <c r="D134" i="23"/>
  <c r="D133" i="23"/>
  <c r="C133" i="23"/>
  <c r="D132" i="23"/>
  <c r="C132" i="23"/>
  <c r="D131" i="23"/>
  <c r="C131" i="23"/>
  <c r="D130" i="23"/>
  <c r="C130" i="23"/>
  <c r="D129" i="23"/>
  <c r="C129" i="23"/>
  <c r="D128" i="23"/>
  <c r="C128" i="23"/>
  <c r="D127" i="23"/>
  <c r="C127" i="23"/>
  <c r="D126" i="23"/>
  <c r="C126" i="23"/>
  <c r="D125" i="23"/>
  <c r="C125" i="23"/>
  <c r="D124" i="23"/>
  <c r="C124" i="23"/>
  <c r="D123" i="23"/>
  <c r="C123" i="23"/>
  <c r="D122" i="23"/>
  <c r="D121" i="23"/>
  <c r="D120" i="23"/>
  <c r="C120" i="23"/>
  <c r="D119" i="23"/>
  <c r="C119" i="23"/>
  <c r="D118" i="23"/>
  <c r="C118" i="23"/>
  <c r="D117" i="23"/>
  <c r="C117" i="23"/>
  <c r="D116" i="23"/>
  <c r="C116" i="23"/>
  <c r="D115" i="23"/>
  <c r="C115" i="23"/>
  <c r="D114" i="23"/>
  <c r="C114" i="23"/>
  <c r="D113" i="23"/>
  <c r="C113" i="23"/>
  <c r="D112" i="23"/>
  <c r="C112" i="23"/>
  <c r="I106" i="23"/>
  <c r="H106" i="23"/>
  <c r="H523" i="23" s="1"/>
  <c r="G106" i="23"/>
  <c r="F106" i="23"/>
  <c r="E106" i="23"/>
  <c r="E523" i="23" s="1"/>
  <c r="H105" i="23"/>
  <c r="G105" i="23"/>
  <c r="F105" i="23"/>
  <c r="E105" i="23"/>
  <c r="D104" i="23"/>
  <c r="C104" i="23"/>
  <c r="C102" i="25" s="1"/>
  <c r="D103" i="23"/>
  <c r="C103" i="23"/>
  <c r="C101" i="25" s="1"/>
  <c r="D102" i="23"/>
  <c r="C102" i="23"/>
  <c r="D101" i="23"/>
  <c r="C101" i="23"/>
  <c r="D100" i="23"/>
  <c r="C100" i="23"/>
  <c r="D99" i="23"/>
  <c r="C99" i="23"/>
  <c r="D98" i="23"/>
  <c r="C98" i="23"/>
  <c r="D97" i="23"/>
  <c r="C97" i="23"/>
  <c r="C95" i="25" s="1"/>
  <c r="D96" i="23"/>
  <c r="C96" i="23"/>
  <c r="D95" i="23"/>
  <c r="I89" i="23"/>
  <c r="H89" i="23"/>
  <c r="H522" i="23" s="1"/>
  <c r="G89" i="23"/>
  <c r="F89" i="23"/>
  <c r="E89" i="23"/>
  <c r="E522" i="23" s="1"/>
  <c r="D88" i="23"/>
  <c r="C88" i="23"/>
  <c r="O23" i="23" s="1"/>
  <c r="Q23" i="23" s="1"/>
  <c r="I82" i="23"/>
  <c r="H82" i="23"/>
  <c r="H521" i="23" s="1"/>
  <c r="G82" i="23"/>
  <c r="F82" i="23"/>
  <c r="E82" i="23"/>
  <c r="E521" i="23" s="1"/>
  <c r="H81" i="23"/>
  <c r="G81" i="23"/>
  <c r="F81" i="23"/>
  <c r="E81" i="23"/>
  <c r="D80" i="23"/>
  <c r="D78" i="25" s="1"/>
  <c r="C80" i="23"/>
  <c r="D79" i="23"/>
  <c r="D77" i="25" s="1"/>
  <c r="D67" i="26" s="1"/>
  <c r="C79" i="23"/>
  <c r="D78" i="23"/>
  <c r="D76" i="25" s="1"/>
  <c r="D66" i="26" s="1"/>
  <c r="C78" i="23"/>
  <c r="D77" i="23"/>
  <c r="D75" i="25" s="1"/>
  <c r="D65" i="26" s="1"/>
  <c r="C77" i="23"/>
  <c r="D76" i="23"/>
  <c r="C76" i="23"/>
  <c r="D75" i="23"/>
  <c r="C75" i="23"/>
  <c r="D74" i="23"/>
  <c r="D72" i="25" s="1"/>
  <c r="D63" i="26" s="1"/>
  <c r="C74" i="23"/>
  <c r="I69" i="23"/>
  <c r="H69" i="23"/>
  <c r="H520" i="23" s="1"/>
  <c r="G69" i="23"/>
  <c r="F69" i="23"/>
  <c r="E69" i="23"/>
  <c r="E520" i="23" s="1"/>
  <c r="I68" i="23"/>
  <c r="H68" i="23"/>
  <c r="G68" i="23"/>
  <c r="F68" i="23"/>
  <c r="E68" i="23"/>
  <c r="D67" i="23"/>
  <c r="D65" i="25" s="1"/>
  <c r="C67" i="23"/>
  <c r="D66" i="23"/>
  <c r="D64" i="25" s="1"/>
  <c r="D65" i="23"/>
  <c r="D63" i="25" s="1"/>
  <c r="D64" i="23"/>
  <c r="D62" i="25" s="1"/>
  <c r="C64" i="23"/>
  <c r="D63" i="23"/>
  <c r="D61" i="25" s="1"/>
  <c r="D62" i="23"/>
  <c r="D60" i="25" s="1"/>
  <c r="D61" i="23"/>
  <c r="D59" i="25" s="1"/>
  <c r="C61" i="23"/>
  <c r="D60" i="23"/>
  <c r="D58" i="25" s="1"/>
  <c r="C60" i="23"/>
  <c r="D59" i="23"/>
  <c r="D57" i="25" s="1"/>
  <c r="C59" i="23"/>
  <c r="D58" i="23"/>
  <c r="D56" i="25" s="1"/>
  <c r="C58" i="23"/>
  <c r="D57" i="23"/>
  <c r="D55" i="25" s="1"/>
  <c r="C57" i="23"/>
  <c r="D56" i="23"/>
  <c r="D54" i="25" s="1"/>
  <c r="C56" i="23"/>
  <c r="D55" i="23"/>
  <c r="D53" i="25" s="1"/>
  <c r="C55" i="23"/>
  <c r="D54" i="23"/>
  <c r="D52" i="25" s="1"/>
  <c r="D53" i="23"/>
  <c r="D51" i="25" s="1"/>
  <c r="D52" i="23"/>
  <c r="D50" i="25" s="1"/>
  <c r="C52" i="23"/>
  <c r="D51" i="23"/>
  <c r="D49" i="25" s="1"/>
  <c r="C51" i="23"/>
  <c r="D50" i="23"/>
  <c r="D48" i="25" s="1"/>
  <c r="C50" i="23"/>
  <c r="D49" i="23"/>
  <c r="D47" i="25" s="1"/>
  <c r="C49" i="23"/>
  <c r="D48" i="23"/>
  <c r="D46" i="25" s="1"/>
  <c r="C48" i="23"/>
  <c r="D47" i="23"/>
  <c r="D45" i="25" s="1"/>
  <c r="C47" i="23"/>
  <c r="D46" i="23"/>
  <c r="D44" i="25" s="1"/>
  <c r="C46" i="23"/>
  <c r="D45" i="23"/>
  <c r="D43" i="25" s="1"/>
  <c r="C45" i="23"/>
  <c r="D44" i="23"/>
  <c r="D42" i="25" s="1"/>
  <c r="C44" i="23"/>
  <c r="D43" i="23"/>
  <c r="D41" i="25" s="1"/>
  <c r="C43" i="23"/>
  <c r="D42" i="23"/>
  <c r="D40" i="25" s="1"/>
  <c r="C42" i="23"/>
  <c r="N41" i="23"/>
  <c r="D41" i="23"/>
  <c r="C41" i="23"/>
  <c r="O40" i="23"/>
  <c r="I35" i="23"/>
  <c r="H35" i="23"/>
  <c r="H519" i="23" s="1"/>
  <c r="G35" i="23"/>
  <c r="G519" i="23" s="1"/>
  <c r="G527" i="23" s="1"/>
  <c r="G542" i="23" s="1"/>
  <c r="F35" i="23"/>
  <c r="E35" i="23"/>
  <c r="E519" i="23" s="1"/>
  <c r="I34" i="23"/>
  <c r="H34" i="23"/>
  <c r="G34" i="23"/>
  <c r="F34" i="23"/>
  <c r="E34" i="23"/>
  <c r="D33" i="23"/>
  <c r="D31" i="25" s="1"/>
  <c r="D32" i="23"/>
  <c r="C32" i="23"/>
  <c r="D31" i="23"/>
  <c r="C31" i="23"/>
  <c r="D30" i="23"/>
  <c r="C30" i="23"/>
  <c r="D29" i="23"/>
  <c r="C29" i="23"/>
  <c r="D28" i="23"/>
  <c r="D26" i="25" s="1"/>
  <c r="D27" i="23"/>
  <c r="C27" i="23"/>
  <c r="D26" i="23"/>
  <c r="D24" i="25" s="1"/>
  <c r="D25" i="23"/>
  <c r="D23" i="25" s="1"/>
  <c r="D24" i="23"/>
  <c r="C24" i="23"/>
  <c r="D23" i="23"/>
  <c r="C23" i="23"/>
  <c r="J22" i="23"/>
  <c r="D22" i="23"/>
  <c r="C22" i="23"/>
  <c r="D21" i="23"/>
  <c r="C21" i="23"/>
  <c r="D20" i="23"/>
  <c r="C20" i="23"/>
  <c r="D19" i="23"/>
  <c r="C19" i="23"/>
  <c r="D18" i="23"/>
  <c r="C18" i="23"/>
  <c r="D17" i="23"/>
  <c r="C17" i="23"/>
  <c r="D16" i="23"/>
  <c r="C16" i="23"/>
  <c r="J15" i="23"/>
  <c r="D15" i="23"/>
  <c r="C15" i="23"/>
  <c r="D14" i="23"/>
  <c r="D12" i="25" s="1"/>
  <c r="C14" i="23"/>
  <c r="C12" i="25" s="1"/>
  <c r="D13" i="23"/>
  <c r="C13" i="23"/>
  <c r="D12" i="23"/>
  <c r="C12" i="23"/>
  <c r="D11" i="23"/>
  <c r="C11" i="23"/>
  <c r="D10" i="23"/>
  <c r="C10" i="23"/>
  <c r="I51" i="13"/>
  <c r="H162" i="20" s="1"/>
  <c r="H249" i="20"/>
  <c r="H252" i="20"/>
  <c r="H253" i="20"/>
  <c r="H254" i="20"/>
  <c r="H256" i="20"/>
  <c r="H257" i="20"/>
  <c r="H258" i="20"/>
  <c r="H261" i="20"/>
  <c r="H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F249" i="20"/>
  <c r="F250" i="20"/>
  <c r="F251" i="20"/>
  <c r="F252" i="20"/>
  <c r="F253" i="20"/>
  <c r="F254" i="20"/>
  <c r="F255" i="20"/>
  <c r="F256" i="20"/>
  <c r="F257" i="20"/>
  <c r="F258" i="20"/>
  <c r="F260" i="20"/>
  <c r="F261" i="20"/>
  <c r="E249" i="20"/>
  <c r="E250" i="20"/>
  <c r="E251" i="20"/>
  <c r="E252" i="20"/>
  <c r="E254" i="20"/>
  <c r="E256" i="20"/>
  <c r="E257" i="20"/>
  <c r="E258" i="20"/>
  <c r="E259" i="20"/>
  <c r="E261" i="20"/>
  <c r="H237" i="20"/>
  <c r="H238" i="20"/>
  <c r="H239" i="20"/>
  <c r="H240" i="20"/>
  <c r="G237" i="20"/>
  <c r="G238" i="20"/>
  <c r="G239" i="20"/>
  <c r="G240" i="20"/>
  <c r="G236" i="20"/>
  <c r="F237" i="20"/>
  <c r="F238" i="20"/>
  <c r="F239" i="20"/>
  <c r="F240" i="20"/>
  <c r="F236" i="20"/>
  <c r="E237" i="20"/>
  <c r="E239" i="20"/>
  <c r="E240" i="20"/>
  <c r="E236" i="20"/>
  <c r="H222" i="20"/>
  <c r="H223" i="20"/>
  <c r="H224" i="20"/>
  <c r="H225" i="20"/>
  <c r="H226" i="20"/>
  <c r="H227" i="20"/>
  <c r="H228" i="20"/>
  <c r="H221" i="20"/>
  <c r="G222" i="20"/>
  <c r="G223" i="20"/>
  <c r="G224" i="20"/>
  <c r="G225" i="20"/>
  <c r="G226" i="20"/>
  <c r="G227" i="20"/>
  <c r="G228" i="20"/>
  <c r="G221" i="20"/>
  <c r="F222" i="20"/>
  <c r="F223" i="20"/>
  <c r="F224" i="20"/>
  <c r="F225" i="20"/>
  <c r="F226" i="20"/>
  <c r="F227" i="20"/>
  <c r="F228" i="20"/>
  <c r="F221" i="20"/>
  <c r="E222" i="20"/>
  <c r="E223" i="20"/>
  <c r="E224" i="20"/>
  <c r="E225" i="20"/>
  <c r="E226" i="20"/>
  <c r="E227" i="20"/>
  <c r="E228" i="20"/>
  <c r="E221" i="20"/>
  <c r="H207" i="20"/>
  <c r="H208" i="20"/>
  <c r="H209" i="20"/>
  <c r="H210" i="20"/>
  <c r="H211" i="20"/>
  <c r="H213" i="20"/>
  <c r="H206" i="20"/>
  <c r="G207" i="20"/>
  <c r="G208" i="20"/>
  <c r="G209" i="20"/>
  <c r="G210" i="20"/>
  <c r="G211" i="20"/>
  <c r="G212" i="20"/>
  <c r="G213" i="20"/>
  <c r="G206" i="20"/>
  <c r="F207" i="20"/>
  <c r="F208" i="20"/>
  <c r="F209" i="20"/>
  <c r="F210" i="20"/>
  <c r="F211" i="20"/>
  <c r="F212" i="20"/>
  <c r="F213" i="20"/>
  <c r="F206" i="20"/>
  <c r="E207" i="20"/>
  <c r="E208" i="20"/>
  <c r="E209" i="20"/>
  <c r="E210" i="20"/>
  <c r="E211" i="20"/>
  <c r="E212" i="20"/>
  <c r="E213" i="20"/>
  <c r="E206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82" i="20"/>
  <c r="E183" i="20"/>
  <c r="E184" i="20"/>
  <c r="E185" i="20"/>
  <c r="E186" i="20"/>
  <c r="E187" i="20"/>
  <c r="E188" i="20"/>
  <c r="E189" i="20"/>
  <c r="E190" i="20"/>
  <c r="E191" i="20"/>
  <c r="E193" i="20"/>
  <c r="E194" i="20"/>
  <c r="E195" i="20"/>
  <c r="E196" i="20"/>
  <c r="E197" i="20"/>
  <c r="E198" i="20"/>
  <c r="E182" i="20"/>
  <c r="H173" i="20"/>
  <c r="G173" i="20"/>
  <c r="G172" i="20"/>
  <c r="F173" i="20"/>
  <c r="F172" i="20"/>
  <c r="E173" i="20"/>
  <c r="H152" i="20"/>
  <c r="H153" i="20"/>
  <c r="H154" i="20"/>
  <c r="H155" i="20"/>
  <c r="H156" i="20"/>
  <c r="H157" i="20"/>
  <c r="H158" i="20"/>
  <c r="H159" i="20"/>
  <c r="H160" i="20"/>
  <c r="H161" i="20"/>
  <c r="H163" i="20"/>
  <c r="H164" i="20"/>
  <c r="H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51" i="20"/>
  <c r="E152" i="20"/>
  <c r="E153" i="20"/>
  <c r="E154" i="20"/>
  <c r="E155" i="20"/>
  <c r="E160" i="20"/>
  <c r="E161" i="20"/>
  <c r="E162" i="20"/>
  <c r="E163" i="20"/>
  <c r="E164" i="20"/>
  <c r="E151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12" i="20"/>
  <c r="E113" i="20"/>
  <c r="E114" i="20"/>
  <c r="E115" i="20"/>
  <c r="E116" i="20"/>
  <c r="E117" i="20"/>
  <c r="E118" i="20"/>
  <c r="E119" i="20"/>
  <c r="E120" i="20"/>
  <c r="E121" i="20"/>
  <c r="E122" i="20"/>
  <c r="E123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12" i="20"/>
  <c r="H96" i="20"/>
  <c r="H97" i="20"/>
  <c r="H98" i="20"/>
  <c r="H99" i="20"/>
  <c r="H100" i="20"/>
  <c r="H101" i="20"/>
  <c r="H102" i="20"/>
  <c r="H103" i="20"/>
  <c r="H104" i="20"/>
  <c r="H95" i="20"/>
  <c r="G96" i="20"/>
  <c r="G97" i="20"/>
  <c r="G98" i="20"/>
  <c r="G99" i="20"/>
  <c r="G100" i="20"/>
  <c r="G101" i="20"/>
  <c r="G102" i="20"/>
  <c r="G103" i="20"/>
  <c r="G104" i="20"/>
  <c r="G95" i="20"/>
  <c r="F96" i="20"/>
  <c r="F97" i="20"/>
  <c r="F98" i="20"/>
  <c r="F99" i="20"/>
  <c r="F100" i="20"/>
  <c r="F101" i="20"/>
  <c r="F102" i="20"/>
  <c r="F103" i="20"/>
  <c r="F104" i="20"/>
  <c r="F95" i="20"/>
  <c r="E97" i="20"/>
  <c r="E98" i="20"/>
  <c r="E99" i="20"/>
  <c r="E100" i="20"/>
  <c r="E101" i="20"/>
  <c r="E102" i="20"/>
  <c r="E103" i="20"/>
  <c r="E104" i="20"/>
  <c r="E95" i="20"/>
  <c r="D95" i="20"/>
  <c r="F88" i="20"/>
  <c r="F89" i="20" s="1"/>
  <c r="G88" i="20"/>
  <c r="G89" i="20" s="1"/>
  <c r="H88" i="20"/>
  <c r="H89" i="20" s="1"/>
  <c r="H522" i="20" s="1"/>
  <c r="E88" i="20"/>
  <c r="E89" i="20" s="1"/>
  <c r="E522" i="20" s="1"/>
  <c r="H75" i="20"/>
  <c r="H76" i="20"/>
  <c r="H77" i="20"/>
  <c r="H78" i="20"/>
  <c r="H79" i="20"/>
  <c r="H74" i="20"/>
  <c r="G75" i="20"/>
  <c r="G76" i="20"/>
  <c r="G77" i="20"/>
  <c r="G78" i="20"/>
  <c r="G79" i="20"/>
  <c r="G80" i="20"/>
  <c r="G74" i="20"/>
  <c r="F75" i="20"/>
  <c r="F76" i="20"/>
  <c r="F77" i="20"/>
  <c r="F78" i="20"/>
  <c r="F79" i="20"/>
  <c r="F80" i="20"/>
  <c r="F74" i="20"/>
  <c r="E75" i="20"/>
  <c r="E76" i="20"/>
  <c r="E78" i="20"/>
  <c r="E79" i="20"/>
  <c r="C76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7" i="20"/>
  <c r="E58" i="20"/>
  <c r="E59" i="20"/>
  <c r="E60" i="20"/>
  <c r="E61" i="20"/>
  <c r="E62" i="20"/>
  <c r="E63" i="20"/>
  <c r="E64" i="20"/>
  <c r="E65" i="20"/>
  <c r="E66" i="20"/>
  <c r="E67" i="20"/>
  <c r="E41" i="20"/>
  <c r="C44" i="20"/>
  <c r="I34" i="20"/>
  <c r="I35" i="20"/>
  <c r="I68" i="20"/>
  <c r="I69" i="20"/>
  <c r="I82" i="20"/>
  <c r="I89" i="20"/>
  <c r="I106" i="20"/>
  <c r="I144" i="20"/>
  <c r="I145" i="20"/>
  <c r="I165" i="20"/>
  <c r="I166" i="20"/>
  <c r="I174" i="20"/>
  <c r="I199" i="20"/>
  <c r="I200" i="20"/>
  <c r="I214" i="20"/>
  <c r="I215" i="20"/>
  <c r="I229" i="20"/>
  <c r="I230" i="20"/>
  <c r="I241" i="20"/>
  <c r="I242" i="20"/>
  <c r="I262" i="20"/>
  <c r="I263" i="20"/>
  <c r="I280" i="20"/>
  <c r="I281" i="20"/>
  <c r="I295" i="20"/>
  <c r="I296" i="20"/>
  <c r="I313" i="20"/>
  <c r="I314" i="20"/>
  <c r="I322" i="20"/>
  <c r="I323" i="20"/>
  <c r="I342" i="20"/>
  <c r="I343" i="20"/>
  <c r="I357" i="20"/>
  <c r="I358" i="20"/>
  <c r="I368" i="20"/>
  <c r="I369" i="20"/>
  <c r="I377" i="20"/>
  <c r="I398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10" i="20"/>
  <c r="E11" i="20"/>
  <c r="E12" i="20"/>
  <c r="E13" i="20"/>
  <c r="E14" i="20"/>
  <c r="E15" i="20"/>
  <c r="E16" i="20"/>
  <c r="E17" i="20"/>
  <c r="E19" i="20"/>
  <c r="E20" i="20"/>
  <c r="E21" i="20"/>
  <c r="E23" i="20"/>
  <c r="E24" i="20"/>
  <c r="E25" i="20"/>
  <c r="E26" i="20"/>
  <c r="E27" i="20"/>
  <c r="E28" i="20"/>
  <c r="E29" i="20"/>
  <c r="E30" i="20"/>
  <c r="E31" i="20"/>
  <c r="E32" i="20"/>
  <c r="E33" i="20"/>
  <c r="E10" i="20"/>
  <c r="C28" i="20"/>
  <c r="E8" i="13"/>
  <c r="F527" i="20"/>
  <c r="D393" i="20"/>
  <c r="F390" i="20"/>
  <c r="H377" i="20"/>
  <c r="H540" i="20" s="1"/>
  <c r="G377" i="20"/>
  <c r="F377" i="20"/>
  <c r="E377" i="20"/>
  <c r="C375" i="20"/>
  <c r="C377" i="20" s="1"/>
  <c r="H369" i="20"/>
  <c r="H539" i="20" s="1"/>
  <c r="G369" i="20"/>
  <c r="F369" i="20"/>
  <c r="E369" i="20"/>
  <c r="E539" i="20" s="1"/>
  <c r="H368" i="20"/>
  <c r="G368" i="20"/>
  <c r="F368" i="20"/>
  <c r="E368" i="20"/>
  <c r="D367" i="20"/>
  <c r="C367" i="20"/>
  <c r="D366" i="20"/>
  <c r="C366" i="20"/>
  <c r="D365" i="20"/>
  <c r="C365" i="20"/>
  <c r="D364" i="20"/>
  <c r="C364" i="20"/>
  <c r="H358" i="20"/>
  <c r="H538" i="20" s="1"/>
  <c r="G358" i="20"/>
  <c r="F358" i="20"/>
  <c r="E358" i="20"/>
  <c r="E538" i="20" s="1"/>
  <c r="H357" i="20"/>
  <c r="G357" i="20"/>
  <c r="F357" i="20"/>
  <c r="E357" i="20"/>
  <c r="D356" i="20"/>
  <c r="C356" i="20"/>
  <c r="D355" i="20"/>
  <c r="C355" i="20"/>
  <c r="D354" i="20"/>
  <c r="C354" i="20"/>
  <c r="D353" i="20"/>
  <c r="C353" i="20"/>
  <c r="D352" i="20"/>
  <c r="C352" i="20"/>
  <c r="D351" i="20"/>
  <c r="C351" i="20"/>
  <c r="J350" i="20"/>
  <c r="D350" i="20"/>
  <c r="C350" i="20"/>
  <c r="J349" i="20"/>
  <c r="D349" i="20"/>
  <c r="C349" i="20"/>
  <c r="H343" i="20"/>
  <c r="H537" i="20" s="1"/>
  <c r="G343" i="20"/>
  <c r="F343" i="20"/>
  <c r="E343" i="20"/>
  <c r="H342" i="20"/>
  <c r="G342" i="20"/>
  <c r="F342" i="20"/>
  <c r="E342" i="20"/>
  <c r="D341" i="20"/>
  <c r="C341" i="20"/>
  <c r="D340" i="20"/>
  <c r="C340" i="20"/>
  <c r="D339" i="20"/>
  <c r="C339" i="20"/>
  <c r="D338" i="20"/>
  <c r="C338" i="20"/>
  <c r="D337" i="20"/>
  <c r="C337" i="20"/>
  <c r="D336" i="20"/>
  <c r="C336" i="20"/>
  <c r="D335" i="20"/>
  <c r="C335" i="20"/>
  <c r="J334" i="20"/>
  <c r="D334" i="20"/>
  <c r="C334" i="20"/>
  <c r="D333" i="20"/>
  <c r="C333" i="20"/>
  <c r="D332" i="20"/>
  <c r="C332" i="20"/>
  <c r="D331" i="20"/>
  <c r="C331" i="20"/>
  <c r="D330" i="20"/>
  <c r="C330" i="20"/>
  <c r="D329" i="20"/>
  <c r="C329" i="20"/>
  <c r="H323" i="20"/>
  <c r="H536" i="20" s="1"/>
  <c r="G323" i="20"/>
  <c r="F323" i="20"/>
  <c r="E323" i="20"/>
  <c r="E536" i="20" s="1"/>
  <c r="H322" i="20"/>
  <c r="G322" i="20"/>
  <c r="F322" i="20"/>
  <c r="E322" i="20"/>
  <c r="D321" i="20"/>
  <c r="C321" i="20"/>
  <c r="D320" i="20"/>
  <c r="C320" i="20"/>
  <c r="H314" i="20"/>
  <c r="H535" i="20" s="1"/>
  <c r="G314" i="20"/>
  <c r="F314" i="20"/>
  <c r="F535" i="20" s="1"/>
  <c r="E314" i="20"/>
  <c r="E535" i="20" s="1"/>
  <c r="H313" i="20"/>
  <c r="G313" i="20"/>
  <c r="F313" i="20"/>
  <c r="E313" i="20"/>
  <c r="D312" i="20"/>
  <c r="C312" i="20"/>
  <c r="D311" i="20"/>
  <c r="C311" i="20"/>
  <c r="D310" i="20"/>
  <c r="C310" i="20"/>
  <c r="D309" i="20"/>
  <c r="C309" i="20"/>
  <c r="D308" i="20"/>
  <c r="C308" i="20"/>
  <c r="D307" i="20"/>
  <c r="C307" i="20"/>
  <c r="D306" i="20"/>
  <c r="C306" i="20"/>
  <c r="D305" i="20"/>
  <c r="C305" i="20"/>
  <c r="D304" i="20"/>
  <c r="C304" i="20"/>
  <c r="D303" i="20"/>
  <c r="C303" i="20"/>
  <c r="D302" i="20"/>
  <c r="C302" i="20"/>
  <c r="L300" i="20"/>
  <c r="L318" i="20" s="1"/>
  <c r="L327" i="20" s="1"/>
  <c r="L347" i="20" s="1"/>
  <c r="L362" i="20" s="1"/>
  <c r="L373" i="20" s="1"/>
  <c r="H296" i="20"/>
  <c r="H534" i="20" s="1"/>
  <c r="G296" i="20"/>
  <c r="F296" i="20"/>
  <c r="F534" i="20" s="1"/>
  <c r="E296" i="20"/>
  <c r="H295" i="20"/>
  <c r="G295" i="20"/>
  <c r="F295" i="20"/>
  <c r="E295" i="20"/>
  <c r="D294" i="20"/>
  <c r="C294" i="20"/>
  <c r="D293" i="20"/>
  <c r="C293" i="20"/>
  <c r="L292" i="20"/>
  <c r="L307" i="20" s="1"/>
  <c r="D292" i="20"/>
  <c r="C292" i="20"/>
  <c r="D291" i="20"/>
  <c r="C291" i="20"/>
  <c r="D290" i="20"/>
  <c r="C290" i="20"/>
  <c r="D289" i="20"/>
  <c r="C289" i="20"/>
  <c r="D288" i="20"/>
  <c r="C288" i="20"/>
  <c r="D287" i="20"/>
  <c r="C287" i="20"/>
  <c r="H281" i="20"/>
  <c r="H533" i="20" s="1"/>
  <c r="G281" i="20"/>
  <c r="F281" i="20"/>
  <c r="F533" i="20" s="1"/>
  <c r="E281" i="20"/>
  <c r="E533" i="20" s="1"/>
  <c r="H280" i="20"/>
  <c r="G280" i="20"/>
  <c r="F280" i="20"/>
  <c r="E280" i="20"/>
  <c r="D279" i="20"/>
  <c r="C279" i="20"/>
  <c r="D278" i="20"/>
  <c r="C278" i="20"/>
  <c r="D277" i="20"/>
  <c r="C277" i="20"/>
  <c r="D276" i="20"/>
  <c r="C276" i="20"/>
  <c r="D275" i="20"/>
  <c r="C275" i="20"/>
  <c r="D274" i="20"/>
  <c r="C274" i="20"/>
  <c r="D273" i="20"/>
  <c r="C273" i="20"/>
  <c r="D272" i="20"/>
  <c r="C272" i="20"/>
  <c r="D271" i="20"/>
  <c r="C271" i="20"/>
  <c r="D270" i="20"/>
  <c r="C270" i="20"/>
  <c r="D269" i="20"/>
  <c r="C269" i="20"/>
  <c r="D261" i="20"/>
  <c r="D260" i="20"/>
  <c r="J259" i="20"/>
  <c r="D259" i="20"/>
  <c r="D258" i="20"/>
  <c r="D257" i="20"/>
  <c r="D256" i="20"/>
  <c r="D255" i="20"/>
  <c r="D254" i="20"/>
  <c r="D253" i="20"/>
  <c r="D252" i="20"/>
  <c r="D251" i="20"/>
  <c r="D250" i="20"/>
  <c r="D249" i="20"/>
  <c r="J248" i="20"/>
  <c r="D248" i="20"/>
  <c r="D240" i="20"/>
  <c r="D239" i="20"/>
  <c r="D238" i="20"/>
  <c r="D237" i="20"/>
  <c r="D236" i="20"/>
  <c r="D228" i="20"/>
  <c r="D227" i="20"/>
  <c r="D226" i="20"/>
  <c r="D225" i="20"/>
  <c r="D224" i="20"/>
  <c r="D223" i="20"/>
  <c r="O222" i="20"/>
  <c r="D222" i="20"/>
  <c r="D221" i="20"/>
  <c r="L219" i="20"/>
  <c r="L234" i="20" s="1"/>
  <c r="L246" i="20" s="1"/>
  <c r="D213" i="20"/>
  <c r="D212" i="20"/>
  <c r="D211" i="20"/>
  <c r="D210" i="20"/>
  <c r="D209" i="20"/>
  <c r="D208" i="20"/>
  <c r="D207" i="20"/>
  <c r="D206" i="20"/>
  <c r="D198" i="20"/>
  <c r="D197" i="20"/>
  <c r="D196" i="20"/>
  <c r="D195" i="20"/>
  <c r="D194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D173" i="20"/>
  <c r="D172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43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04" i="20"/>
  <c r="D103" i="20"/>
  <c r="D102" i="20"/>
  <c r="D101" i="20"/>
  <c r="D100" i="20"/>
  <c r="D99" i="20"/>
  <c r="D98" i="20"/>
  <c r="D97" i="20"/>
  <c r="D96" i="20"/>
  <c r="D88" i="20"/>
  <c r="D80" i="20"/>
  <c r="D79" i="20"/>
  <c r="D78" i="20"/>
  <c r="D77" i="20"/>
  <c r="D76" i="20"/>
  <c r="D75" i="20"/>
  <c r="D74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N41" i="20"/>
  <c r="D41" i="20"/>
  <c r="D33" i="20"/>
  <c r="D32" i="20"/>
  <c r="D31" i="20"/>
  <c r="D30" i="20"/>
  <c r="D29" i="20"/>
  <c r="D28" i="20"/>
  <c r="D27" i="20"/>
  <c r="D26" i="20"/>
  <c r="D25" i="20"/>
  <c r="D24" i="20"/>
  <c r="D23" i="20"/>
  <c r="J22" i="20"/>
  <c r="D22" i="20"/>
  <c r="D21" i="20"/>
  <c r="D20" i="20"/>
  <c r="D19" i="20"/>
  <c r="D18" i="20"/>
  <c r="D17" i="20"/>
  <c r="D16" i="20"/>
  <c r="J15" i="20"/>
  <c r="D15" i="20"/>
  <c r="D14" i="20"/>
  <c r="D13" i="20"/>
  <c r="D12" i="20"/>
  <c r="D11" i="20"/>
  <c r="D10" i="20"/>
  <c r="F446" i="19"/>
  <c r="I308" i="19"/>
  <c r="H308" i="19"/>
  <c r="H459" i="19" s="1"/>
  <c r="G308" i="19"/>
  <c r="F308" i="19"/>
  <c r="E308" i="19"/>
  <c r="E459" i="19" s="1"/>
  <c r="C306" i="19"/>
  <c r="C308" i="19" s="1"/>
  <c r="I300" i="19"/>
  <c r="H300" i="19"/>
  <c r="H458" i="19" s="1"/>
  <c r="G300" i="19"/>
  <c r="F300" i="19"/>
  <c r="E300" i="19"/>
  <c r="I299" i="19"/>
  <c r="H299" i="19"/>
  <c r="G299" i="19"/>
  <c r="F299" i="19"/>
  <c r="E299" i="19"/>
  <c r="D298" i="19"/>
  <c r="C298" i="19"/>
  <c r="D297" i="19"/>
  <c r="C297" i="19"/>
  <c r="D296" i="19"/>
  <c r="C296" i="19"/>
  <c r="D295" i="19"/>
  <c r="C295" i="19"/>
  <c r="I289" i="19"/>
  <c r="H289" i="19"/>
  <c r="H457" i="19" s="1"/>
  <c r="G289" i="19"/>
  <c r="F289" i="19"/>
  <c r="E289" i="19"/>
  <c r="E457" i="19" s="1"/>
  <c r="I288" i="19"/>
  <c r="H288" i="19"/>
  <c r="G288" i="19"/>
  <c r="F288" i="19"/>
  <c r="E288" i="19"/>
  <c r="D287" i="19"/>
  <c r="C287" i="19"/>
  <c r="D286" i="19"/>
  <c r="C286" i="19"/>
  <c r="D285" i="19"/>
  <c r="C285" i="19"/>
  <c r="D284" i="19"/>
  <c r="C284" i="19"/>
  <c r="I278" i="19"/>
  <c r="H278" i="19"/>
  <c r="H456" i="19" s="1"/>
  <c r="G278" i="19"/>
  <c r="F278" i="19"/>
  <c r="E278" i="19"/>
  <c r="I277" i="19"/>
  <c r="H277" i="19"/>
  <c r="G277" i="19"/>
  <c r="F277" i="19"/>
  <c r="E277" i="19"/>
  <c r="D276" i="19"/>
  <c r="C276" i="19"/>
  <c r="D275" i="19"/>
  <c r="C275" i="19"/>
  <c r="D274" i="19"/>
  <c r="C274" i="19"/>
  <c r="D273" i="19"/>
  <c r="C273" i="19"/>
  <c r="J272" i="19"/>
  <c r="D272" i="19"/>
  <c r="C272" i="19"/>
  <c r="D271" i="19"/>
  <c r="C271" i="19"/>
  <c r="D270" i="19"/>
  <c r="C270" i="19"/>
  <c r="D269" i="19"/>
  <c r="C269" i="19"/>
  <c r="D268" i="19"/>
  <c r="C268" i="19"/>
  <c r="I262" i="19"/>
  <c r="H262" i="19"/>
  <c r="H455" i="19" s="1"/>
  <c r="G262" i="19"/>
  <c r="F262" i="19"/>
  <c r="E262" i="19"/>
  <c r="I261" i="19"/>
  <c r="H261" i="19"/>
  <c r="G261" i="19"/>
  <c r="F261" i="19"/>
  <c r="E261" i="19"/>
  <c r="D260" i="19"/>
  <c r="C260" i="19"/>
  <c r="D259" i="19"/>
  <c r="C259" i="19"/>
  <c r="I253" i="19"/>
  <c r="H253" i="19"/>
  <c r="H454" i="19" s="1"/>
  <c r="G253" i="19"/>
  <c r="F253" i="19"/>
  <c r="F454" i="19" s="1"/>
  <c r="E253" i="19"/>
  <c r="E454" i="19" s="1"/>
  <c r="I252" i="19"/>
  <c r="H252" i="19"/>
  <c r="G252" i="19"/>
  <c r="F252" i="19"/>
  <c r="E252" i="19"/>
  <c r="D251" i="19"/>
  <c r="C251" i="19"/>
  <c r="D250" i="19"/>
  <c r="C250" i="19"/>
  <c r="D249" i="19"/>
  <c r="C249" i="19"/>
  <c r="D248" i="19"/>
  <c r="C248" i="19"/>
  <c r="D247" i="19"/>
  <c r="C247" i="19"/>
  <c r="D246" i="19"/>
  <c r="C246" i="19"/>
  <c r="L244" i="19"/>
  <c r="L257" i="19" s="1"/>
  <c r="L266" i="19" s="1"/>
  <c r="L282" i="19" s="1"/>
  <c r="L293" i="19" s="1"/>
  <c r="L304" i="19" s="1"/>
  <c r="I240" i="19"/>
  <c r="H240" i="19"/>
  <c r="H453" i="19" s="1"/>
  <c r="G240" i="19"/>
  <c r="F240" i="19"/>
  <c r="F453" i="19" s="1"/>
  <c r="E240" i="19"/>
  <c r="E453" i="19" s="1"/>
  <c r="I239" i="19"/>
  <c r="H239" i="19"/>
  <c r="G239" i="19"/>
  <c r="F239" i="19"/>
  <c r="E239" i="19"/>
  <c r="D238" i="19"/>
  <c r="C238" i="19"/>
  <c r="D237" i="19"/>
  <c r="C237" i="19"/>
  <c r="D236" i="19"/>
  <c r="C236" i="19"/>
  <c r="D235" i="19"/>
  <c r="C235" i="19"/>
  <c r="D234" i="19"/>
  <c r="C234" i="19"/>
  <c r="I228" i="19"/>
  <c r="H228" i="19"/>
  <c r="H452" i="19" s="1"/>
  <c r="G228" i="19"/>
  <c r="F228" i="19"/>
  <c r="F452" i="19" s="1"/>
  <c r="E228" i="19"/>
  <c r="E452" i="19" s="1"/>
  <c r="I227" i="19"/>
  <c r="H227" i="19"/>
  <c r="G227" i="19"/>
  <c r="F227" i="19"/>
  <c r="E227" i="19"/>
  <c r="D226" i="19"/>
  <c r="C226" i="19"/>
  <c r="D225" i="19"/>
  <c r="C225" i="19"/>
  <c r="D224" i="19"/>
  <c r="C224" i="19"/>
  <c r="I218" i="19"/>
  <c r="H218" i="19"/>
  <c r="H451" i="19" s="1"/>
  <c r="E218" i="19"/>
  <c r="E451" i="19" s="1"/>
  <c r="I217" i="19"/>
  <c r="H217" i="19"/>
  <c r="E217" i="19"/>
  <c r="D216" i="19"/>
  <c r="C216" i="19"/>
  <c r="D215" i="19"/>
  <c r="C215" i="19"/>
  <c r="D214" i="19"/>
  <c r="C214" i="19"/>
  <c r="D213" i="19"/>
  <c r="C213" i="19"/>
  <c r="D212" i="19"/>
  <c r="C212" i="19"/>
  <c r="D211" i="19"/>
  <c r="C211" i="19"/>
  <c r="D210" i="19"/>
  <c r="C210" i="19"/>
  <c r="D209" i="19"/>
  <c r="C209" i="19"/>
  <c r="J208" i="19"/>
  <c r="G208" i="19"/>
  <c r="G217" i="19" s="1"/>
  <c r="F208" i="19"/>
  <c r="F217" i="19" s="1"/>
  <c r="D208" i="19"/>
  <c r="I202" i="19"/>
  <c r="H202" i="19"/>
  <c r="H450" i="19" s="1"/>
  <c r="G202" i="19"/>
  <c r="F202" i="19"/>
  <c r="E202" i="19"/>
  <c r="E450" i="19" s="1"/>
  <c r="I201" i="19"/>
  <c r="H201" i="19"/>
  <c r="G201" i="19"/>
  <c r="F201" i="19"/>
  <c r="E201" i="19"/>
  <c r="D200" i="19"/>
  <c r="C200" i="19"/>
  <c r="D199" i="19"/>
  <c r="C199" i="19"/>
  <c r="I193" i="19"/>
  <c r="H193" i="19"/>
  <c r="H449" i="19" s="1"/>
  <c r="G193" i="19"/>
  <c r="F193" i="19"/>
  <c r="E193" i="19"/>
  <c r="E449" i="19" s="1"/>
  <c r="I192" i="19"/>
  <c r="H192" i="19"/>
  <c r="G192" i="19"/>
  <c r="F192" i="19"/>
  <c r="E192" i="19"/>
  <c r="D191" i="19"/>
  <c r="C191" i="19"/>
  <c r="D190" i="19"/>
  <c r="C190" i="19"/>
  <c r="D189" i="19"/>
  <c r="C189" i="19"/>
  <c r="D188" i="19"/>
  <c r="C188" i="19"/>
  <c r="D187" i="19"/>
  <c r="C187" i="19"/>
  <c r="D186" i="19"/>
  <c r="C186" i="19"/>
  <c r="D185" i="19"/>
  <c r="C185" i="19"/>
  <c r="L183" i="19"/>
  <c r="L197" i="19" s="1"/>
  <c r="L206" i="19" s="1"/>
  <c r="I179" i="19"/>
  <c r="H179" i="19"/>
  <c r="H448" i="19" s="1"/>
  <c r="G179" i="19"/>
  <c r="F179" i="19"/>
  <c r="E179" i="19"/>
  <c r="E448" i="19" s="1"/>
  <c r="I178" i="19"/>
  <c r="H178" i="19"/>
  <c r="G178" i="19"/>
  <c r="F178" i="19"/>
  <c r="E178" i="19"/>
  <c r="D177" i="19"/>
  <c r="C177" i="19"/>
  <c r="D176" i="19"/>
  <c r="C176" i="19"/>
  <c r="D175" i="19"/>
  <c r="C175" i="19"/>
  <c r="D174" i="19"/>
  <c r="C174" i="19"/>
  <c r="D173" i="19"/>
  <c r="C173" i="19"/>
  <c r="D172" i="19"/>
  <c r="C172" i="19"/>
  <c r="I166" i="19"/>
  <c r="H166" i="19"/>
  <c r="H447" i="19" s="1"/>
  <c r="G166" i="19"/>
  <c r="F166" i="19"/>
  <c r="F447" i="19" s="1"/>
  <c r="E166" i="19"/>
  <c r="E447" i="19" s="1"/>
  <c r="I165" i="19"/>
  <c r="H165" i="19"/>
  <c r="G165" i="19"/>
  <c r="F165" i="19"/>
  <c r="E165" i="19"/>
  <c r="D164" i="19"/>
  <c r="C164" i="19"/>
  <c r="D163" i="19"/>
  <c r="C163" i="19"/>
  <c r="D162" i="19"/>
  <c r="C162" i="19"/>
  <c r="D161" i="19"/>
  <c r="C161" i="19"/>
  <c r="D160" i="19"/>
  <c r="C160" i="19"/>
  <c r="D159" i="19"/>
  <c r="C159" i="19"/>
  <c r="D158" i="19"/>
  <c r="C158" i="19"/>
  <c r="D157" i="19"/>
  <c r="C157" i="19"/>
  <c r="D156" i="19"/>
  <c r="C156" i="19"/>
  <c r="D155" i="19"/>
  <c r="C155" i="19"/>
  <c r="D154" i="19"/>
  <c r="C154" i="19"/>
  <c r="D153" i="19"/>
  <c r="C153" i="19"/>
  <c r="D152" i="19"/>
  <c r="C152" i="19"/>
  <c r="I144" i="19"/>
  <c r="H144" i="19"/>
  <c r="H445" i="19" s="1"/>
  <c r="G144" i="19"/>
  <c r="F144" i="19"/>
  <c r="E144" i="19"/>
  <c r="E445" i="19" s="1"/>
  <c r="D143" i="19"/>
  <c r="C143" i="19"/>
  <c r="D142" i="19"/>
  <c r="C142" i="19"/>
  <c r="I136" i="19"/>
  <c r="H136" i="19"/>
  <c r="H444" i="19" s="1"/>
  <c r="G136" i="19"/>
  <c r="F136" i="19"/>
  <c r="E136" i="19"/>
  <c r="E444" i="19" s="1"/>
  <c r="I135" i="19"/>
  <c r="H135" i="19"/>
  <c r="G135" i="19"/>
  <c r="F135" i="19"/>
  <c r="E135" i="19"/>
  <c r="D134" i="19"/>
  <c r="C134" i="19"/>
  <c r="D133" i="19"/>
  <c r="C133" i="19"/>
  <c r="D132" i="19"/>
  <c r="C132" i="19"/>
  <c r="D131" i="19"/>
  <c r="C131" i="19"/>
  <c r="D130" i="19"/>
  <c r="C130" i="19"/>
  <c r="I124" i="19"/>
  <c r="H124" i="19"/>
  <c r="H443" i="19" s="1"/>
  <c r="G124" i="19"/>
  <c r="F124" i="19"/>
  <c r="E124" i="19"/>
  <c r="E443" i="19" s="1"/>
  <c r="I123" i="19"/>
  <c r="H123" i="19"/>
  <c r="G123" i="19"/>
  <c r="F123" i="19"/>
  <c r="E123" i="19"/>
  <c r="D122" i="19"/>
  <c r="C122" i="19"/>
  <c r="D121" i="19"/>
  <c r="C121" i="19"/>
  <c r="D120" i="19"/>
  <c r="C120" i="19"/>
  <c r="D119" i="19"/>
  <c r="C119" i="19"/>
  <c r="D118" i="19"/>
  <c r="C118" i="19"/>
  <c r="D117" i="19"/>
  <c r="C117" i="19"/>
  <c r="D116" i="19"/>
  <c r="C116" i="19"/>
  <c r="D115" i="19"/>
  <c r="C115" i="19"/>
  <c r="D114" i="19"/>
  <c r="C114" i="19"/>
  <c r="D113" i="19"/>
  <c r="C113" i="19"/>
  <c r="D112" i="19"/>
  <c r="C112" i="19"/>
  <c r="D111" i="19"/>
  <c r="C111" i="19"/>
  <c r="D110" i="19"/>
  <c r="C110" i="19"/>
  <c r="D109" i="19"/>
  <c r="C109" i="19"/>
  <c r="D108" i="19"/>
  <c r="C108" i="19"/>
  <c r="D107" i="19"/>
  <c r="C107" i="19"/>
  <c r="D106" i="19"/>
  <c r="C106" i="19"/>
  <c r="D105" i="19"/>
  <c r="C105" i="19"/>
  <c r="D104" i="19"/>
  <c r="C104" i="19"/>
  <c r="D103" i="19"/>
  <c r="C103" i="19"/>
  <c r="D102" i="19"/>
  <c r="C102" i="19"/>
  <c r="D101" i="19"/>
  <c r="C101" i="19"/>
  <c r="D100" i="19"/>
  <c r="C100" i="19"/>
  <c r="D99" i="19"/>
  <c r="C99" i="19"/>
  <c r="D98" i="19"/>
  <c r="C98" i="19"/>
  <c r="D97" i="19"/>
  <c r="C97" i="19"/>
  <c r="D96" i="19"/>
  <c r="C96" i="19"/>
  <c r="I90" i="19"/>
  <c r="H90" i="19"/>
  <c r="H442" i="19" s="1"/>
  <c r="G90" i="19"/>
  <c r="F90" i="19"/>
  <c r="E90" i="19"/>
  <c r="E442" i="19" s="1"/>
  <c r="H89" i="19"/>
  <c r="G89" i="19"/>
  <c r="F89" i="19"/>
  <c r="E89" i="19"/>
  <c r="D88" i="19"/>
  <c r="C88" i="19"/>
  <c r="D87" i="19"/>
  <c r="C87" i="19"/>
  <c r="D86" i="19"/>
  <c r="C86" i="19"/>
  <c r="D85" i="19"/>
  <c r="C85" i="19"/>
  <c r="D84" i="19"/>
  <c r="C84" i="19"/>
  <c r="D83" i="19"/>
  <c r="C83" i="19"/>
  <c r="I77" i="19"/>
  <c r="H77" i="19"/>
  <c r="H441" i="19" s="1"/>
  <c r="G77" i="19"/>
  <c r="F77" i="19"/>
  <c r="E77" i="19"/>
  <c r="E441" i="19" s="1"/>
  <c r="D76" i="19"/>
  <c r="C76" i="19"/>
  <c r="C77" i="19" s="1"/>
  <c r="I70" i="19"/>
  <c r="H70" i="19"/>
  <c r="H440" i="19" s="1"/>
  <c r="G70" i="19"/>
  <c r="F70" i="19"/>
  <c r="E70" i="19"/>
  <c r="E440" i="19" s="1"/>
  <c r="H69" i="19"/>
  <c r="G69" i="19"/>
  <c r="F69" i="19"/>
  <c r="E69" i="19"/>
  <c r="D68" i="19"/>
  <c r="C68" i="19"/>
  <c r="D67" i="19"/>
  <c r="C67" i="19"/>
  <c r="D66" i="19"/>
  <c r="C66" i="19"/>
  <c r="D65" i="19"/>
  <c r="C65" i="19"/>
  <c r="D64" i="19"/>
  <c r="C64" i="19"/>
  <c r="D63" i="19"/>
  <c r="C63" i="19"/>
  <c r="I58" i="19"/>
  <c r="H58" i="19"/>
  <c r="H439" i="19" s="1"/>
  <c r="G58" i="19"/>
  <c r="F58" i="19"/>
  <c r="E58" i="19"/>
  <c r="E439" i="19" s="1"/>
  <c r="I57" i="19"/>
  <c r="H57" i="19"/>
  <c r="G57" i="19"/>
  <c r="F57" i="19"/>
  <c r="E57" i="19"/>
  <c r="D56" i="19"/>
  <c r="C56" i="19"/>
  <c r="D55" i="19"/>
  <c r="C55" i="19"/>
  <c r="D54" i="19"/>
  <c r="C54" i="19"/>
  <c r="D53" i="19"/>
  <c r="C53" i="19"/>
  <c r="D52" i="19"/>
  <c r="C52" i="19"/>
  <c r="D51" i="19"/>
  <c r="C51" i="19"/>
  <c r="D50" i="19"/>
  <c r="C50" i="19"/>
  <c r="D49" i="19"/>
  <c r="C49" i="19"/>
  <c r="D48" i="19"/>
  <c r="C48" i="19"/>
  <c r="D47" i="19"/>
  <c r="C47" i="19"/>
  <c r="D46" i="19"/>
  <c r="C46" i="19"/>
  <c r="D45" i="19"/>
  <c r="C45" i="19"/>
  <c r="D44" i="19"/>
  <c r="C44" i="19"/>
  <c r="D43" i="19"/>
  <c r="C43" i="19"/>
  <c r="D42" i="19"/>
  <c r="C42" i="19"/>
  <c r="D41" i="19"/>
  <c r="C41" i="19"/>
  <c r="D40" i="19"/>
  <c r="C40" i="19"/>
  <c r="D39" i="19"/>
  <c r="C39" i="19"/>
  <c r="D38" i="19"/>
  <c r="C38" i="19"/>
  <c r="D37" i="19"/>
  <c r="C37" i="19"/>
  <c r="D36" i="19"/>
  <c r="C36" i="19"/>
  <c r="I30" i="19"/>
  <c r="H30" i="19"/>
  <c r="H438" i="19" s="1"/>
  <c r="G30" i="19"/>
  <c r="G438" i="19" s="1"/>
  <c r="G446" i="19" s="1"/>
  <c r="G461" i="19" s="1"/>
  <c r="F30" i="19"/>
  <c r="E30" i="19"/>
  <c r="E438" i="19" s="1"/>
  <c r="I29" i="19"/>
  <c r="H29" i="19"/>
  <c r="G29" i="19"/>
  <c r="F29" i="19"/>
  <c r="E29" i="19"/>
  <c r="D28" i="19"/>
  <c r="C28" i="19"/>
  <c r="D27" i="19"/>
  <c r="C27" i="19"/>
  <c r="D26" i="19"/>
  <c r="C26" i="19"/>
  <c r="D25" i="19"/>
  <c r="C25" i="19"/>
  <c r="D24" i="19"/>
  <c r="C24" i="19"/>
  <c r="D23" i="19"/>
  <c r="C23" i="19"/>
  <c r="D22" i="19"/>
  <c r="C22" i="19"/>
  <c r="J21" i="19"/>
  <c r="D21" i="19"/>
  <c r="C21" i="19"/>
  <c r="D20" i="19"/>
  <c r="C20" i="19"/>
  <c r="D19" i="19"/>
  <c r="C19" i="19"/>
  <c r="D18" i="19"/>
  <c r="C18" i="19"/>
  <c r="D17" i="19"/>
  <c r="C17" i="19"/>
  <c r="D16" i="19"/>
  <c r="C16" i="19"/>
  <c r="D15" i="19"/>
  <c r="C15" i="19"/>
  <c r="J14" i="19"/>
  <c r="D14" i="19"/>
  <c r="C14" i="19"/>
  <c r="D13" i="19"/>
  <c r="C13" i="19"/>
  <c r="D12" i="19"/>
  <c r="C12" i="19"/>
  <c r="D11" i="19"/>
  <c r="C11" i="19"/>
  <c r="D10" i="19"/>
  <c r="C10" i="19"/>
  <c r="M9" i="19"/>
  <c r="F520" i="18"/>
  <c r="D391" i="18"/>
  <c r="I375" i="18"/>
  <c r="H375" i="18"/>
  <c r="H533" i="18" s="1"/>
  <c r="G375" i="18"/>
  <c r="F375" i="18"/>
  <c r="E375" i="18"/>
  <c r="C373" i="18"/>
  <c r="C375" i="18" s="1"/>
  <c r="I367" i="18"/>
  <c r="H367" i="18"/>
  <c r="H532" i="18" s="1"/>
  <c r="G367" i="18"/>
  <c r="F367" i="18"/>
  <c r="E367" i="18"/>
  <c r="E532" i="18" s="1"/>
  <c r="I366" i="18"/>
  <c r="H366" i="18"/>
  <c r="G366" i="18"/>
  <c r="F366" i="18"/>
  <c r="E366" i="18"/>
  <c r="D365" i="18"/>
  <c r="C365" i="18"/>
  <c r="D364" i="18"/>
  <c r="C364" i="18"/>
  <c r="D363" i="18"/>
  <c r="C363" i="18"/>
  <c r="D362" i="18"/>
  <c r="C362" i="18"/>
  <c r="I356" i="18"/>
  <c r="H356" i="18"/>
  <c r="H531" i="18" s="1"/>
  <c r="G356" i="18"/>
  <c r="F356" i="18"/>
  <c r="E356" i="18"/>
  <c r="E531" i="18" s="1"/>
  <c r="I355" i="18"/>
  <c r="H355" i="18"/>
  <c r="G355" i="18"/>
  <c r="F355" i="18"/>
  <c r="E355" i="18"/>
  <c r="D354" i="18"/>
  <c r="C354" i="18"/>
  <c r="D353" i="18"/>
  <c r="C353" i="18"/>
  <c r="D352" i="18"/>
  <c r="C352" i="18"/>
  <c r="D351" i="18"/>
  <c r="C351" i="18"/>
  <c r="D350" i="18"/>
  <c r="C350" i="18"/>
  <c r="D349" i="18"/>
  <c r="C349" i="18"/>
  <c r="J348" i="18"/>
  <c r="D348" i="18"/>
  <c r="C348" i="18"/>
  <c r="J347" i="18"/>
  <c r="D347" i="18"/>
  <c r="C347" i="18"/>
  <c r="I341" i="18"/>
  <c r="H341" i="18"/>
  <c r="H530" i="18" s="1"/>
  <c r="G341" i="18"/>
  <c r="F341" i="18"/>
  <c r="E341" i="18"/>
  <c r="E530" i="18" s="1"/>
  <c r="I340" i="18"/>
  <c r="H340" i="18"/>
  <c r="G340" i="18"/>
  <c r="F340" i="18"/>
  <c r="E340" i="18"/>
  <c r="D339" i="18"/>
  <c r="C339" i="18"/>
  <c r="D338" i="18"/>
  <c r="C338" i="18"/>
  <c r="D337" i="18"/>
  <c r="C337" i="18"/>
  <c r="D336" i="18"/>
  <c r="C336" i="18"/>
  <c r="D335" i="18"/>
  <c r="C335" i="18"/>
  <c r="D334" i="18"/>
  <c r="C334" i="18"/>
  <c r="D333" i="18"/>
  <c r="C333" i="18"/>
  <c r="J332" i="18"/>
  <c r="D332" i="18"/>
  <c r="C332" i="18"/>
  <c r="D331" i="18"/>
  <c r="C331" i="18"/>
  <c r="D330" i="18"/>
  <c r="C330" i="18"/>
  <c r="D329" i="18"/>
  <c r="C329" i="18"/>
  <c r="D328" i="18"/>
  <c r="C328" i="18"/>
  <c r="D327" i="18"/>
  <c r="C327" i="18"/>
  <c r="I321" i="18"/>
  <c r="H321" i="18"/>
  <c r="H529" i="18" s="1"/>
  <c r="G321" i="18"/>
  <c r="F321" i="18"/>
  <c r="E321" i="18"/>
  <c r="E529" i="18" s="1"/>
  <c r="I320" i="18"/>
  <c r="H320" i="18"/>
  <c r="G320" i="18"/>
  <c r="F320" i="18"/>
  <c r="E320" i="18"/>
  <c r="D319" i="18"/>
  <c r="C319" i="18"/>
  <c r="D318" i="18"/>
  <c r="C318" i="18"/>
  <c r="I312" i="18"/>
  <c r="H312" i="18"/>
  <c r="H528" i="18" s="1"/>
  <c r="G312" i="18"/>
  <c r="F312" i="18"/>
  <c r="F528" i="18" s="1"/>
  <c r="E312" i="18"/>
  <c r="E528" i="18" s="1"/>
  <c r="I311" i="18"/>
  <c r="H311" i="18"/>
  <c r="G311" i="18"/>
  <c r="F311" i="18"/>
  <c r="E311" i="18"/>
  <c r="D310" i="18"/>
  <c r="C310" i="18"/>
  <c r="D309" i="18"/>
  <c r="C309" i="18"/>
  <c r="D308" i="18"/>
  <c r="C308" i="18"/>
  <c r="D307" i="18"/>
  <c r="C307" i="18"/>
  <c r="D306" i="18"/>
  <c r="C306" i="18"/>
  <c r="D305" i="18"/>
  <c r="C305" i="18"/>
  <c r="D304" i="18"/>
  <c r="C304" i="18"/>
  <c r="D303" i="18"/>
  <c r="C303" i="18"/>
  <c r="D302" i="18"/>
  <c r="C302" i="18"/>
  <c r="D301" i="18"/>
  <c r="C301" i="18"/>
  <c r="D300" i="18"/>
  <c r="C300" i="18"/>
  <c r="L298" i="18"/>
  <c r="L316" i="18" s="1"/>
  <c r="L325" i="18" s="1"/>
  <c r="L345" i="18" s="1"/>
  <c r="L360" i="18" s="1"/>
  <c r="L371" i="18" s="1"/>
  <c r="I294" i="18"/>
  <c r="H294" i="18"/>
  <c r="H527" i="18" s="1"/>
  <c r="G294" i="18"/>
  <c r="F294" i="18"/>
  <c r="F527" i="18" s="1"/>
  <c r="E294" i="18"/>
  <c r="E527" i="18" s="1"/>
  <c r="I293" i="18"/>
  <c r="H293" i="18"/>
  <c r="G293" i="18"/>
  <c r="F293" i="18"/>
  <c r="E293" i="18"/>
  <c r="D292" i="18"/>
  <c r="C292" i="18"/>
  <c r="D291" i="18"/>
  <c r="C291" i="18"/>
  <c r="L290" i="18"/>
  <c r="L305" i="18" s="1"/>
  <c r="D290" i="18"/>
  <c r="C290" i="18"/>
  <c r="D289" i="18"/>
  <c r="C289" i="18"/>
  <c r="D288" i="18"/>
  <c r="C288" i="18"/>
  <c r="D287" i="18"/>
  <c r="C287" i="18"/>
  <c r="D286" i="18"/>
  <c r="C286" i="18"/>
  <c r="D285" i="18"/>
  <c r="C285" i="18"/>
  <c r="I279" i="18"/>
  <c r="H279" i="18"/>
  <c r="H526" i="18" s="1"/>
  <c r="G279" i="18"/>
  <c r="F279" i="18"/>
  <c r="F526" i="18" s="1"/>
  <c r="E279" i="18"/>
  <c r="E526" i="18" s="1"/>
  <c r="I278" i="18"/>
  <c r="H278" i="18"/>
  <c r="G278" i="18"/>
  <c r="F278" i="18"/>
  <c r="E278" i="18"/>
  <c r="D277" i="18"/>
  <c r="C277" i="18"/>
  <c r="D276" i="18"/>
  <c r="C276" i="18"/>
  <c r="D275" i="18"/>
  <c r="C275" i="18"/>
  <c r="D274" i="18"/>
  <c r="C274" i="18"/>
  <c r="D273" i="18"/>
  <c r="C273" i="18"/>
  <c r="D272" i="18"/>
  <c r="C272" i="18"/>
  <c r="D271" i="18"/>
  <c r="C271" i="18"/>
  <c r="D270" i="18"/>
  <c r="C270" i="18"/>
  <c r="D269" i="18"/>
  <c r="C269" i="18"/>
  <c r="D268" i="18"/>
  <c r="C268" i="18"/>
  <c r="D267" i="18"/>
  <c r="C267" i="18"/>
  <c r="I261" i="18"/>
  <c r="I260" i="18"/>
  <c r="D259" i="18"/>
  <c r="C259" i="18"/>
  <c r="D258" i="18"/>
  <c r="C258" i="18"/>
  <c r="J257" i="18"/>
  <c r="H257" i="18"/>
  <c r="H260" i="18" s="1"/>
  <c r="F257" i="18"/>
  <c r="E257" i="18"/>
  <c r="D257" i="18"/>
  <c r="D256" i="18"/>
  <c r="C256" i="18"/>
  <c r="D255" i="18"/>
  <c r="C255" i="18"/>
  <c r="D254" i="18"/>
  <c r="C254" i="18"/>
  <c r="D253" i="18"/>
  <c r="C253" i="18"/>
  <c r="D252" i="18"/>
  <c r="C252" i="18"/>
  <c r="D251" i="18"/>
  <c r="C251" i="18"/>
  <c r="D250" i="18"/>
  <c r="C250" i="18"/>
  <c r="D249" i="18"/>
  <c r="C249" i="18"/>
  <c r="D248" i="18"/>
  <c r="C248" i="18"/>
  <c r="D247" i="18"/>
  <c r="C247" i="18"/>
  <c r="J246" i="18"/>
  <c r="G246" i="18"/>
  <c r="F246" i="18"/>
  <c r="D246" i="18"/>
  <c r="I240" i="18"/>
  <c r="H240" i="18"/>
  <c r="H524" i="18" s="1"/>
  <c r="G240" i="18"/>
  <c r="F240" i="18"/>
  <c r="E240" i="18"/>
  <c r="E524" i="18" s="1"/>
  <c r="I239" i="18"/>
  <c r="H239" i="18"/>
  <c r="G239" i="18"/>
  <c r="F239" i="18"/>
  <c r="E239" i="18"/>
  <c r="D238" i="18"/>
  <c r="C238" i="18"/>
  <c r="D237" i="18"/>
  <c r="C237" i="18"/>
  <c r="D236" i="18"/>
  <c r="C236" i="18"/>
  <c r="D235" i="18"/>
  <c r="C235" i="18"/>
  <c r="D234" i="18"/>
  <c r="C234" i="18"/>
  <c r="I228" i="18"/>
  <c r="G228" i="18"/>
  <c r="F228" i="18"/>
  <c r="E228" i="18"/>
  <c r="E523" i="18" s="1"/>
  <c r="I227" i="18"/>
  <c r="G227" i="18"/>
  <c r="F227" i="18"/>
  <c r="E227" i="18"/>
  <c r="D226" i="18"/>
  <c r="C226" i="18"/>
  <c r="D225" i="18"/>
  <c r="C225" i="18"/>
  <c r="H224" i="18"/>
  <c r="H228" i="18" s="1"/>
  <c r="H523" i="18" s="1"/>
  <c r="D224" i="18"/>
  <c r="D223" i="18"/>
  <c r="C223" i="18"/>
  <c r="D222" i="18"/>
  <c r="C222" i="18"/>
  <c r="D221" i="18"/>
  <c r="C221" i="18"/>
  <c r="D220" i="18"/>
  <c r="C220" i="18"/>
  <c r="D219" i="18"/>
  <c r="C219" i="18"/>
  <c r="L217" i="18"/>
  <c r="L232" i="18" s="1"/>
  <c r="L244" i="18" s="1"/>
  <c r="I213" i="18"/>
  <c r="H213" i="18"/>
  <c r="H522" i="18" s="1"/>
  <c r="G213" i="18"/>
  <c r="F213" i="18"/>
  <c r="E213" i="18"/>
  <c r="E522" i="18" s="1"/>
  <c r="I212" i="18"/>
  <c r="H212" i="18"/>
  <c r="G212" i="18"/>
  <c r="F212" i="18"/>
  <c r="E212" i="18"/>
  <c r="D211" i="18"/>
  <c r="C211" i="18"/>
  <c r="D210" i="18"/>
  <c r="C210" i="18"/>
  <c r="D209" i="18"/>
  <c r="C209" i="18"/>
  <c r="D208" i="18"/>
  <c r="C208" i="18"/>
  <c r="D207" i="18"/>
  <c r="C207" i="18"/>
  <c r="D206" i="18"/>
  <c r="C206" i="18"/>
  <c r="D205" i="18"/>
  <c r="C205" i="18"/>
  <c r="D204" i="18"/>
  <c r="C204" i="18"/>
  <c r="I198" i="18"/>
  <c r="H198" i="18"/>
  <c r="H521" i="18" s="1"/>
  <c r="G198" i="18"/>
  <c r="F198" i="18"/>
  <c r="F521" i="18" s="1"/>
  <c r="E198" i="18"/>
  <c r="E521" i="18" s="1"/>
  <c r="I197" i="18"/>
  <c r="H197" i="18"/>
  <c r="G197" i="18"/>
  <c r="F197" i="18"/>
  <c r="E197" i="18"/>
  <c r="D196" i="18"/>
  <c r="C196" i="18"/>
  <c r="D195" i="18"/>
  <c r="C195" i="18"/>
  <c r="D194" i="18"/>
  <c r="C194" i="18"/>
  <c r="D193" i="18"/>
  <c r="C193" i="18"/>
  <c r="D192" i="18"/>
  <c r="C192" i="18"/>
  <c r="D191" i="18"/>
  <c r="C191" i="18"/>
  <c r="D190" i="18"/>
  <c r="C190" i="18"/>
  <c r="D189" i="18"/>
  <c r="C189" i="18"/>
  <c r="D188" i="18"/>
  <c r="C188" i="18"/>
  <c r="D187" i="18"/>
  <c r="C187" i="18"/>
  <c r="D186" i="18"/>
  <c r="C186" i="18"/>
  <c r="D185" i="18"/>
  <c r="C185" i="18"/>
  <c r="D184" i="18"/>
  <c r="C184" i="18"/>
  <c r="D183" i="18"/>
  <c r="C183" i="18"/>
  <c r="D182" i="18"/>
  <c r="C182" i="18"/>
  <c r="D181" i="18"/>
  <c r="C181" i="18"/>
  <c r="D180" i="18"/>
  <c r="C180" i="18"/>
  <c r="I172" i="18"/>
  <c r="H172" i="18"/>
  <c r="H519" i="18" s="1"/>
  <c r="G172" i="18"/>
  <c r="F172" i="18"/>
  <c r="E172" i="18"/>
  <c r="E519" i="18" s="1"/>
  <c r="D171" i="18"/>
  <c r="C171" i="18"/>
  <c r="D170" i="18"/>
  <c r="C170" i="18"/>
  <c r="I164" i="18"/>
  <c r="H164" i="18"/>
  <c r="H518" i="18" s="1"/>
  <c r="G164" i="18"/>
  <c r="F164" i="18"/>
  <c r="E164" i="18"/>
  <c r="E518" i="18" s="1"/>
  <c r="I163" i="18"/>
  <c r="H163" i="18"/>
  <c r="G163" i="18"/>
  <c r="F163" i="18"/>
  <c r="E163" i="18"/>
  <c r="D162" i="18"/>
  <c r="C162" i="18"/>
  <c r="D161" i="18"/>
  <c r="C161" i="18"/>
  <c r="D160" i="18"/>
  <c r="C160" i="18"/>
  <c r="D159" i="18"/>
  <c r="C159" i="18"/>
  <c r="D158" i="18"/>
  <c r="C158" i="18"/>
  <c r="D157" i="18"/>
  <c r="C157" i="18"/>
  <c r="D156" i="18"/>
  <c r="C156" i="18"/>
  <c r="D155" i="18"/>
  <c r="C155" i="18"/>
  <c r="D154" i="18"/>
  <c r="C154" i="18"/>
  <c r="D153" i="18"/>
  <c r="C153" i="18"/>
  <c r="D152" i="18"/>
  <c r="C152" i="18"/>
  <c r="D151" i="18"/>
  <c r="C151" i="18"/>
  <c r="D150" i="18"/>
  <c r="C150" i="18"/>
  <c r="D149" i="18"/>
  <c r="C149" i="18"/>
  <c r="I143" i="18"/>
  <c r="H143" i="18"/>
  <c r="H517" i="18" s="1"/>
  <c r="G143" i="18"/>
  <c r="F143" i="18"/>
  <c r="E143" i="18"/>
  <c r="E517" i="18" s="1"/>
  <c r="I142" i="18"/>
  <c r="H142" i="18"/>
  <c r="G142" i="18"/>
  <c r="F142" i="18"/>
  <c r="E142" i="18"/>
  <c r="D141" i="18"/>
  <c r="C141" i="18"/>
  <c r="D140" i="18"/>
  <c r="C140" i="18"/>
  <c r="D139" i="18"/>
  <c r="C139" i="18"/>
  <c r="D138" i="18"/>
  <c r="C138" i="18"/>
  <c r="D137" i="18"/>
  <c r="C137" i="18"/>
  <c r="D136" i="18"/>
  <c r="C136" i="18"/>
  <c r="D135" i="18"/>
  <c r="C135" i="18"/>
  <c r="D134" i="18"/>
  <c r="C134" i="18"/>
  <c r="D133" i="18"/>
  <c r="C133" i="18"/>
  <c r="D132" i="18"/>
  <c r="C132" i="18"/>
  <c r="D131" i="18"/>
  <c r="C131" i="18"/>
  <c r="D130" i="18"/>
  <c r="C130" i="18"/>
  <c r="D129" i="18"/>
  <c r="C129" i="18"/>
  <c r="D128" i="18"/>
  <c r="C128" i="18"/>
  <c r="D127" i="18"/>
  <c r="C127" i="18"/>
  <c r="D126" i="18"/>
  <c r="C126" i="18"/>
  <c r="D125" i="18"/>
  <c r="C125" i="18"/>
  <c r="D124" i="18"/>
  <c r="C124" i="18"/>
  <c r="D123" i="18"/>
  <c r="C123" i="18"/>
  <c r="D122" i="18"/>
  <c r="C122" i="18"/>
  <c r="D121" i="18"/>
  <c r="C121" i="18"/>
  <c r="D120" i="18"/>
  <c r="C120" i="18"/>
  <c r="D119" i="18"/>
  <c r="C119" i="18"/>
  <c r="D118" i="18"/>
  <c r="C118" i="18"/>
  <c r="D117" i="18"/>
  <c r="C117" i="18"/>
  <c r="D116" i="18"/>
  <c r="C116" i="18"/>
  <c r="D115" i="18"/>
  <c r="C115" i="18"/>
  <c r="D114" i="18"/>
  <c r="C114" i="18"/>
  <c r="D113" i="18"/>
  <c r="C113" i="18"/>
  <c r="D112" i="18"/>
  <c r="C112" i="18"/>
  <c r="D111" i="18"/>
  <c r="C111" i="18"/>
  <c r="D110" i="18"/>
  <c r="C110" i="18"/>
  <c r="I104" i="18"/>
  <c r="H104" i="18"/>
  <c r="H516" i="18" s="1"/>
  <c r="G104" i="18"/>
  <c r="F104" i="18"/>
  <c r="E104" i="18"/>
  <c r="E516" i="18" s="1"/>
  <c r="H103" i="18"/>
  <c r="G103" i="18"/>
  <c r="F103" i="18"/>
  <c r="E103" i="18"/>
  <c r="D102" i="18"/>
  <c r="C102" i="18"/>
  <c r="D101" i="18"/>
  <c r="C101" i="18"/>
  <c r="D100" i="18"/>
  <c r="C100" i="18"/>
  <c r="D99" i="18"/>
  <c r="C99" i="18"/>
  <c r="D98" i="18"/>
  <c r="C98" i="18"/>
  <c r="D97" i="18"/>
  <c r="C97" i="18"/>
  <c r="D96" i="18"/>
  <c r="C96" i="18"/>
  <c r="D95" i="18"/>
  <c r="C95" i="18"/>
  <c r="D94" i="18"/>
  <c r="C94" i="18"/>
  <c r="D93" i="18"/>
  <c r="C93" i="18"/>
  <c r="I87" i="18"/>
  <c r="H87" i="18"/>
  <c r="H515" i="18" s="1"/>
  <c r="G87" i="18"/>
  <c r="F87" i="18"/>
  <c r="E87" i="18"/>
  <c r="E515" i="18" s="1"/>
  <c r="D86" i="18"/>
  <c r="C86" i="18"/>
  <c r="C87" i="18" s="1"/>
  <c r="I80" i="18"/>
  <c r="H80" i="18"/>
  <c r="H514" i="18" s="1"/>
  <c r="G80" i="18"/>
  <c r="F80" i="18"/>
  <c r="E80" i="18"/>
  <c r="E514" i="18" s="1"/>
  <c r="H79" i="18"/>
  <c r="G79" i="18"/>
  <c r="F79" i="18"/>
  <c r="E79" i="18"/>
  <c r="D78" i="18"/>
  <c r="C78" i="18"/>
  <c r="D77" i="18"/>
  <c r="C77" i="18"/>
  <c r="D76" i="18"/>
  <c r="C76" i="18"/>
  <c r="D75" i="18"/>
  <c r="C75" i="18"/>
  <c r="D74" i="18"/>
  <c r="C74" i="18"/>
  <c r="D73" i="18"/>
  <c r="C73" i="18"/>
  <c r="D72" i="18"/>
  <c r="C72" i="18"/>
  <c r="I67" i="18"/>
  <c r="H67" i="18"/>
  <c r="H513" i="18" s="1"/>
  <c r="G67" i="18"/>
  <c r="F67" i="18"/>
  <c r="E67" i="18"/>
  <c r="E513" i="18" s="1"/>
  <c r="I66" i="18"/>
  <c r="H66" i="18"/>
  <c r="G66" i="18"/>
  <c r="F66" i="18"/>
  <c r="E66" i="18"/>
  <c r="D65" i="18"/>
  <c r="C65" i="18"/>
  <c r="D64" i="18"/>
  <c r="C64" i="18"/>
  <c r="D63" i="18"/>
  <c r="C63" i="18"/>
  <c r="D62" i="18"/>
  <c r="C62" i="18"/>
  <c r="D61" i="18"/>
  <c r="C61" i="18"/>
  <c r="D60" i="18"/>
  <c r="C60" i="18"/>
  <c r="D59" i="18"/>
  <c r="C59" i="18"/>
  <c r="D58" i="18"/>
  <c r="C58" i="18"/>
  <c r="D57" i="18"/>
  <c r="C57" i="18"/>
  <c r="D56" i="18"/>
  <c r="C56" i="18"/>
  <c r="D55" i="18"/>
  <c r="C55" i="18"/>
  <c r="D54" i="18"/>
  <c r="C54" i="18"/>
  <c r="D53" i="18"/>
  <c r="C53" i="18"/>
  <c r="D52" i="18"/>
  <c r="C52" i="18"/>
  <c r="D51" i="18"/>
  <c r="C51" i="18"/>
  <c r="D50" i="18"/>
  <c r="C50" i="18"/>
  <c r="D49" i="18"/>
  <c r="C49" i="18"/>
  <c r="D48" i="18"/>
  <c r="C48" i="18"/>
  <c r="D47" i="18"/>
  <c r="C47" i="18"/>
  <c r="D46" i="18"/>
  <c r="C46" i="18"/>
  <c r="D45" i="18"/>
  <c r="C45" i="18"/>
  <c r="D44" i="18"/>
  <c r="C44" i="18"/>
  <c r="D43" i="18"/>
  <c r="C43" i="18"/>
  <c r="D42" i="18"/>
  <c r="C42" i="18"/>
  <c r="D41" i="18"/>
  <c r="C41" i="18"/>
  <c r="D40" i="18"/>
  <c r="C40" i="18"/>
  <c r="D39" i="18"/>
  <c r="C39" i="18"/>
  <c r="I33" i="18"/>
  <c r="H33" i="18"/>
  <c r="H512" i="18" s="1"/>
  <c r="G33" i="18"/>
  <c r="G512" i="18" s="1"/>
  <c r="G520" i="18" s="1"/>
  <c r="G535" i="18" s="1"/>
  <c r="F33" i="18"/>
  <c r="E33" i="18"/>
  <c r="E512" i="18" s="1"/>
  <c r="I32" i="18"/>
  <c r="H32" i="18"/>
  <c r="G32" i="18"/>
  <c r="F32" i="18"/>
  <c r="E32" i="18"/>
  <c r="D31" i="18"/>
  <c r="C31" i="18"/>
  <c r="D30" i="18"/>
  <c r="C30" i="18"/>
  <c r="D29" i="18"/>
  <c r="C29" i="18"/>
  <c r="D28" i="18"/>
  <c r="C28" i="18"/>
  <c r="D27" i="18"/>
  <c r="C27" i="18"/>
  <c r="D26" i="18"/>
  <c r="C26" i="18"/>
  <c r="D25" i="18"/>
  <c r="C25" i="18"/>
  <c r="D24" i="18"/>
  <c r="C24" i="18"/>
  <c r="D23" i="18"/>
  <c r="C23" i="18"/>
  <c r="D22" i="18"/>
  <c r="C22" i="18"/>
  <c r="D21" i="18"/>
  <c r="C21" i="18"/>
  <c r="J20" i="18"/>
  <c r="D20" i="18"/>
  <c r="C20" i="18"/>
  <c r="D19" i="18"/>
  <c r="C19" i="18"/>
  <c r="D18" i="18"/>
  <c r="C18" i="18"/>
  <c r="D17" i="18"/>
  <c r="C17" i="18"/>
  <c r="D16" i="18"/>
  <c r="C16" i="18"/>
  <c r="D15" i="18"/>
  <c r="C15" i="18"/>
  <c r="D14" i="18"/>
  <c r="C14" i="18"/>
  <c r="J13" i="18"/>
  <c r="D13" i="18"/>
  <c r="C13" i="18"/>
  <c r="D12" i="18"/>
  <c r="C12" i="18"/>
  <c r="D11" i="18"/>
  <c r="C11" i="18"/>
  <c r="D10" i="18"/>
  <c r="C10" i="18"/>
  <c r="D9" i="18"/>
  <c r="C9" i="18"/>
  <c r="D8" i="18"/>
  <c r="C8" i="18"/>
  <c r="C191" i="26" l="1"/>
  <c r="C227" i="25"/>
  <c r="E147" i="24"/>
  <c r="C228" i="25"/>
  <c r="O14" i="24"/>
  <c r="O38" i="23"/>
  <c r="C514" i="25"/>
  <c r="E69" i="26"/>
  <c r="E439" i="26" s="1"/>
  <c r="C439" i="26" s="1"/>
  <c r="G174" i="20"/>
  <c r="C390" i="25"/>
  <c r="C164" i="18"/>
  <c r="M271" i="26"/>
  <c r="C377" i="23"/>
  <c r="Q38" i="20"/>
  <c r="F312" i="24"/>
  <c r="Q35" i="20"/>
  <c r="C532" i="18"/>
  <c r="C440" i="19"/>
  <c r="C449" i="19"/>
  <c r="O40" i="20"/>
  <c r="Q39" i="23"/>
  <c r="Q35" i="23"/>
  <c r="C515" i="18"/>
  <c r="O39" i="23"/>
  <c r="O25" i="23"/>
  <c r="Q25" i="23" s="1"/>
  <c r="C392" i="23"/>
  <c r="C219" i="24"/>
  <c r="F174" i="20"/>
  <c r="D172" i="18"/>
  <c r="F534" i="18"/>
  <c r="F535" i="18" s="1"/>
  <c r="D320" i="18"/>
  <c r="C103" i="18"/>
  <c r="C203" i="24"/>
  <c r="Q65" i="23"/>
  <c r="O17" i="23" s="1"/>
  <c r="C228" i="24"/>
  <c r="C212" i="18"/>
  <c r="C523" i="18"/>
  <c r="C144" i="19"/>
  <c r="C224" i="18"/>
  <c r="O21" i="23"/>
  <c r="Q21" i="23" s="1"/>
  <c r="C369" i="23"/>
  <c r="C69" i="26"/>
  <c r="C79" i="18"/>
  <c r="I379" i="20"/>
  <c r="O31" i="23"/>
  <c r="Q31" i="23" s="1"/>
  <c r="C313" i="23"/>
  <c r="C57" i="19"/>
  <c r="C444" i="19"/>
  <c r="H460" i="19"/>
  <c r="C457" i="19"/>
  <c r="C459" i="19"/>
  <c r="C241" i="23"/>
  <c r="C58" i="19"/>
  <c r="C261" i="19"/>
  <c r="I176" i="20"/>
  <c r="F199" i="20"/>
  <c r="F241" i="20"/>
  <c r="Q34" i="20"/>
  <c r="N49" i="29"/>
  <c r="O84" i="37"/>
  <c r="N49" i="36"/>
  <c r="C166" i="23"/>
  <c r="I310" i="26"/>
  <c r="C519" i="18"/>
  <c r="C441" i="19"/>
  <c r="C521" i="23"/>
  <c r="D222" i="27"/>
  <c r="D214" i="23"/>
  <c r="D57" i="19"/>
  <c r="D239" i="18"/>
  <c r="D355" i="18"/>
  <c r="D212" i="18"/>
  <c r="D311" i="18"/>
  <c r="D69" i="19"/>
  <c r="D165" i="23"/>
  <c r="C246" i="18"/>
  <c r="C388" i="18" s="1"/>
  <c r="C42" i="25"/>
  <c r="C39" i="26" s="1"/>
  <c r="C39" i="24"/>
  <c r="C48" i="25"/>
  <c r="C45" i="26" s="1"/>
  <c r="C45" i="24"/>
  <c r="C53" i="25"/>
  <c r="C48" i="26" s="1"/>
  <c r="C48" i="24"/>
  <c r="C55" i="25"/>
  <c r="C50" i="26" s="1"/>
  <c r="C50" i="24"/>
  <c r="C59" i="25"/>
  <c r="C54" i="26" s="1"/>
  <c r="C54" i="24"/>
  <c r="C75" i="25"/>
  <c r="C65" i="26" s="1"/>
  <c r="C65" i="24"/>
  <c r="C77" i="25"/>
  <c r="C67" i="26" s="1"/>
  <c r="C67" i="24"/>
  <c r="C105" i="23"/>
  <c r="C97" i="25"/>
  <c r="C84" i="26" s="1"/>
  <c r="C85" i="24"/>
  <c r="E176" i="23"/>
  <c r="C259" i="25"/>
  <c r="C215" i="26" s="1"/>
  <c r="C217" i="24"/>
  <c r="C142" i="18"/>
  <c r="C163" i="18"/>
  <c r="C311" i="18"/>
  <c r="D135" i="19"/>
  <c r="D144" i="19"/>
  <c r="F460" i="19"/>
  <c r="F461" i="19" s="1"/>
  <c r="D201" i="19"/>
  <c r="D239" i="19"/>
  <c r="C252" i="19"/>
  <c r="C277" i="19"/>
  <c r="C278" i="19"/>
  <c r="D289" i="19"/>
  <c r="D299" i="19"/>
  <c r="G199" i="20"/>
  <c r="F215" i="20"/>
  <c r="C15" i="25"/>
  <c r="C16" i="26" s="1"/>
  <c r="C16" i="24"/>
  <c r="C17" i="25"/>
  <c r="C18" i="26" s="1"/>
  <c r="C18" i="24"/>
  <c r="C19" i="25"/>
  <c r="C20" i="26" s="1"/>
  <c r="C20" i="24"/>
  <c r="C20" i="25"/>
  <c r="C21" i="26" s="1"/>
  <c r="C21" i="24"/>
  <c r="C28" i="25"/>
  <c r="C26" i="26" s="1"/>
  <c r="C26" i="24"/>
  <c r="C41" i="25"/>
  <c r="C38" i="26" s="1"/>
  <c r="C38" i="24"/>
  <c r="C43" i="25"/>
  <c r="C40" i="26" s="1"/>
  <c r="C40" i="24"/>
  <c r="C45" i="25"/>
  <c r="C42" i="26" s="1"/>
  <c r="C42" i="24"/>
  <c r="C47" i="25"/>
  <c r="C44" i="26" s="1"/>
  <c r="C44" i="24"/>
  <c r="C49" i="25"/>
  <c r="C46" i="26" s="1"/>
  <c r="C46" i="24"/>
  <c r="C54" i="25"/>
  <c r="C49" i="26" s="1"/>
  <c r="C49" i="24"/>
  <c r="C56" i="25"/>
  <c r="C51" i="26" s="1"/>
  <c r="C51" i="24"/>
  <c r="C58" i="25"/>
  <c r="C53" i="26" s="1"/>
  <c r="C53" i="24"/>
  <c r="C65" i="25"/>
  <c r="C56" i="26" s="1"/>
  <c r="C56" i="24"/>
  <c r="C72" i="25"/>
  <c r="C63" i="24"/>
  <c r="C76" i="25"/>
  <c r="C66" i="26" s="1"/>
  <c r="C66" i="24"/>
  <c r="C78" i="25"/>
  <c r="C68" i="24"/>
  <c r="C94" i="25"/>
  <c r="C83" i="24"/>
  <c r="C96" i="25"/>
  <c r="C83" i="26" s="1"/>
  <c r="C84" i="24"/>
  <c r="C98" i="25"/>
  <c r="C85" i="26" s="1"/>
  <c r="C86" i="24"/>
  <c r="C100" i="25"/>
  <c r="C87" i="26" s="1"/>
  <c r="C88" i="24"/>
  <c r="G176" i="23"/>
  <c r="C141" i="25"/>
  <c r="C121" i="26" s="1"/>
  <c r="C123" i="24"/>
  <c r="O26" i="23"/>
  <c r="Q26" i="23" s="1"/>
  <c r="C131" i="24"/>
  <c r="C136" i="24" s="1"/>
  <c r="C214" i="23"/>
  <c r="C173" i="24"/>
  <c r="C215" i="24"/>
  <c r="C255" i="25"/>
  <c r="E263" i="23"/>
  <c r="E379" i="23" s="1"/>
  <c r="E380" i="23" s="1"/>
  <c r="E257" i="25"/>
  <c r="C216" i="24"/>
  <c r="C258" i="25"/>
  <c r="C214" i="26" s="1"/>
  <c r="E262" i="23"/>
  <c r="L302" i="23"/>
  <c r="L311" i="23" s="1"/>
  <c r="L335" i="23" s="1"/>
  <c r="L337" i="23" s="1"/>
  <c r="L340" i="23" s="1"/>
  <c r="L353" i="23" s="1"/>
  <c r="L354" i="23" s="1"/>
  <c r="L356" i="23" s="1"/>
  <c r="L375" i="23" s="1"/>
  <c r="Q33" i="24"/>
  <c r="C310" i="24"/>
  <c r="O35" i="24"/>
  <c r="O27" i="24"/>
  <c r="Q27" i="24" s="1"/>
  <c r="S274" i="24"/>
  <c r="O33" i="24"/>
  <c r="H69" i="20"/>
  <c r="H520" i="20" s="1"/>
  <c r="C27" i="25"/>
  <c r="C25" i="26" s="1"/>
  <c r="C25" i="24"/>
  <c r="C40" i="25"/>
  <c r="C37" i="26" s="1"/>
  <c r="C37" i="24"/>
  <c r="C46" i="25"/>
  <c r="C43" i="26" s="1"/>
  <c r="C43" i="24"/>
  <c r="C50" i="25"/>
  <c r="C47" i="26" s="1"/>
  <c r="C47" i="24"/>
  <c r="C57" i="25"/>
  <c r="C52" i="26" s="1"/>
  <c r="C52" i="24"/>
  <c r="C62" i="25"/>
  <c r="C55" i="26" s="1"/>
  <c r="C55" i="24"/>
  <c r="C81" i="23"/>
  <c r="C73" i="25"/>
  <c r="C64" i="26" s="1"/>
  <c r="C64" i="24"/>
  <c r="C99" i="25"/>
  <c r="C86" i="26" s="1"/>
  <c r="C87" i="24"/>
  <c r="C140" i="25"/>
  <c r="C120" i="26" s="1"/>
  <c r="C122" i="24"/>
  <c r="I176" i="23"/>
  <c r="O29" i="23"/>
  <c r="Q29" i="23" s="1"/>
  <c r="C174" i="24"/>
  <c r="H262" i="23"/>
  <c r="H257" i="25"/>
  <c r="H261" i="25" s="1"/>
  <c r="H525" i="25" s="1"/>
  <c r="H534" i="25" s="1"/>
  <c r="C193" i="19"/>
  <c r="C202" i="19"/>
  <c r="C239" i="19"/>
  <c r="C454" i="19"/>
  <c r="C8" i="25"/>
  <c r="C10" i="24"/>
  <c r="C389" i="23"/>
  <c r="C10" i="25"/>
  <c r="C12" i="24"/>
  <c r="C21" i="25"/>
  <c r="C22" i="26" s="1"/>
  <c r="C22" i="24"/>
  <c r="C22" i="25"/>
  <c r="C23" i="26" s="1"/>
  <c r="C23" i="24"/>
  <c r="C25" i="25"/>
  <c r="C24" i="26" s="1"/>
  <c r="C24" i="24"/>
  <c r="O33" i="23"/>
  <c r="C111" i="25"/>
  <c r="C96" i="26" s="1"/>
  <c r="C98" i="24"/>
  <c r="C113" i="25"/>
  <c r="C98" i="26" s="1"/>
  <c r="C100" i="24"/>
  <c r="C115" i="25"/>
  <c r="C100" i="26" s="1"/>
  <c r="C102" i="24"/>
  <c r="C117" i="25"/>
  <c r="C102" i="26" s="1"/>
  <c r="C104" i="24"/>
  <c r="C122" i="25"/>
  <c r="C105" i="26" s="1"/>
  <c r="C107" i="24"/>
  <c r="C124" i="25"/>
  <c r="C107" i="26" s="1"/>
  <c r="C109" i="24"/>
  <c r="C126" i="25"/>
  <c r="C109" i="26" s="1"/>
  <c r="C111" i="24"/>
  <c r="C128" i="25"/>
  <c r="C111" i="26" s="1"/>
  <c r="C113" i="24"/>
  <c r="C130" i="25"/>
  <c r="C113" i="26" s="1"/>
  <c r="C115" i="24"/>
  <c r="C135" i="25"/>
  <c r="C116" i="26" s="1"/>
  <c r="C118" i="24"/>
  <c r="C137" i="25"/>
  <c r="C118" i="26" s="1"/>
  <c r="C120" i="24"/>
  <c r="C181" i="25"/>
  <c r="C152" i="26" s="1"/>
  <c r="C154" i="24"/>
  <c r="C187" i="25"/>
  <c r="C155" i="26" s="1"/>
  <c r="C157" i="24"/>
  <c r="C191" i="25"/>
  <c r="C158" i="26" s="1"/>
  <c r="C160" i="24"/>
  <c r="C193" i="25"/>
  <c r="C160" i="26" s="1"/>
  <c r="C162" i="24"/>
  <c r="C242" i="23"/>
  <c r="C211" i="24"/>
  <c r="C248" i="25"/>
  <c r="C209" i="26" s="1"/>
  <c r="C250" i="25"/>
  <c r="C211" i="26" s="1"/>
  <c r="C213" i="24"/>
  <c r="C253" i="25"/>
  <c r="C212" i="26" s="1"/>
  <c r="C214" i="24"/>
  <c r="C368" i="23"/>
  <c r="C297" i="24"/>
  <c r="Q34" i="24" s="1"/>
  <c r="C202" i="24"/>
  <c r="C290" i="24"/>
  <c r="Q30" i="24"/>
  <c r="C14" i="25"/>
  <c r="C15" i="26" s="1"/>
  <c r="C15" i="24"/>
  <c r="C16" i="25"/>
  <c r="C17" i="26" s="1"/>
  <c r="C17" i="24"/>
  <c r="C18" i="25"/>
  <c r="C19" i="26" s="1"/>
  <c r="C19" i="24"/>
  <c r="C29" i="25"/>
  <c r="C27" i="26" s="1"/>
  <c r="C27" i="24"/>
  <c r="C30" i="25"/>
  <c r="C28" i="26" s="1"/>
  <c r="C28" i="24"/>
  <c r="C44" i="25"/>
  <c r="C41" i="26" s="1"/>
  <c r="C41" i="24"/>
  <c r="C174" i="23"/>
  <c r="C143" i="24"/>
  <c r="C196" i="25"/>
  <c r="C163" i="26" s="1"/>
  <c r="C165" i="24"/>
  <c r="C295" i="23"/>
  <c r="C236" i="24"/>
  <c r="C322" i="23"/>
  <c r="C261" i="24"/>
  <c r="H520" i="18"/>
  <c r="C514" i="18"/>
  <c r="C516" i="18"/>
  <c r="C172" i="18"/>
  <c r="C529" i="18"/>
  <c r="G81" i="20"/>
  <c r="H230" i="20"/>
  <c r="H530" i="20" s="1"/>
  <c r="C9" i="25"/>
  <c r="C11" i="26" s="1"/>
  <c r="C11" i="24"/>
  <c r="C11" i="25"/>
  <c r="C13" i="26" s="1"/>
  <c r="C13" i="24"/>
  <c r="C13" i="25"/>
  <c r="C14" i="26" s="1"/>
  <c r="C14" i="24"/>
  <c r="O22" i="23"/>
  <c r="Q22" i="23" s="1"/>
  <c r="O24" i="23"/>
  <c r="Q24" i="23" s="1"/>
  <c r="O27" i="23"/>
  <c r="Q27" i="23" s="1"/>
  <c r="Q34" i="23"/>
  <c r="Q38" i="23"/>
  <c r="C39" i="25"/>
  <c r="C36" i="24"/>
  <c r="C89" i="23"/>
  <c r="C76" i="24"/>
  <c r="C144" i="23"/>
  <c r="C110" i="25"/>
  <c r="C97" i="24"/>
  <c r="C112" i="25"/>
  <c r="C97" i="26" s="1"/>
  <c r="C99" i="24"/>
  <c r="C114" i="25"/>
  <c r="C99" i="26" s="1"/>
  <c r="C101" i="24"/>
  <c r="C116" i="25"/>
  <c r="C101" i="26" s="1"/>
  <c r="C103" i="24"/>
  <c r="C118" i="25"/>
  <c r="C103" i="26" s="1"/>
  <c r="C105" i="24"/>
  <c r="C121" i="25"/>
  <c r="C104" i="26" s="1"/>
  <c r="C106" i="24"/>
  <c r="C123" i="25"/>
  <c r="C106" i="26" s="1"/>
  <c r="C108" i="24"/>
  <c r="C125" i="25"/>
  <c r="C108" i="26" s="1"/>
  <c r="C110" i="24"/>
  <c r="C127" i="25"/>
  <c r="C110" i="26" s="1"/>
  <c r="C112" i="24"/>
  <c r="C129" i="25"/>
  <c r="C112" i="26" s="1"/>
  <c r="C114" i="24"/>
  <c r="C131" i="25"/>
  <c r="C114" i="26" s="1"/>
  <c r="C116" i="24"/>
  <c r="C134" i="25"/>
  <c r="C115" i="26" s="1"/>
  <c r="C117" i="24"/>
  <c r="C136" i="25"/>
  <c r="C117" i="26" s="1"/>
  <c r="C119" i="24"/>
  <c r="C138" i="25"/>
  <c r="C119" i="26" s="1"/>
  <c r="C121" i="24"/>
  <c r="F176" i="23"/>
  <c r="C180" i="25"/>
  <c r="C153" i="24"/>
  <c r="C184" i="25"/>
  <c r="C153" i="26" s="1"/>
  <c r="C155" i="24"/>
  <c r="C186" i="25"/>
  <c r="C154" i="26" s="1"/>
  <c r="C156" i="24"/>
  <c r="C188" i="25"/>
  <c r="C156" i="26" s="1"/>
  <c r="C158" i="24"/>
  <c r="C190" i="25"/>
  <c r="C157" i="26" s="1"/>
  <c r="C159" i="24"/>
  <c r="C192" i="25"/>
  <c r="C159" i="26" s="1"/>
  <c r="C161" i="24"/>
  <c r="C194" i="25"/>
  <c r="C161" i="26" s="1"/>
  <c r="C163" i="24"/>
  <c r="O30" i="23"/>
  <c r="Q30" i="23" s="1"/>
  <c r="C186" i="24"/>
  <c r="C247" i="25"/>
  <c r="C208" i="26" s="1"/>
  <c r="C210" i="24"/>
  <c r="C249" i="25"/>
  <c r="C210" i="26" s="1"/>
  <c r="C212" i="24"/>
  <c r="C280" i="23"/>
  <c r="D313" i="23"/>
  <c r="O35" i="23"/>
  <c r="C252" i="24"/>
  <c r="O30" i="24" s="1"/>
  <c r="C357" i="23"/>
  <c r="H312" i="24"/>
  <c r="H166" i="20"/>
  <c r="H525" i="20" s="1"/>
  <c r="G200" i="20"/>
  <c r="G241" i="20"/>
  <c r="H68" i="20"/>
  <c r="C10" i="20"/>
  <c r="F82" i="20"/>
  <c r="H200" i="20"/>
  <c r="H528" i="20" s="1"/>
  <c r="E215" i="20"/>
  <c r="E529" i="20" s="1"/>
  <c r="F214" i="20"/>
  <c r="G215" i="20"/>
  <c r="G214" i="20"/>
  <c r="E230" i="20"/>
  <c r="E530" i="20" s="1"/>
  <c r="F230" i="20"/>
  <c r="G230" i="20"/>
  <c r="H229" i="20"/>
  <c r="F145" i="20"/>
  <c r="D18" i="24"/>
  <c r="D17" i="25"/>
  <c r="D195" i="25"/>
  <c r="D164" i="24"/>
  <c r="F262" i="23"/>
  <c r="F246" i="25"/>
  <c r="D103" i="18"/>
  <c r="D34" i="23"/>
  <c r="D8" i="25"/>
  <c r="D10" i="24"/>
  <c r="D10" i="25"/>
  <c r="D12" i="24"/>
  <c r="D21" i="25"/>
  <c r="D22" i="24"/>
  <c r="D23" i="24"/>
  <c r="D22" i="25"/>
  <c r="D24" i="24"/>
  <c r="D25" i="25"/>
  <c r="D181" i="25"/>
  <c r="D154" i="24"/>
  <c r="D187" i="25"/>
  <c r="D157" i="24"/>
  <c r="D160" i="24"/>
  <c r="D191" i="25"/>
  <c r="D193" i="25"/>
  <c r="D162" i="24"/>
  <c r="D229" i="23"/>
  <c r="G262" i="23"/>
  <c r="G246" i="25"/>
  <c r="F263" i="23"/>
  <c r="F379" i="23" s="1"/>
  <c r="F380" i="23" s="1"/>
  <c r="D280" i="23"/>
  <c r="D357" i="23"/>
  <c r="S334" i="23"/>
  <c r="D15" i="25"/>
  <c r="D16" i="24"/>
  <c r="D19" i="25"/>
  <c r="D20" i="24"/>
  <c r="D21" i="24"/>
  <c r="D20" i="25"/>
  <c r="D28" i="25"/>
  <c r="D26" i="24"/>
  <c r="F260" i="18"/>
  <c r="D178" i="19"/>
  <c r="D217" i="19"/>
  <c r="C217" i="19"/>
  <c r="D252" i="19"/>
  <c r="D14" i="25"/>
  <c r="D15" i="24"/>
  <c r="D17" i="24"/>
  <c r="D16" i="25"/>
  <c r="D18" i="25"/>
  <c r="D19" i="24"/>
  <c r="D27" i="25"/>
  <c r="D25" i="24"/>
  <c r="D29" i="25"/>
  <c r="D27" i="24"/>
  <c r="D28" i="24"/>
  <c r="D30" i="25"/>
  <c r="D81" i="23"/>
  <c r="D73" i="25"/>
  <c r="D64" i="26" s="1"/>
  <c r="D68" i="26" s="1"/>
  <c r="D145" i="26" s="1"/>
  <c r="D105" i="23"/>
  <c r="D174" i="23"/>
  <c r="D165" i="24"/>
  <c r="D196" i="25"/>
  <c r="D241" i="23"/>
  <c r="C248" i="23"/>
  <c r="O32" i="23" s="1"/>
  <c r="Q32" i="23" s="1"/>
  <c r="G263" i="23"/>
  <c r="G379" i="23" s="1"/>
  <c r="D295" i="23"/>
  <c r="D322" i="23"/>
  <c r="D342" i="23"/>
  <c r="D367" i="18"/>
  <c r="D123" i="19"/>
  <c r="D262" i="20"/>
  <c r="D9" i="25"/>
  <c r="D11" i="24"/>
  <c r="D13" i="24"/>
  <c r="D11" i="25"/>
  <c r="D13" i="25"/>
  <c r="D14" i="24"/>
  <c r="D68" i="23"/>
  <c r="D39" i="25"/>
  <c r="D66" i="25" s="1"/>
  <c r="D144" i="23"/>
  <c r="D199" i="23"/>
  <c r="D180" i="25"/>
  <c r="D153" i="24"/>
  <c r="D184" i="25"/>
  <c r="D155" i="24"/>
  <c r="D156" i="24"/>
  <c r="D186" i="25"/>
  <c r="D188" i="25"/>
  <c r="D158" i="24"/>
  <c r="D190" i="25"/>
  <c r="D159" i="24"/>
  <c r="D161" i="24"/>
  <c r="D192" i="25"/>
  <c r="D194" i="25"/>
  <c r="D163" i="24"/>
  <c r="D262" i="23"/>
  <c r="D246" i="25"/>
  <c r="D260" i="25" s="1"/>
  <c r="D368" i="23"/>
  <c r="F398" i="23"/>
  <c r="N167" i="27"/>
  <c r="O144" i="27"/>
  <c r="O15" i="27"/>
  <c r="O233" i="27"/>
  <c r="J222" i="27"/>
  <c r="L233" i="27"/>
  <c r="Q37" i="23"/>
  <c r="N347" i="23"/>
  <c r="N346" i="23"/>
  <c r="C274" i="24"/>
  <c r="I379" i="23"/>
  <c r="I380" i="23" s="1"/>
  <c r="M7" i="26"/>
  <c r="E145" i="26"/>
  <c r="E310" i="26" s="1"/>
  <c r="G310" i="26"/>
  <c r="F310" i="26"/>
  <c r="M11" i="26"/>
  <c r="C145" i="26"/>
  <c r="C513" i="25"/>
  <c r="C198" i="25"/>
  <c r="H310" i="26"/>
  <c r="H459" i="26"/>
  <c r="H460" i="26" s="1"/>
  <c r="E445" i="26"/>
  <c r="C445" i="26" s="1"/>
  <c r="C217" i="26"/>
  <c r="C309" i="26" s="1"/>
  <c r="E459" i="26"/>
  <c r="E521" i="25"/>
  <c r="C80" i="25"/>
  <c r="I174" i="25"/>
  <c r="I378" i="25" s="1"/>
  <c r="F174" i="25"/>
  <c r="I313" i="24"/>
  <c r="H147" i="24"/>
  <c r="S11" i="24"/>
  <c r="C429" i="24"/>
  <c r="H520" i="25"/>
  <c r="C67" i="25"/>
  <c r="H174" i="25"/>
  <c r="C512" i="25"/>
  <c r="G174" i="25"/>
  <c r="E174" i="25"/>
  <c r="C33" i="25"/>
  <c r="L307" i="25"/>
  <c r="L309" i="25"/>
  <c r="L333" i="25" s="1"/>
  <c r="L335" i="25" s="1"/>
  <c r="L338" i="25" s="1"/>
  <c r="L351" i="25" s="1"/>
  <c r="L352" i="25" s="1"/>
  <c r="L306" i="25"/>
  <c r="L328" i="25" s="1"/>
  <c r="L318" i="25" s="1"/>
  <c r="L319" i="25" s="1"/>
  <c r="E520" i="25"/>
  <c r="E312" i="24"/>
  <c r="E313" i="24" s="1"/>
  <c r="C167" i="24"/>
  <c r="C30" i="24"/>
  <c r="F147" i="24"/>
  <c r="H443" i="24"/>
  <c r="G147" i="24"/>
  <c r="C420" i="24"/>
  <c r="E428" i="24"/>
  <c r="C428" i="24" s="1"/>
  <c r="G312" i="24"/>
  <c r="E442" i="24"/>
  <c r="C538" i="23"/>
  <c r="N358" i="23"/>
  <c r="C358" i="23"/>
  <c r="C343" i="23"/>
  <c r="C296" i="23"/>
  <c r="N296" i="23"/>
  <c r="C533" i="23"/>
  <c r="C524" i="23"/>
  <c r="C106" i="23"/>
  <c r="C520" i="23"/>
  <c r="H527" i="23"/>
  <c r="C531" i="23"/>
  <c r="C535" i="23"/>
  <c r="C539" i="23"/>
  <c r="C519" i="23"/>
  <c r="C530" i="23"/>
  <c r="C522" i="23"/>
  <c r="C529" i="23"/>
  <c r="C536" i="23"/>
  <c r="C523" i="23"/>
  <c r="E537" i="23"/>
  <c r="C537" i="23" s="1"/>
  <c r="C34" i="23"/>
  <c r="C68" i="23"/>
  <c r="C230" i="23"/>
  <c r="C281" i="23"/>
  <c r="C35" i="23"/>
  <c r="O36" i="23"/>
  <c r="C82" i="23"/>
  <c r="H176" i="23"/>
  <c r="C215" i="23"/>
  <c r="C229" i="23"/>
  <c r="H263" i="23"/>
  <c r="H532" i="23" s="1"/>
  <c r="C323" i="23"/>
  <c r="N343" i="23"/>
  <c r="D358" i="23"/>
  <c r="D369" i="23"/>
  <c r="G398" i="23"/>
  <c r="E526" i="23"/>
  <c r="C526" i="23" s="1"/>
  <c r="E534" i="23"/>
  <c r="E540" i="23"/>
  <c r="C540" i="23" s="1"/>
  <c r="C259" i="23"/>
  <c r="C314" i="23"/>
  <c r="O20" i="23"/>
  <c r="O37" i="23"/>
  <c r="C145" i="23"/>
  <c r="N314" i="23"/>
  <c r="E525" i="23"/>
  <c r="C525" i="23" s="1"/>
  <c r="F534" i="23"/>
  <c r="F541" i="23" s="1"/>
  <c r="F542" i="23" s="1"/>
  <c r="C165" i="23"/>
  <c r="C342" i="23"/>
  <c r="O34" i="23"/>
  <c r="C69" i="23"/>
  <c r="N370" i="23"/>
  <c r="G242" i="20"/>
  <c r="F242" i="20"/>
  <c r="G229" i="20"/>
  <c r="F229" i="20"/>
  <c r="E229" i="20"/>
  <c r="E214" i="20"/>
  <c r="H199" i="20"/>
  <c r="F200" i="20"/>
  <c r="F528" i="20" s="1"/>
  <c r="F541" i="20" s="1"/>
  <c r="F542" i="20" s="1"/>
  <c r="D105" i="20"/>
  <c r="G69" i="20"/>
  <c r="F81" i="20"/>
  <c r="G106" i="20"/>
  <c r="F165" i="20"/>
  <c r="H165" i="20"/>
  <c r="F68" i="20"/>
  <c r="F105" i="20"/>
  <c r="F106" i="20"/>
  <c r="H106" i="20"/>
  <c r="H523" i="20" s="1"/>
  <c r="F144" i="20"/>
  <c r="G144" i="20"/>
  <c r="G166" i="20"/>
  <c r="G165" i="20"/>
  <c r="F166" i="20"/>
  <c r="G145" i="20"/>
  <c r="H105" i="20"/>
  <c r="G105" i="20"/>
  <c r="G82" i="20"/>
  <c r="G68" i="20"/>
  <c r="F69" i="20"/>
  <c r="D295" i="20"/>
  <c r="L302" i="20"/>
  <c r="L309" i="20" s="1"/>
  <c r="C280" i="20"/>
  <c r="O33" i="20"/>
  <c r="D342" i="20"/>
  <c r="O38" i="20"/>
  <c r="C368" i="20"/>
  <c r="D144" i="20"/>
  <c r="D241" i="20"/>
  <c r="D280" i="20"/>
  <c r="C314" i="20"/>
  <c r="D368" i="20"/>
  <c r="F35" i="20"/>
  <c r="C369" i="20"/>
  <c r="H35" i="20"/>
  <c r="H519" i="20" s="1"/>
  <c r="O39" i="20"/>
  <c r="D68" i="20"/>
  <c r="D229" i="20"/>
  <c r="O35" i="20"/>
  <c r="C538" i="20"/>
  <c r="F34" i="20"/>
  <c r="G35" i="20"/>
  <c r="G519" i="20" s="1"/>
  <c r="G527" i="20" s="1"/>
  <c r="G542" i="20" s="1"/>
  <c r="D34" i="20"/>
  <c r="Q39" i="20"/>
  <c r="D214" i="20"/>
  <c r="C281" i="20"/>
  <c r="D322" i="20"/>
  <c r="C357" i="20"/>
  <c r="C358" i="20"/>
  <c r="D81" i="20"/>
  <c r="D165" i="20"/>
  <c r="D174" i="20"/>
  <c r="D199" i="20"/>
  <c r="H34" i="20"/>
  <c r="G34" i="20"/>
  <c r="C522" i="20"/>
  <c r="C533" i="20"/>
  <c r="C296" i="20"/>
  <c r="D313" i="20"/>
  <c r="C535" i="20"/>
  <c r="Q37" i="20"/>
  <c r="O37" i="20"/>
  <c r="C342" i="20"/>
  <c r="D357" i="20"/>
  <c r="D358" i="20"/>
  <c r="N296" i="20"/>
  <c r="N358" i="20"/>
  <c r="C322" i="20"/>
  <c r="O36" i="20"/>
  <c r="C343" i="20"/>
  <c r="N343" i="20"/>
  <c r="E537" i="20"/>
  <c r="C537" i="20" s="1"/>
  <c r="S334" i="20"/>
  <c r="C295" i="20"/>
  <c r="O34" i="20"/>
  <c r="C313" i="20"/>
  <c r="C536" i="20"/>
  <c r="C539" i="20"/>
  <c r="C323" i="20"/>
  <c r="D369" i="20"/>
  <c r="E534" i="20"/>
  <c r="C534" i="20" s="1"/>
  <c r="E540" i="20"/>
  <c r="C540" i="20" s="1"/>
  <c r="N314" i="20"/>
  <c r="N370" i="20"/>
  <c r="D340" i="18"/>
  <c r="M272" i="19"/>
  <c r="E310" i="19"/>
  <c r="D32" i="18"/>
  <c r="C513" i="18"/>
  <c r="C518" i="18"/>
  <c r="C522" i="18"/>
  <c r="D278" i="18"/>
  <c r="C526" i="18"/>
  <c r="C340" i="18"/>
  <c r="C70" i="19"/>
  <c r="C136" i="19"/>
  <c r="I146" i="19"/>
  <c r="D165" i="19"/>
  <c r="C192" i="19"/>
  <c r="C201" i="19"/>
  <c r="C227" i="19"/>
  <c r="D277" i="19"/>
  <c r="C288" i="19"/>
  <c r="C33" i="18"/>
  <c r="C66" i="18"/>
  <c r="D142" i="18"/>
  <c r="C517" i="18"/>
  <c r="D163" i="18"/>
  <c r="F174" i="18"/>
  <c r="D227" i="18"/>
  <c r="C240" i="18"/>
  <c r="D260" i="18"/>
  <c r="C278" i="18"/>
  <c r="C293" i="18"/>
  <c r="C320" i="18"/>
  <c r="C355" i="18"/>
  <c r="C366" i="18"/>
  <c r="I377" i="18"/>
  <c r="C29" i="19"/>
  <c r="H446" i="19"/>
  <c r="H461" i="19" s="1"/>
  <c r="C69" i="19"/>
  <c r="D89" i="19"/>
  <c r="C123" i="19"/>
  <c r="C135" i="19"/>
  <c r="F146" i="19"/>
  <c r="C165" i="19"/>
  <c r="C178" i="19"/>
  <c r="D192" i="19"/>
  <c r="D261" i="19"/>
  <c r="D288" i="19"/>
  <c r="I310" i="19"/>
  <c r="C390" i="18"/>
  <c r="D66" i="18"/>
  <c r="C67" i="18"/>
  <c r="D79" i="18"/>
  <c r="G174" i="18"/>
  <c r="I174" i="18"/>
  <c r="D197" i="18"/>
  <c r="C228" i="18"/>
  <c r="H227" i="18"/>
  <c r="C257" i="18"/>
  <c r="G260" i="18"/>
  <c r="D293" i="18"/>
  <c r="C321" i="18"/>
  <c r="C367" i="18"/>
  <c r="D29" i="19"/>
  <c r="C439" i="19"/>
  <c r="C89" i="19"/>
  <c r="G146" i="19"/>
  <c r="D227" i="19"/>
  <c r="C262" i="19"/>
  <c r="C299" i="19"/>
  <c r="C197" i="18"/>
  <c r="C387" i="18"/>
  <c r="C527" i="18"/>
  <c r="C524" i="18"/>
  <c r="C528" i="18"/>
  <c r="C531" i="18"/>
  <c r="C447" i="19"/>
  <c r="C452" i="19"/>
  <c r="C451" i="19"/>
  <c r="C530" i="18"/>
  <c r="C442" i="19"/>
  <c r="C443" i="19"/>
  <c r="C445" i="19"/>
  <c r="C453" i="19"/>
  <c r="C512" i="18"/>
  <c r="E520" i="18"/>
  <c r="C521" i="18"/>
  <c r="C438" i="19"/>
  <c r="E446" i="19"/>
  <c r="C448" i="19"/>
  <c r="C450" i="19"/>
  <c r="C32" i="18"/>
  <c r="H174" i="18"/>
  <c r="C213" i="18"/>
  <c r="C227" i="18"/>
  <c r="C239" i="18"/>
  <c r="D356" i="18"/>
  <c r="D366" i="18"/>
  <c r="F218" i="19"/>
  <c r="C240" i="19"/>
  <c r="C143" i="18"/>
  <c r="E261" i="18"/>
  <c r="E377" i="18" s="1"/>
  <c r="C294" i="18"/>
  <c r="C90" i="19"/>
  <c r="H146" i="19"/>
  <c r="G218" i="19"/>
  <c r="G310" i="19" s="1"/>
  <c r="C228" i="19"/>
  <c r="E455" i="19"/>
  <c r="C455" i="19" s="1"/>
  <c r="F261" i="18"/>
  <c r="F377" i="18" s="1"/>
  <c r="L300" i="18"/>
  <c r="C312" i="18"/>
  <c r="C30" i="19"/>
  <c r="C208" i="19"/>
  <c r="C253" i="19"/>
  <c r="E458" i="19"/>
  <c r="C458" i="19" s="1"/>
  <c r="C198" i="18"/>
  <c r="E260" i="18"/>
  <c r="G261" i="18"/>
  <c r="G377" i="18" s="1"/>
  <c r="C279" i="18"/>
  <c r="C341" i="18"/>
  <c r="C300" i="19"/>
  <c r="C80" i="18"/>
  <c r="C104" i="18"/>
  <c r="H261" i="18"/>
  <c r="H525" i="18" s="1"/>
  <c r="H534" i="18" s="1"/>
  <c r="C124" i="19"/>
  <c r="C166" i="19"/>
  <c r="C289" i="19"/>
  <c r="D300" i="19"/>
  <c r="E456" i="19"/>
  <c r="C456" i="19" s="1"/>
  <c r="E174" i="18"/>
  <c r="E533" i="18"/>
  <c r="C533" i="18" s="1"/>
  <c r="C179" i="19"/>
  <c r="E146" i="19"/>
  <c r="H310" i="19"/>
  <c r="C356" i="18"/>
  <c r="H377" i="25" l="1"/>
  <c r="E532" i="23"/>
  <c r="L355" i="23"/>
  <c r="L309" i="23"/>
  <c r="H535" i="18"/>
  <c r="L308" i="23"/>
  <c r="L330" i="23" s="1"/>
  <c r="L320" i="23" s="1"/>
  <c r="L321" i="23" s="1"/>
  <c r="F313" i="24"/>
  <c r="C260" i="18"/>
  <c r="F378" i="18"/>
  <c r="G380" i="23"/>
  <c r="I380" i="20"/>
  <c r="C520" i="18"/>
  <c r="F176" i="20"/>
  <c r="C530" i="20"/>
  <c r="L308" i="20"/>
  <c r="L330" i="20" s="1"/>
  <c r="L320" i="20" s="1"/>
  <c r="L321" i="20" s="1"/>
  <c r="C446" i="19"/>
  <c r="Q11" i="23"/>
  <c r="H313" i="24"/>
  <c r="I378" i="18"/>
  <c r="G378" i="18"/>
  <c r="H311" i="19"/>
  <c r="G176" i="20"/>
  <c r="G311" i="19"/>
  <c r="M11" i="19"/>
  <c r="I311" i="19"/>
  <c r="S11" i="20"/>
  <c r="O15" i="20"/>
  <c r="E388" i="18"/>
  <c r="C197" i="25"/>
  <c r="C151" i="26"/>
  <c r="C164" i="26" s="1"/>
  <c r="C124" i="24"/>
  <c r="Q29" i="24"/>
  <c r="C241" i="24"/>
  <c r="O24" i="24"/>
  <c r="Q24" i="24" s="1"/>
  <c r="C145" i="24"/>
  <c r="O19" i="24"/>
  <c r="C29" i="24"/>
  <c r="C69" i="24"/>
  <c r="O21" i="24"/>
  <c r="Q21" i="24" s="1"/>
  <c r="C391" i="23"/>
  <c r="C257" i="25"/>
  <c r="C389" i="25" s="1"/>
  <c r="O26" i="24"/>
  <c r="Q26" i="24" s="1"/>
  <c r="C194" i="24"/>
  <c r="C193" i="24"/>
  <c r="C95" i="26"/>
  <c r="C122" i="26" s="1"/>
  <c r="C142" i="25"/>
  <c r="O20" i="24"/>
  <c r="Q20" i="24" s="1"/>
  <c r="C57" i="24"/>
  <c r="C10" i="26"/>
  <c r="C32" i="25"/>
  <c r="E260" i="25"/>
  <c r="E261" i="25"/>
  <c r="O25" i="24"/>
  <c r="Q25" i="24" s="1"/>
  <c r="C180" i="24"/>
  <c r="C179" i="24"/>
  <c r="C63" i="26"/>
  <c r="C68" i="26" s="1"/>
  <c r="C79" i="25"/>
  <c r="H260" i="25"/>
  <c r="M7" i="19"/>
  <c r="H377" i="18"/>
  <c r="H378" i="18" s="1"/>
  <c r="D174" i="18"/>
  <c r="Q11" i="20"/>
  <c r="D197" i="25"/>
  <c r="O11" i="23"/>
  <c r="C254" i="24"/>
  <c r="C36" i="26"/>
  <c r="C57" i="26" s="1"/>
  <c r="C66" i="25"/>
  <c r="C263" i="24"/>
  <c r="O31" i="24"/>
  <c r="C12" i="26"/>
  <c r="C387" i="25"/>
  <c r="C90" i="24"/>
  <c r="O23" i="24"/>
  <c r="Q23" i="24" s="1"/>
  <c r="C389" i="18"/>
  <c r="E390" i="18" s="1"/>
  <c r="C166" i="24"/>
  <c r="N168" i="24" s="1"/>
  <c r="C77" i="24"/>
  <c r="O22" i="24"/>
  <c r="Q22" i="24" s="1"/>
  <c r="O34" i="24"/>
  <c r="C301" i="24"/>
  <c r="C82" i="26"/>
  <c r="C88" i="26" s="1"/>
  <c r="C103" i="25"/>
  <c r="O29" i="24"/>
  <c r="D29" i="24"/>
  <c r="F260" i="25"/>
  <c r="F261" i="25"/>
  <c r="S11" i="23"/>
  <c r="G261" i="25"/>
  <c r="G377" i="25" s="1"/>
  <c r="G378" i="25" s="1"/>
  <c r="G260" i="25"/>
  <c r="D32" i="25"/>
  <c r="C218" i="19"/>
  <c r="C310" i="19" s="1"/>
  <c r="D176" i="23"/>
  <c r="C246" i="25"/>
  <c r="C209" i="24"/>
  <c r="D146" i="19"/>
  <c r="D166" i="24"/>
  <c r="Q11" i="24" s="1"/>
  <c r="D79" i="25"/>
  <c r="O15" i="23"/>
  <c r="P15" i="27"/>
  <c r="P16" i="27" s="1"/>
  <c r="P233" i="27"/>
  <c r="N172" i="27"/>
  <c r="N174" i="27" s="1"/>
  <c r="Q32" i="24"/>
  <c r="C279" i="24"/>
  <c r="O32" i="24"/>
  <c r="C310" i="26"/>
  <c r="C459" i="26"/>
  <c r="E460" i="26"/>
  <c r="C460" i="26" s="1"/>
  <c r="H535" i="25"/>
  <c r="C521" i="25"/>
  <c r="H378" i="25"/>
  <c r="C520" i="25"/>
  <c r="C174" i="25"/>
  <c r="L354" i="25"/>
  <c r="L373" i="25" s="1"/>
  <c r="L353" i="25"/>
  <c r="G313" i="24"/>
  <c r="C315" i="24" s="1"/>
  <c r="C442" i="24"/>
  <c r="E443" i="24"/>
  <c r="C443" i="24" s="1"/>
  <c r="S7" i="23"/>
  <c r="C263" i="23"/>
  <c r="C532" i="23"/>
  <c r="Q20" i="23"/>
  <c r="C534" i="23"/>
  <c r="O7" i="23"/>
  <c r="C262" i="23"/>
  <c r="E527" i="23"/>
  <c r="C527" i="23" s="1"/>
  <c r="C176" i="23"/>
  <c r="E541" i="23"/>
  <c r="O11" i="20"/>
  <c r="L311" i="20"/>
  <c r="L335" i="20" s="1"/>
  <c r="L337" i="20" s="1"/>
  <c r="L340" i="20" s="1"/>
  <c r="L353" i="20" s="1"/>
  <c r="L354" i="20" s="1"/>
  <c r="L356" i="20" s="1"/>
  <c r="L375" i="20" s="1"/>
  <c r="D176" i="20"/>
  <c r="C174" i="18"/>
  <c r="E311" i="19"/>
  <c r="C146" i="19"/>
  <c r="E378" i="18"/>
  <c r="L307" i="18"/>
  <c r="L309" i="18"/>
  <c r="L333" i="18" s="1"/>
  <c r="L335" i="18" s="1"/>
  <c r="L338" i="18" s="1"/>
  <c r="L351" i="18" s="1"/>
  <c r="L352" i="18" s="1"/>
  <c r="L306" i="18"/>
  <c r="L328" i="18" s="1"/>
  <c r="L318" i="18" s="1"/>
  <c r="L319" i="18" s="1"/>
  <c r="E525" i="18"/>
  <c r="C261" i="18"/>
  <c r="C377" i="18" s="1"/>
  <c r="F310" i="19"/>
  <c r="F311" i="19" s="1"/>
  <c r="E460" i="19"/>
  <c r="C312" i="24" l="1"/>
  <c r="C147" i="24"/>
  <c r="O13" i="20"/>
  <c r="S7" i="24"/>
  <c r="C29" i="26"/>
  <c r="O7" i="24"/>
  <c r="C378" i="18"/>
  <c r="F390" i="18" s="1"/>
  <c r="O13" i="23"/>
  <c r="C380" i="18"/>
  <c r="C313" i="24"/>
  <c r="E377" i="25"/>
  <c r="E378" i="25" s="1"/>
  <c r="E525" i="25"/>
  <c r="Q19" i="24"/>
  <c r="Q36" i="24" s="1"/>
  <c r="O36" i="24"/>
  <c r="D174" i="25"/>
  <c r="L355" i="20"/>
  <c r="C218" i="24"/>
  <c r="Q7" i="24" s="1"/>
  <c r="O28" i="24"/>
  <c r="Q28" i="24" s="1"/>
  <c r="C207" i="26"/>
  <c r="C388" i="25"/>
  <c r="C260" i="25"/>
  <c r="R29" i="25" s="1"/>
  <c r="F377" i="25"/>
  <c r="F378" i="25" s="1"/>
  <c r="C261" i="25"/>
  <c r="C377" i="25" s="1"/>
  <c r="C378" i="25" s="1"/>
  <c r="F390" i="25" s="1"/>
  <c r="G390" i="18"/>
  <c r="D147" i="24"/>
  <c r="O11" i="24"/>
  <c r="O13" i="24" s="1"/>
  <c r="E542" i="23"/>
  <c r="O237" i="13"/>
  <c r="C311" i="19"/>
  <c r="P318" i="26" s="1"/>
  <c r="C525" i="18"/>
  <c r="E534" i="18"/>
  <c r="L354" i="18"/>
  <c r="L373" i="18" s="1"/>
  <c r="L353" i="18"/>
  <c r="C460" i="19"/>
  <c r="E461" i="19"/>
  <c r="C461" i="19" s="1"/>
  <c r="O9" i="24" l="1"/>
  <c r="C380" i="25"/>
  <c r="S9" i="24"/>
  <c r="Q9" i="24"/>
  <c r="Q14" i="24" s="1"/>
  <c r="C525" i="25"/>
  <c r="E534" i="25"/>
  <c r="P36" i="24"/>
  <c r="F388" i="18"/>
  <c r="G388" i="18" s="1"/>
  <c r="F388" i="25"/>
  <c r="E388" i="25"/>
  <c r="E390" i="25"/>
  <c r="G390" i="25" s="1"/>
  <c r="C534" i="18"/>
  <c r="E535" i="18"/>
  <c r="C535" i="18" s="1"/>
  <c r="C534" i="25" l="1"/>
  <c r="E535" i="25"/>
  <c r="C535" i="25" s="1"/>
  <c r="G388" i="25"/>
  <c r="F430" i="17"/>
  <c r="I312" i="17"/>
  <c r="H312" i="17"/>
  <c r="H443" i="17" s="1"/>
  <c r="G312" i="17"/>
  <c r="F312" i="17"/>
  <c r="E312" i="17"/>
  <c r="E443" i="17" s="1"/>
  <c r="L310" i="17"/>
  <c r="C310" i="17"/>
  <c r="O35" i="17" s="1"/>
  <c r="I304" i="17"/>
  <c r="H304" i="17"/>
  <c r="G304" i="17"/>
  <c r="F304" i="17"/>
  <c r="E304" i="17"/>
  <c r="I303" i="17"/>
  <c r="H303" i="17"/>
  <c r="G303" i="17"/>
  <c r="F303" i="17"/>
  <c r="E303" i="17"/>
  <c r="D302" i="17"/>
  <c r="C302" i="17"/>
  <c r="D301" i="17"/>
  <c r="C301" i="17"/>
  <c r="D300" i="17"/>
  <c r="C300" i="17"/>
  <c r="D299" i="17"/>
  <c r="C299" i="17"/>
  <c r="I293" i="17"/>
  <c r="H293" i="17"/>
  <c r="H441" i="17" s="1"/>
  <c r="G293" i="17"/>
  <c r="F293" i="17"/>
  <c r="E293" i="17"/>
  <c r="E441" i="17" s="1"/>
  <c r="I292" i="17"/>
  <c r="H292" i="17"/>
  <c r="G292" i="17"/>
  <c r="F292" i="17"/>
  <c r="E292" i="17"/>
  <c r="D291" i="17"/>
  <c r="C291" i="17"/>
  <c r="L290" i="17"/>
  <c r="L291" i="17" s="1"/>
  <c r="D290" i="17"/>
  <c r="C290" i="17"/>
  <c r="D289" i="17"/>
  <c r="C289" i="17"/>
  <c r="D288" i="17"/>
  <c r="C288" i="17"/>
  <c r="Q33" i="17" s="1"/>
  <c r="I282" i="17"/>
  <c r="H282" i="17"/>
  <c r="H440" i="17" s="1"/>
  <c r="G282" i="17"/>
  <c r="F282" i="17"/>
  <c r="E282" i="17"/>
  <c r="E440" i="17" s="1"/>
  <c r="I281" i="17"/>
  <c r="H281" i="17"/>
  <c r="G281" i="17"/>
  <c r="F281" i="17"/>
  <c r="E281" i="17"/>
  <c r="D280" i="17"/>
  <c r="C280" i="17"/>
  <c r="D279" i="17"/>
  <c r="C279" i="17"/>
  <c r="D278" i="17"/>
  <c r="C278" i="17"/>
  <c r="L277" i="17"/>
  <c r="D277" i="17"/>
  <c r="C277" i="17"/>
  <c r="J276" i="17"/>
  <c r="D276" i="17"/>
  <c r="C276" i="17"/>
  <c r="D275" i="17"/>
  <c r="C275" i="17"/>
  <c r="D274" i="17"/>
  <c r="C274" i="17"/>
  <c r="D273" i="17"/>
  <c r="C273" i="17"/>
  <c r="D272" i="17"/>
  <c r="C272" i="17"/>
  <c r="I266" i="17"/>
  <c r="H266" i="17"/>
  <c r="H439" i="17" s="1"/>
  <c r="G266" i="17"/>
  <c r="F266" i="17"/>
  <c r="E266" i="17"/>
  <c r="I265" i="17"/>
  <c r="H265" i="17"/>
  <c r="G265" i="17"/>
  <c r="F265" i="17"/>
  <c r="E265" i="17"/>
  <c r="D264" i="17"/>
  <c r="C264" i="17"/>
  <c r="L263" i="17"/>
  <c r="L264" i="17" s="1"/>
  <c r="D263" i="17"/>
  <c r="C263" i="17"/>
  <c r="I257" i="17"/>
  <c r="H257" i="17"/>
  <c r="H438" i="17" s="1"/>
  <c r="G257" i="17"/>
  <c r="F257" i="17"/>
  <c r="E257" i="17"/>
  <c r="E438" i="17" s="1"/>
  <c r="I256" i="17"/>
  <c r="H256" i="17"/>
  <c r="G256" i="17"/>
  <c r="F256" i="17"/>
  <c r="E256" i="17"/>
  <c r="D255" i="17"/>
  <c r="C255" i="17"/>
  <c r="L254" i="17"/>
  <c r="D254" i="17"/>
  <c r="C254" i="17"/>
  <c r="D253" i="17"/>
  <c r="C253" i="17"/>
  <c r="D252" i="17"/>
  <c r="C252" i="17"/>
  <c r="D251" i="17"/>
  <c r="C251" i="17"/>
  <c r="D250" i="17"/>
  <c r="C250" i="17"/>
  <c r="L248" i="17"/>
  <c r="L261" i="17" s="1"/>
  <c r="L270" i="17" s="1"/>
  <c r="L286" i="17" s="1"/>
  <c r="L297" i="17" s="1"/>
  <c r="L308" i="17" s="1"/>
  <c r="I244" i="17"/>
  <c r="H244" i="17"/>
  <c r="H437" i="17" s="1"/>
  <c r="G244" i="17"/>
  <c r="F244" i="17"/>
  <c r="E244" i="17"/>
  <c r="E437" i="17" s="1"/>
  <c r="I243" i="17"/>
  <c r="H243" i="17"/>
  <c r="G243" i="17"/>
  <c r="F243" i="17"/>
  <c r="E243" i="17"/>
  <c r="D242" i="17"/>
  <c r="C242" i="17"/>
  <c r="L241" i="17"/>
  <c r="D241" i="17"/>
  <c r="C241" i="17"/>
  <c r="D240" i="17"/>
  <c r="C240" i="17"/>
  <c r="D239" i="17"/>
  <c r="C239" i="17"/>
  <c r="D238" i="17"/>
  <c r="C238" i="17"/>
  <c r="D237" i="17"/>
  <c r="C237" i="17"/>
  <c r="I231" i="17"/>
  <c r="H231" i="17"/>
  <c r="H436" i="17" s="1"/>
  <c r="G231" i="17"/>
  <c r="F231" i="17"/>
  <c r="F436" i="17" s="1"/>
  <c r="E231" i="17"/>
  <c r="E436" i="17" s="1"/>
  <c r="I230" i="17"/>
  <c r="H230" i="17"/>
  <c r="G230" i="17"/>
  <c r="F230" i="17"/>
  <c r="E230" i="17"/>
  <c r="D229" i="17"/>
  <c r="C229" i="17"/>
  <c r="D228" i="17"/>
  <c r="C228" i="17"/>
  <c r="D227" i="17"/>
  <c r="C227" i="17"/>
  <c r="I221" i="17"/>
  <c r="H221" i="17"/>
  <c r="H435" i="17" s="1"/>
  <c r="E221" i="17"/>
  <c r="E435" i="17" s="1"/>
  <c r="I220" i="17"/>
  <c r="H220" i="17"/>
  <c r="E220" i="17"/>
  <c r="D219" i="17"/>
  <c r="C219" i="17"/>
  <c r="D218" i="17"/>
  <c r="C218" i="17"/>
  <c r="D217" i="17"/>
  <c r="C217" i="17"/>
  <c r="D215" i="17"/>
  <c r="C215" i="17"/>
  <c r="D214" i="17"/>
  <c r="C214" i="17"/>
  <c r="D213" i="17"/>
  <c r="C213" i="17"/>
  <c r="D212" i="17"/>
  <c r="C212" i="17"/>
  <c r="D211" i="17"/>
  <c r="C211" i="17"/>
  <c r="J210" i="17"/>
  <c r="G210" i="17"/>
  <c r="G220" i="17" s="1"/>
  <c r="F210" i="17"/>
  <c r="F220" i="17" s="1"/>
  <c r="D210" i="17"/>
  <c r="I204" i="17"/>
  <c r="H204" i="17"/>
  <c r="H434" i="17" s="1"/>
  <c r="G204" i="17"/>
  <c r="F204" i="17"/>
  <c r="E204" i="17"/>
  <c r="E434" i="17" s="1"/>
  <c r="I203" i="17"/>
  <c r="H203" i="17"/>
  <c r="G203" i="17"/>
  <c r="F203" i="17"/>
  <c r="E203" i="17"/>
  <c r="D202" i="17"/>
  <c r="C202" i="17"/>
  <c r="D201" i="17"/>
  <c r="C201" i="17"/>
  <c r="I195" i="17"/>
  <c r="H195" i="17"/>
  <c r="H433" i="17" s="1"/>
  <c r="G195" i="17"/>
  <c r="F195" i="17"/>
  <c r="E195" i="17"/>
  <c r="E433" i="17" s="1"/>
  <c r="I194" i="17"/>
  <c r="H194" i="17"/>
  <c r="G194" i="17"/>
  <c r="F194" i="17"/>
  <c r="E194" i="17"/>
  <c r="D193" i="17"/>
  <c r="C193" i="17"/>
  <c r="D192" i="17"/>
  <c r="C192" i="17"/>
  <c r="D191" i="17"/>
  <c r="C191" i="17"/>
  <c r="D190" i="17"/>
  <c r="C190" i="17"/>
  <c r="D189" i="17"/>
  <c r="C189" i="17"/>
  <c r="O188" i="17"/>
  <c r="D188" i="17"/>
  <c r="C188" i="17"/>
  <c r="D187" i="17"/>
  <c r="C187" i="17"/>
  <c r="L185" i="17"/>
  <c r="L199" i="17" s="1"/>
  <c r="L208" i="17" s="1"/>
  <c r="I181" i="17"/>
  <c r="H181" i="17"/>
  <c r="H432" i="17" s="1"/>
  <c r="G181" i="17"/>
  <c r="F181" i="17"/>
  <c r="E181" i="17"/>
  <c r="E432" i="17" s="1"/>
  <c r="I180" i="17"/>
  <c r="H180" i="17"/>
  <c r="G180" i="17"/>
  <c r="F180" i="17"/>
  <c r="E180" i="17"/>
  <c r="D179" i="17"/>
  <c r="C179" i="17"/>
  <c r="D178" i="17"/>
  <c r="C178" i="17"/>
  <c r="D177" i="17"/>
  <c r="C177" i="17"/>
  <c r="D176" i="17"/>
  <c r="C176" i="17"/>
  <c r="D175" i="17"/>
  <c r="C175" i="17"/>
  <c r="D174" i="17"/>
  <c r="C174" i="17"/>
  <c r="I168" i="17"/>
  <c r="H168" i="17"/>
  <c r="H431" i="17" s="1"/>
  <c r="G168" i="17"/>
  <c r="F168" i="17"/>
  <c r="F431" i="17" s="1"/>
  <c r="E168" i="17"/>
  <c r="E431" i="17" s="1"/>
  <c r="I167" i="17"/>
  <c r="H167" i="17"/>
  <c r="G167" i="17"/>
  <c r="F167" i="17"/>
  <c r="E167" i="17"/>
  <c r="D166" i="17"/>
  <c r="C166" i="17"/>
  <c r="D165" i="17"/>
  <c r="C165" i="17"/>
  <c r="D164" i="17"/>
  <c r="C164" i="17"/>
  <c r="D163" i="17"/>
  <c r="C163" i="17"/>
  <c r="D162" i="17"/>
  <c r="C162" i="17"/>
  <c r="D161" i="17"/>
  <c r="C161" i="17"/>
  <c r="D160" i="17"/>
  <c r="C160" i="17"/>
  <c r="D159" i="17"/>
  <c r="C159" i="17"/>
  <c r="D158" i="17"/>
  <c r="C158" i="17"/>
  <c r="D157" i="17"/>
  <c r="C157" i="17"/>
  <c r="D156" i="17"/>
  <c r="C156" i="17"/>
  <c r="D155" i="17"/>
  <c r="C155" i="17"/>
  <c r="D154" i="17"/>
  <c r="C154" i="17"/>
  <c r="I146" i="17"/>
  <c r="H146" i="17"/>
  <c r="H429" i="17" s="1"/>
  <c r="G146" i="17"/>
  <c r="F146" i="17"/>
  <c r="E146" i="17"/>
  <c r="E429" i="17" s="1"/>
  <c r="D145" i="17"/>
  <c r="C145" i="17"/>
  <c r="D144" i="17"/>
  <c r="C144" i="17"/>
  <c r="I138" i="17"/>
  <c r="H138" i="17"/>
  <c r="H428" i="17" s="1"/>
  <c r="G138" i="17"/>
  <c r="F138" i="17"/>
  <c r="E138" i="17"/>
  <c r="I137" i="17"/>
  <c r="H137" i="17"/>
  <c r="G137" i="17"/>
  <c r="F137" i="17"/>
  <c r="E137" i="17"/>
  <c r="D136" i="17"/>
  <c r="C136" i="17"/>
  <c r="D135" i="17"/>
  <c r="C135" i="17"/>
  <c r="D134" i="17"/>
  <c r="C134" i="17"/>
  <c r="D133" i="17"/>
  <c r="C133" i="17"/>
  <c r="D132" i="17"/>
  <c r="C132" i="17"/>
  <c r="I126" i="17"/>
  <c r="H126" i="17"/>
  <c r="G126" i="17"/>
  <c r="F126" i="17"/>
  <c r="E126" i="17"/>
  <c r="E427" i="17" s="1"/>
  <c r="I125" i="17"/>
  <c r="H125" i="17"/>
  <c r="G125" i="17"/>
  <c r="F125" i="17"/>
  <c r="E125" i="17"/>
  <c r="D124" i="17"/>
  <c r="C124" i="17"/>
  <c r="D123" i="17"/>
  <c r="C123" i="17"/>
  <c r="D122" i="17"/>
  <c r="C122" i="17"/>
  <c r="D121" i="17"/>
  <c r="C121" i="17"/>
  <c r="D120" i="17"/>
  <c r="C120" i="17"/>
  <c r="D119" i="17"/>
  <c r="C119" i="17"/>
  <c r="D118" i="17"/>
  <c r="C118" i="17"/>
  <c r="D117" i="17"/>
  <c r="C117" i="17"/>
  <c r="D116" i="17"/>
  <c r="C116" i="17"/>
  <c r="D115" i="17"/>
  <c r="C115" i="17"/>
  <c r="D114" i="17"/>
  <c r="C114" i="17"/>
  <c r="D113" i="17"/>
  <c r="C113" i="17"/>
  <c r="D112" i="17"/>
  <c r="C112" i="17"/>
  <c r="D111" i="17"/>
  <c r="C111" i="17"/>
  <c r="D110" i="17"/>
  <c r="C110" i="17"/>
  <c r="D109" i="17"/>
  <c r="C109" i="17"/>
  <c r="D108" i="17"/>
  <c r="C108" i="17"/>
  <c r="D107" i="17"/>
  <c r="C107" i="17"/>
  <c r="D106" i="17"/>
  <c r="C106" i="17"/>
  <c r="D105" i="17"/>
  <c r="C105" i="17"/>
  <c r="D104" i="17"/>
  <c r="C104" i="17"/>
  <c r="D103" i="17"/>
  <c r="C103" i="17"/>
  <c r="D102" i="17"/>
  <c r="C102" i="17"/>
  <c r="D101" i="17"/>
  <c r="C101" i="17"/>
  <c r="D100" i="17"/>
  <c r="C100" i="17"/>
  <c r="D99" i="17"/>
  <c r="C99" i="17"/>
  <c r="D98" i="17"/>
  <c r="C98" i="17"/>
  <c r="I92" i="17"/>
  <c r="H92" i="17"/>
  <c r="H426" i="17" s="1"/>
  <c r="G92" i="17"/>
  <c r="F92" i="17"/>
  <c r="E92" i="17"/>
  <c r="E426" i="17" s="1"/>
  <c r="H91" i="17"/>
  <c r="G91" i="17"/>
  <c r="F91" i="17"/>
  <c r="E91" i="17"/>
  <c r="D90" i="17"/>
  <c r="C90" i="17"/>
  <c r="D89" i="17"/>
  <c r="C89" i="17"/>
  <c r="D88" i="17"/>
  <c r="C88" i="17"/>
  <c r="D87" i="17"/>
  <c r="C87" i="17"/>
  <c r="D86" i="17"/>
  <c r="C86" i="17"/>
  <c r="D85" i="17"/>
  <c r="C85" i="17"/>
  <c r="D84" i="17"/>
  <c r="C84" i="17"/>
  <c r="I78" i="17"/>
  <c r="H78" i="17"/>
  <c r="H425" i="17" s="1"/>
  <c r="G78" i="17"/>
  <c r="F78" i="17"/>
  <c r="E78" i="17"/>
  <c r="E425" i="17" s="1"/>
  <c r="D77" i="17"/>
  <c r="C77" i="17"/>
  <c r="C78" i="17" s="1"/>
  <c r="I71" i="17"/>
  <c r="H71" i="17"/>
  <c r="H424" i="17" s="1"/>
  <c r="G71" i="17"/>
  <c r="F71" i="17"/>
  <c r="E71" i="17"/>
  <c r="E424" i="17" s="1"/>
  <c r="H70" i="17"/>
  <c r="G70" i="17"/>
  <c r="F70" i="17"/>
  <c r="E70" i="17"/>
  <c r="D69" i="17"/>
  <c r="C69" i="17"/>
  <c r="D68" i="17"/>
  <c r="C68" i="17"/>
  <c r="D67" i="17"/>
  <c r="C67" i="17"/>
  <c r="D66" i="17"/>
  <c r="C66" i="17"/>
  <c r="D65" i="17"/>
  <c r="C65" i="17"/>
  <c r="D64" i="17"/>
  <c r="C64" i="17"/>
  <c r="D63" i="17"/>
  <c r="C63" i="17"/>
  <c r="I58" i="17"/>
  <c r="H58" i="17"/>
  <c r="H423" i="17" s="1"/>
  <c r="G58" i="17"/>
  <c r="F58" i="17"/>
  <c r="E58" i="17"/>
  <c r="E423" i="17" s="1"/>
  <c r="I57" i="17"/>
  <c r="H57" i="17"/>
  <c r="G57" i="17"/>
  <c r="F57" i="17"/>
  <c r="E57" i="17"/>
  <c r="D56" i="17"/>
  <c r="C56" i="17"/>
  <c r="D55" i="17"/>
  <c r="C55" i="17"/>
  <c r="D54" i="17"/>
  <c r="C54" i="17"/>
  <c r="D53" i="17"/>
  <c r="C53" i="17"/>
  <c r="D52" i="17"/>
  <c r="C52" i="17"/>
  <c r="D51" i="17"/>
  <c r="C51" i="17"/>
  <c r="D50" i="17"/>
  <c r="C50" i="17"/>
  <c r="D49" i="17"/>
  <c r="C49" i="17"/>
  <c r="D48" i="17"/>
  <c r="C48" i="17"/>
  <c r="D47" i="17"/>
  <c r="C47" i="17"/>
  <c r="D46" i="17"/>
  <c r="C46" i="17"/>
  <c r="D45" i="17"/>
  <c r="C45" i="17"/>
  <c r="D44" i="17"/>
  <c r="C44" i="17"/>
  <c r="D43" i="17"/>
  <c r="C43" i="17"/>
  <c r="D42" i="17"/>
  <c r="C42" i="17"/>
  <c r="D41" i="17"/>
  <c r="C41" i="17"/>
  <c r="D40" i="17"/>
  <c r="C40" i="17"/>
  <c r="D39" i="17"/>
  <c r="C39" i="17"/>
  <c r="D38" i="17"/>
  <c r="C38" i="17"/>
  <c r="D37" i="17"/>
  <c r="C37" i="17"/>
  <c r="N36" i="17"/>
  <c r="D36" i="17"/>
  <c r="C36" i="17"/>
  <c r="I30" i="17"/>
  <c r="H30" i="17"/>
  <c r="H422" i="17" s="1"/>
  <c r="G30" i="17"/>
  <c r="G422" i="17" s="1"/>
  <c r="G430" i="17" s="1"/>
  <c r="G445" i="17" s="1"/>
  <c r="F30" i="17"/>
  <c r="E30" i="17"/>
  <c r="E422" i="17" s="1"/>
  <c r="I29" i="17"/>
  <c r="H29" i="17"/>
  <c r="G29" i="17"/>
  <c r="F29" i="17"/>
  <c r="E29" i="17"/>
  <c r="D28" i="17"/>
  <c r="C28" i="17"/>
  <c r="D27" i="17"/>
  <c r="C27" i="17"/>
  <c r="D26" i="17"/>
  <c r="C26" i="17"/>
  <c r="D25" i="17"/>
  <c r="C25" i="17"/>
  <c r="D24" i="17"/>
  <c r="C24" i="17"/>
  <c r="D23" i="17"/>
  <c r="C23" i="17"/>
  <c r="D22" i="17"/>
  <c r="C22" i="17"/>
  <c r="J21" i="17"/>
  <c r="D21" i="17"/>
  <c r="C21" i="17"/>
  <c r="D20" i="17"/>
  <c r="C20" i="17"/>
  <c r="D19" i="17"/>
  <c r="C19" i="17"/>
  <c r="D18" i="17"/>
  <c r="C18" i="17"/>
  <c r="D17" i="17"/>
  <c r="C17" i="17"/>
  <c r="D16" i="17"/>
  <c r="C16" i="17"/>
  <c r="D15" i="17"/>
  <c r="C15" i="17"/>
  <c r="J14" i="17"/>
  <c r="D14" i="17"/>
  <c r="C14" i="17"/>
  <c r="D13" i="17"/>
  <c r="C13" i="17"/>
  <c r="D12" i="17"/>
  <c r="C12" i="17"/>
  <c r="D11" i="17"/>
  <c r="C11" i="17"/>
  <c r="D10" i="17"/>
  <c r="C10" i="17"/>
  <c r="F527" i="16"/>
  <c r="I398" i="16"/>
  <c r="H398" i="16"/>
  <c r="E398" i="16"/>
  <c r="D393" i="16"/>
  <c r="F390" i="16"/>
  <c r="I377" i="16"/>
  <c r="H377" i="16"/>
  <c r="H540" i="16" s="1"/>
  <c r="G377" i="16"/>
  <c r="F377" i="16"/>
  <c r="E377" i="16"/>
  <c r="E540" i="16" s="1"/>
  <c r="C375" i="16"/>
  <c r="O40" i="16" s="1"/>
  <c r="I369" i="16"/>
  <c r="H369" i="16"/>
  <c r="H539" i="16" s="1"/>
  <c r="G369" i="16"/>
  <c r="F369" i="16"/>
  <c r="E369" i="16"/>
  <c r="I368" i="16"/>
  <c r="H368" i="16"/>
  <c r="G368" i="16"/>
  <c r="F368" i="16"/>
  <c r="E368" i="16"/>
  <c r="D367" i="16"/>
  <c r="C367" i="16"/>
  <c r="D366" i="16"/>
  <c r="C366" i="16"/>
  <c r="D365" i="16"/>
  <c r="C365" i="16"/>
  <c r="D364" i="16"/>
  <c r="C364" i="16"/>
  <c r="I358" i="16"/>
  <c r="H358" i="16"/>
  <c r="H538" i="16" s="1"/>
  <c r="G358" i="16"/>
  <c r="F358" i="16"/>
  <c r="E358" i="16"/>
  <c r="E538" i="16" s="1"/>
  <c r="I357" i="16"/>
  <c r="H357" i="16"/>
  <c r="G357" i="16"/>
  <c r="F357" i="16"/>
  <c r="E357" i="16"/>
  <c r="D356" i="16"/>
  <c r="C356" i="16"/>
  <c r="D355" i="16"/>
  <c r="C355" i="16"/>
  <c r="D354" i="16"/>
  <c r="C354" i="16"/>
  <c r="D353" i="16"/>
  <c r="C353" i="16"/>
  <c r="D352" i="16"/>
  <c r="C352" i="16"/>
  <c r="D351" i="16"/>
  <c r="C351" i="16"/>
  <c r="J350" i="16"/>
  <c r="D350" i="16"/>
  <c r="C350" i="16"/>
  <c r="J349" i="16"/>
  <c r="D349" i="16"/>
  <c r="C349" i="16"/>
  <c r="I343" i="16"/>
  <c r="H343" i="16"/>
  <c r="H537" i="16" s="1"/>
  <c r="G343" i="16"/>
  <c r="F343" i="16"/>
  <c r="E343" i="16"/>
  <c r="I342" i="16"/>
  <c r="H342" i="16"/>
  <c r="G342" i="16"/>
  <c r="F342" i="16"/>
  <c r="E342" i="16"/>
  <c r="D341" i="16"/>
  <c r="C341" i="16"/>
  <c r="D340" i="16"/>
  <c r="C340" i="16"/>
  <c r="D339" i="16"/>
  <c r="C339" i="16"/>
  <c r="D338" i="16"/>
  <c r="C338" i="16"/>
  <c r="D337" i="16"/>
  <c r="C337" i="16"/>
  <c r="D336" i="16"/>
  <c r="C336" i="16"/>
  <c r="D335" i="16"/>
  <c r="C335" i="16"/>
  <c r="J334" i="16"/>
  <c r="D334" i="16"/>
  <c r="C334" i="16"/>
  <c r="D333" i="16"/>
  <c r="C333" i="16"/>
  <c r="D332" i="16"/>
  <c r="C332" i="16"/>
  <c r="D331" i="16"/>
  <c r="C331" i="16"/>
  <c r="D330" i="16"/>
  <c r="C330" i="16"/>
  <c r="D329" i="16"/>
  <c r="C329" i="16"/>
  <c r="I323" i="16"/>
  <c r="H323" i="16"/>
  <c r="H536" i="16" s="1"/>
  <c r="G323" i="16"/>
  <c r="F323" i="16"/>
  <c r="E323" i="16"/>
  <c r="E536" i="16" s="1"/>
  <c r="I322" i="16"/>
  <c r="H322" i="16"/>
  <c r="G322" i="16"/>
  <c r="F322" i="16"/>
  <c r="E322" i="16"/>
  <c r="D321" i="16"/>
  <c r="C321" i="16"/>
  <c r="D320" i="16"/>
  <c r="C320" i="16"/>
  <c r="I314" i="16"/>
  <c r="H314" i="16"/>
  <c r="H535" i="16" s="1"/>
  <c r="G314" i="16"/>
  <c r="F314" i="16"/>
  <c r="F535" i="16" s="1"/>
  <c r="E314" i="16"/>
  <c r="E535" i="16" s="1"/>
  <c r="I313" i="16"/>
  <c r="H313" i="16"/>
  <c r="G313" i="16"/>
  <c r="F313" i="16"/>
  <c r="E313" i="16"/>
  <c r="D312" i="16"/>
  <c r="C312" i="16"/>
  <c r="D311" i="16"/>
  <c r="C311" i="16"/>
  <c r="D310" i="16"/>
  <c r="C310" i="16"/>
  <c r="D309" i="16"/>
  <c r="C309" i="16"/>
  <c r="D308" i="16"/>
  <c r="C308" i="16"/>
  <c r="D307" i="16"/>
  <c r="C307" i="16"/>
  <c r="D306" i="16"/>
  <c r="C306" i="16"/>
  <c r="D305" i="16"/>
  <c r="C305" i="16"/>
  <c r="D304" i="16"/>
  <c r="C304" i="16"/>
  <c r="D303" i="16"/>
  <c r="C303" i="16"/>
  <c r="D302" i="16"/>
  <c r="C302" i="16"/>
  <c r="L300" i="16"/>
  <c r="L318" i="16" s="1"/>
  <c r="L327" i="16" s="1"/>
  <c r="L347" i="16" s="1"/>
  <c r="L362" i="16" s="1"/>
  <c r="L373" i="16" s="1"/>
  <c r="I296" i="16"/>
  <c r="H296" i="16"/>
  <c r="H534" i="16" s="1"/>
  <c r="G296" i="16"/>
  <c r="F296" i="16"/>
  <c r="F534" i="16" s="1"/>
  <c r="E296" i="16"/>
  <c r="I295" i="16"/>
  <c r="H295" i="16"/>
  <c r="G295" i="16"/>
  <c r="F295" i="16"/>
  <c r="E295" i="16"/>
  <c r="D294" i="16"/>
  <c r="C294" i="16"/>
  <c r="D293" i="16"/>
  <c r="C293" i="16"/>
  <c r="L292" i="16"/>
  <c r="L307" i="16" s="1"/>
  <c r="D292" i="16"/>
  <c r="C292" i="16"/>
  <c r="D291" i="16"/>
  <c r="C291" i="16"/>
  <c r="D290" i="16"/>
  <c r="C290" i="16"/>
  <c r="D289" i="16"/>
  <c r="C289" i="16"/>
  <c r="D288" i="16"/>
  <c r="C288" i="16"/>
  <c r="D287" i="16"/>
  <c r="C287" i="16"/>
  <c r="I281" i="16"/>
  <c r="H281" i="16"/>
  <c r="H533" i="16" s="1"/>
  <c r="G281" i="16"/>
  <c r="F281" i="16"/>
  <c r="F533" i="16" s="1"/>
  <c r="E281" i="16"/>
  <c r="E533" i="16" s="1"/>
  <c r="I280" i="16"/>
  <c r="H280" i="16"/>
  <c r="G280" i="16"/>
  <c r="F280" i="16"/>
  <c r="E280" i="16"/>
  <c r="D279" i="16"/>
  <c r="C279" i="16"/>
  <c r="D278" i="16"/>
  <c r="C278" i="16"/>
  <c r="D277" i="16"/>
  <c r="C277" i="16"/>
  <c r="D276" i="16"/>
  <c r="C276" i="16"/>
  <c r="D275" i="16"/>
  <c r="C275" i="16"/>
  <c r="D274" i="16"/>
  <c r="C274" i="16"/>
  <c r="D273" i="16"/>
  <c r="C273" i="16"/>
  <c r="D272" i="16"/>
  <c r="C272" i="16"/>
  <c r="D271" i="16"/>
  <c r="C271" i="16"/>
  <c r="D270" i="16"/>
  <c r="C270" i="16"/>
  <c r="D269" i="16"/>
  <c r="C269" i="16"/>
  <c r="I263" i="16"/>
  <c r="I262" i="16"/>
  <c r="D261" i="16"/>
  <c r="C261" i="16"/>
  <c r="D260" i="16"/>
  <c r="C260" i="16"/>
  <c r="J259" i="16"/>
  <c r="H259" i="16"/>
  <c r="H262" i="16" s="1"/>
  <c r="F259" i="16"/>
  <c r="E259" i="16"/>
  <c r="E263" i="16" s="1"/>
  <c r="D259" i="16"/>
  <c r="D258" i="16"/>
  <c r="C258" i="16"/>
  <c r="D257" i="16"/>
  <c r="C257" i="16"/>
  <c r="D256" i="16"/>
  <c r="C256" i="16"/>
  <c r="D255" i="16"/>
  <c r="C255" i="16"/>
  <c r="D254" i="16"/>
  <c r="C254" i="16"/>
  <c r="D253" i="16"/>
  <c r="C253" i="16"/>
  <c r="D252" i="16"/>
  <c r="C252" i="16"/>
  <c r="D251" i="16"/>
  <c r="C251" i="16"/>
  <c r="D250" i="16"/>
  <c r="C250" i="16"/>
  <c r="D249" i="16"/>
  <c r="C249" i="16"/>
  <c r="J248" i="16"/>
  <c r="G248" i="16"/>
  <c r="G398" i="16" s="1"/>
  <c r="F248" i="16"/>
  <c r="D248" i="16"/>
  <c r="I242" i="16"/>
  <c r="H242" i="16"/>
  <c r="H531" i="16" s="1"/>
  <c r="G242" i="16"/>
  <c r="F242" i="16"/>
  <c r="E242" i="16"/>
  <c r="E531" i="16" s="1"/>
  <c r="I241" i="16"/>
  <c r="H241" i="16"/>
  <c r="G241" i="16"/>
  <c r="F241" i="16"/>
  <c r="E241" i="16"/>
  <c r="D240" i="16"/>
  <c r="C240" i="16"/>
  <c r="D239" i="16"/>
  <c r="C239" i="16"/>
  <c r="D238" i="16"/>
  <c r="C238" i="16"/>
  <c r="D237" i="16"/>
  <c r="C237" i="16"/>
  <c r="D236" i="16"/>
  <c r="C236" i="16"/>
  <c r="I230" i="16"/>
  <c r="H230" i="16"/>
  <c r="H530" i="16" s="1"/>
  <c r="G230" i="16"/>
  <c r="F230" i="16"/>
  <c r="E230" i="16"/>
  <c r="E530" i="16" s="1"/>
  <c r="I229" i="16"/>
  <c r="H229" i="16"/>
  <c r="G229" i="16"/>
  <c r="F229" i="16"/>
  <c r="E229" i="16"/>
  <c r="D228" i="16"/>
  <c r="C228" i="16"/>
  <c r="D227" i="16"/>
  <c r="C227" i="16"/>
  <c r="D226" i="16"/>
  <c r="C226" i="16"/>
  <c r="D225" i="16"/>
  <c r="C225" i="16"/>
  <c r="D224" i="16"/>
  <c r="C224" i="16"/>
  <c r="D223" i="16"/>
  <c r="C223" i="16"/>
  <c r="O222" i="16"/>
  <c r="D222" i="16"/>
  <c r="C222" i="16"/>
  <c r="D221" i="16"/>
  <c r="C221" i="16"/>
  <c r="L219" i="16"/>
  <c r="L234" i="16" s="1"/>
  <c r="L246" i="16" s="1"/>
  <c r="I215" i="16"/>
  <c r="H215" i="16"/>
  <c r="H529" i="16" s="1"/>
  <c r="G215" i="16"/>
  <c r="F215" i="16"/>
  <c r="E215" i="16"/>
  <c r="E529" i="16" s="1"/>
  <c r="I214" i="16"/>
  <c r="H214" i="16"/>
  <c r="G214" i="16"/>
  <c r="F214" i="16"/>
  <c r="E214" i="16"/>
  <c r="D213" i="16"/>
  <c r="C213" i="16"/>
  <c r="D212" i="16"/>
  <c r="C212" i="16"/>
  <c r="D211" i="16"/>
  <c r="C211" i="16"/>
  <c r="D210" i="16"/>
  <c r="C210" i="16"/>
  <c r="D209" i="16"/>
  <c r="C209" i="16"/>
  <c r="D208" i="16"/>
  <c r="C208" i="16"/>
  <c r="D207" i="16"/>
  <c r="C207" i="16"/>
  <c r="D206" i="16"/>
  <c r="C206" i="16"/>
  <c r="I200" i="16"/>
  <c r="H200" i="16"/>
  <c r="H528" i="16" s="1"/>
  <c r="G200" i="16"/>
  <c r="F200" i="16"/>
  <c r="F528" i="16" s="1"/>
  <c r="E200" i="16"/>
  <c r="E528" i="16" s="1"/>
  <c r="I199" i="16"/>
  <c r="H199" i="16"/>
  <c r="G199" i="16"/>
  <c r="F199" i="16"/>
  <c r="E199" i="16"/>
  <c r="D198" i="16"/>
  <c r="C198" i="16"/>
  <c r="D197" i="16"/>
  <c r="C197" i="16"/>
  <c r="D196" i="16"/>
  <c r="C196" i="16"/>
  <c r="D195" i="16"/>
  <c r="C195" i="16"/>
  <c r="D194" i="16"/>
  <c r="C194" i="16"/>
  <c r="D193" i="16"/>
  <c r="C193" i="16"/>
  <c r="D192" i="16"/>
  <c r="C192" i="16"/>
  <c r="D191" i="16"/>
  <c r="C191" i="16"/>
  <c r="D190" i="16"/>
  <c r="C190" i="16"/>
  <c r="D189" i="16"/>
  <c r="C189" i="16"/>
  <c r="D188" i="16"/>
  <c r="C188" i="16"/>
  <c r="D187" i="16"/>
  <c r="C187" i="16"/>
  <c r="D186" i="16"/>
  <c r="C186" i="16"/>
  <c r="D185" i="16"/>
  <c r="C185" i="16"/>
  <c r="D184" i="16"/>
  <c r="C184" i="16"/>
  <c r="D183" i="16"/>
  <c r="C183" i="16"/>
  <c r="D182" i="16"/>
  <c r="C182" i="16"/>
  <c r="I174" i="16"/>
  <c r="H174" i="16"/>
  <c r="H526" i="16" s="1"/>
  <c r="G174" i="16"/>
  <c r="F174" i="16"/>
  <c r="E174" i="16"/>
  <c r="D173" i="16"/>
  <c r="C173" i="16"/>
  <c r="D172" i="16"/>
  <c r="C172" i="16"/>
  <c r="I166" i="16"/>
  <c r="H166" i="16"/>
  <c r="H525" i="16" s="1"/>
  <c r="G166" i="16"/>
  <c r="F166" i="16"/>
  <c r="E166" i="16"/>
  <c r="E525" i="16" s="1"/>
  <c r="I165" i="16"/>
  <c r="H165" i="16"/>
  <c r="G165" i="16"/>
  <c r="F165" i="16"/>
  <c r="E165" i="16"/>
  <c r="D164" i="16"/>
  <c r="C164" i="16"/>
  <c r="D163" i="16"/>
  <c r="C163" i="16"/>
  <c r="D162" i="16"/>
  <c r="C162" i="16"/>
  <c r="D161" i="16"/>
  <c r="C161" i="16"/>
  <c r="D160" i="16"/>
  <c r="C160" i="16"/>
  <c r="D159" i="16"/>
  <c r="C159" i="16"/>
  <c r="D158" i="16"/>
  <c r="C158" i="16"/>
  <c r="D157" i="16"/>
  <c r="C157" i="16"/>
  <c r="D156" i="16"/>
  <c r="C156" i="16"/>
  <c r="D155" i="16"/>
  <c r="C155" i="16"/>
  <c r="D154" i="16"/>
  <c r="C154" i="16"/>
  <c r="D153" i="16"/>
  <c r="C153" i="16"/>
  <c r="D152" i="16"/>
  <c r="C152" i="16"/>
  <c r="D151" i="16"/>
  <c r="C151" i="16"/>
  <c r="I145" i="16"/>
  <c r="H145" i="16"/>
  <c r="H524" i="16" s="1"/>
  <c r="G145" i="16"/>
  <c r="F145" i="16"/>
  <c r="E145" i="16"/>
  <c r="E524" i="16" s="1"/>
  <c r="I144" i="16"/>
  <c r="H144" i="16"/>
  <c r="G144" i="16"/>
  <c r="F144" i="16"/>
  <c r="E144" i="16"/>
  <c r="D143" i="16"/>
  <c r="C143" i="16"/>
  <c r="D142" i="16"/>
  <c r="C142" i="16"/>
  <c r="D141" i="16"/>
  <c r="C141" i="16"/>
  <c r="D140" i="16"/>
  <c r="C140" i="16"/>
  <c r="D139" i="16"/>
  <c r="C139" i="16"/>
  <c r="D138" i="16"/>
  <c r="C138" i="16"/>
  <c r="D137" i="16"/>
  <c r="C137" i="16"/>
  <c r="D136" i="16"/>
  <c r="C136" i="16"/>
  <c r="D135" i="16"/>
  <c r="C135" i="16"/>
  <c r="D134" i="16"/>
  <c r="C134" i="16"/>
  <c r="D133" i="16"/>
  <c r="C133" i="16"/>
  <c r="D132" i="16"/>
  <c r="C132" i="16"/>
  <c r="D131" i="16"/>
  <c r="C131" i="16"/>
  <c r="D130" i="16"/>
  <c r="C130" i="16"/>
  <c r="D129" i="16"/>
  <c r="C129" i="16"/>
  <c r="D128" i="16"/>
  <c r="C128" i="16"/>
  <c r="D127" i="16"/>
  <c r="C127" i="16"/>
  <c r="D126" i="16"/>
  <c r="C126" i="16"/>
  <c r="D125" i="16"/>
  <c r="C125" i="16"/>
  <c r="D124" i="16"/>
  <c r="C124" i="16"/>
  <c r="D123" i="16"/>
  <c r="C123" i="16"/>
  <c r="D122" i="16"/>
  <c r="C122" i="16"/>
  <c r="D121" i="16"/>
  <c r="C121" i="16"/>
  <c r="D120" i="16"/>
  <c r="C120" i="16"/>
  <c r="D119" i="16"/>
  <c r="C119" i="16"/>
  <c r="D118" i="16"/>
  <c r="C118" i="16"/>
  <c r="D117" i="16"/>
  <c r="C117" i="16"/>
  <c r="D116" i="16"/>
  <c r="C116" i="16"/>
  <c r="D115" i="16"/>
  <c r="C115" i="16"/>
  <c r="D114" i="16"/>
  <c r="C114" i="16"/>
  <c r="D113" i="16"/>
  <c r="C113" i="16"/>
  <c r="D112" i="16"/>
  <c r="C112" i="16"/>
  <c r="I106" i="16"/>
  <c r="H106" i="16"/>
  <c r="H523" i="16" s="1"/>
  <c r="G106" i="16"/>
  <c r="F106" i="16"/>
  <c r="E106" i="16"/>
  <c r="H105" i="16"/>
  <c r="G105" i="16"/>
  <c r="F105" i="16"/>
  <c r="E105" i="16"/>
  <c r="D104" i="16"/>
  <c r="C104" i="16"/>
  <c r="D103" i="16"/>
  <c r="C103" i="16"/>
  <c r="D102" i="16"/>
  <c r="C102" i="16"/>
  <c r="D101" i="16"/>
  <c r="C101" i="16"/>
  <c r="D100" i="16"/>
  <c r="C100" i="16"/>
  <c r="D99" i="16"/>
  <c r="C99" i="16"/>
  <c r="D98" i="16"/>
  <c r="C98" i="16"/>
  <c r="D97" i="16"/>
  <c r="C97" i="16"/>
  <c r="D96" i="16"/>
  <c r="C96" i="16"/>
  <c r="D95" i="16"/>
  <c r="C95" i="16"/>
  <c r="I89" i="16"/>
  <c r="H89" i="16"/>
  <c r="H522" i="16" s="1"/>
  <c r="G89" i="16"/>
  <c r="F89" i="16"/>
  <c r="E89" i="16"/>
  <c r="E522" i="16" s="1"/>
  <c r="D88" i="16"/>
  <c r="C88" i="16"/>
  <c r="C89" i="16" s="1"/>
  <c r="I82" i="16"/>
  <c r="H82" i="16"/>
  <c r="H521" i="16" s="1"/>
  <c r="G82" i="16"/>
  <c r="F82" i="16"/>
  <c r="E82" i="16"/>
  <c r="E521" i="16" s="1"/>
  <c r="H81" i="16"/>
  <c r="G81" i="16"/>
  <c r="F81" i="16"/>
  <c r="E81" i="16"/>
  <c r="D80" i="16"/>
  <c r="C80" i="16"/>
  <c r="D79" i="16"/>
  <c r="C79" i="16"/>
  <c r="D78" i="16"/>
  <c r="C78" i="16"/>
  <c r="D77" i="16"/>
  <c r="C77" i="16"/>
  <c r="D76" i="16"/>
  <c r="C76" i="16"/>
  <c r="D75" i="16"/>
  <c r="C75" i="16"/>
  <c r="D74" i="16"/>
  <c r="C74" i="16"/>
  <c r="I69" i="16"/>
  <c r="H69" i="16"/>
  <c r="H520" i="16" s="1"/>
  <c r="G69" i="16"/>
  <c r="F69" i="16"/>
  <c r="E69" i="16"/>
  <c r="E520" i="16" s="1"/>
  <c r="I68" i="16"/>
  <c r="H68" i="16"/>
  <c r="G68" i="16"/>
  <c r="F68" i="16"/>
  <c r="E68" i="16"/>
  <c r="D67" i="16"/>
  <c r="C67" i="16"/>
  <c r="D66" i="16"/>
  <c r="C66" i="16"/>
  <c r="D65" i="16"/>
  <c r="C65" i="16"/>
  <c r="D64" i="16"/>
  <c r="C64" i="16"/>
  <c r="D63" i="16"/>
  <c r="C63" i="16"/>
  <c r="D62" i="16"/>
  <c r="C62" i="16"/>
  <c r="D61" i="16"/>
  <c r="C61" i="16"/>
  <c r="D60" i="16"/>
  <c r="C60" i="16"/>
  <c r="D59" i="16"/>
  <c r="C59" i="16"/>
  <c r="D58" i="16"/>
  <c r="C58" i="16"/>
  <c r="D57" i="16"/>
  <c r="C57" i="16"/>
  <c r="D56" i="16"/>
  <c r="C56" i="16"/>
  <c r="D55" i="16"/>
  <c r="C55" i="16"/>
  <c r="D54" i="16"/>
  <c r="C54" i="16"/>
  <c r="D53" i="16"/>
  <c r="C53" i="16"/>
  <c r="D52" i="16"/>
  <c r="C52" i="16"/>
  <c r="D51" i="16"/>
  <c r="C51" i="16"/>
  <c r="D50" i="16"/>
  <c r="C50" i="16"/>
  <c r="D49" i="16"/>
  <c r="C49" i="16"/>
  <c r="D48" i="16"/>
  <c r="C48" i="16"/>
  <c r="D47" i="16"/>
  <c r="C47" i="16"/>
  <c r="D46" i="16"/>
  <c r="C46" i="16"/>
  <c r="D45" i="16"/>
  <c r="C45" i="16"/>
  <c r="D44" i="16"/>
  <c r="C44" i="16"/>
  <c r="D43" i="16"/>
  <c r="C43" i="16"/>
  <c r="D42" i="16"/>
  <c r="C42" i="16"/>
  <c r="N41" i="16"/>
  <c r="D41" i="16"/>
  <c r="C41" i="16"/>
  <c r="I35" i="16"/>
  <c r="H35" i="16"/>
  <c r="H519" i="16" s="1"/>
  <c r="G35" i="16"/>
  <c r="G519" i="16" s="1"/>
  <c r="G527" i="16" s="1"/>
  <c r="G542" i="16" s="1"/>
  <c r="F35" i="16"/>
  <c r="E35" i="16"/>
  <c r="E519" i="16" s="1"/>
  <c r="I34" i="16"/>
  <c r="H34" i="16"/>
  <c r="G34" i="16"/>
  <c r="F34" i="16"/>
  <c r="E34" i="16"/>
  <c r="D33" i="16"/>
  <c r="C33" i="16"/>
  <c r="D32" i="16"/>
  <c r="C32" i="16"/>
  <c r="D31" i="16"/>
  <c r="C31" i="16"/>
  <c r="D30" i="16"/>
  <c r="C30" i="16"/>
  <c r="D29" i="16"/>
  <c r="C29" i="16"/>
  <c r="D28" i="16"/>
  <c r="C28" i="16"/>
  <c r="D27" i="16"/>
  <c r="C27" i="16"/>
  <c r="D26" i="16"/>
  <c r="C26" i="16"/>
  <c r="D25" i="16"/>
  <c r="C25" i="16"/>
  <c r="D24" i="16"/>
  <c r="C24" i="16"/>
  <c r="D23" i="16"/>
  <c r="C23" i="16"/>
  <c r="J22" i="16"/>
  <c r="D22" i="16"/>
  <c r="C22" i="16"/>
  <c r="D21" i="16"/>
  <c r="C21" i="16"/>
  <c r="D20" i="16"/>
  <c r="C20" i="16"/>
  <c r="D19" i="16"/>
  <c r="C19" i="16"/>
  <c r="D18" i="16"/>
  <c r="C18" i="16"/>
  <c r="D17" i="16"/>
  <c r="C17" i="16"/>
  <c r="D16" i="16"/>
  <c r="C16" i="16"/>
  <c r="J15" i="16"/>
  <c r="D15" i="16"/>
  <c r="C15" i="16"/>
  <c r="D14" i="16"/>
  <c r="C14" i="16"/>
  <c r="D13" i="16"/>
  <c r="C13" i="16"/>
  <c r="D12" i="16"/>
  <c r="C12" i="16"/>
  <c r="D11" i="16"/>
  <c r="C11" i="16"/>
  <c r="D10" i="16"/>
  <c r="C10" i="16"/>
  <c r="K15" i="15"/>
  <c r="G15" i="15"/>
  <c r="K51" i="15"/>
  <c r="G51" i="15"/>
  <c r="K49" i="15"/>
  <c r="K44" i="15"/>
  <c r="G44" i="15"/>
  <c r="K41" i="15"/>
  <c r="G41" i="15"/>
  <c r="K36" i="15"/>
  <c r="G36" i="15"/>
  <c r="K31" i="15"/>
  <c r="G31" i="15"/>
  <c r="K28" i="15"/>
  <c r="G28" i="15"/>
  <c r="K27" i="15"/>
  <c r="G27" i="15"/>
  <c r="K21" i="15"/>
  <c r="G21" i="15"/>
  <c r="K16" i="15"/>
  <c r="K14" i="15"/>
  <c r="H14" i="15"/>
  <c r="G14" i="15"/>
  <c r="D14" i="15"/>
  <c r="G13" i="15"/>
  <c r="K13" i="15" s="1"/>
  <c r="D13" i="15"/>
  <c r="H13" i="15" s="1"/>
  <c r="F12" i="15"/>
  <c r="J12" i="15" s="1"/>
  <c r="G10" i="15"/>
  <c r="K10" i="15" s="1"/>
  <c r="H10" i="15"/>
  <c r="D10" i="15"/>
  <c r="K8" i="15"/>
  <c r="H8" i="15"/>
  <c r="G6" i="15"/>
  <c r="K6" i="15" s="1"/>
  <c r="D6" i="15"/>
  <c r="H6" i="15" s="1"/>
  <c r="L4" i="15"/>
  <c r="K4" i="15"/>
  <c r="O4" i="15" s="1"/>
  <c r="G4" i="15"/>
  <c r="O39" i="16" l="1"/>
  <c r="O29" i="16"/>
  <c r="Q29" i="16" s="1"/>
  <c r="O24" i="16"/>
  <c r="Q24" i="16" s="1"/>
  <c r="O31" i="16"/>
  <c r="Q31" i="16" s="1"/>
  <c r="C313" i="16"/>
  <c r="C357" i="16"/>
  <c r="O38" i="16"/>
  <c r="O35" i="16"/>
  <c r="Q39" i="16"/>
  <c r="O30" i="16"/>
  <c r="Q30" i="16" s="1"/>
  <c r="Q35" i="16"/>
  <c r="O37" i="16"/>
  <c r="Q32" i="17"/>
  <c r="C214" i="16"/>
  <c r="Q37" i="16"/>
  <c r="Q38" i="16"/>
  <c r="C368" i="16"/>
  <c r="O22" i="16"/>
  <c r="Q22" i="16" s="1"/>
  <c r="C521" i="16"/>
  <c r="C525" i="16"/>
  <c r="O28" i="16"/>
  <c r="Q28" i="16" s="1"/>
  <c r="D174" i="16"/>
  <c r="O21" i="16"/>
  <c r="Q21" i="16" s="1"/>
  <c r="C144" i="16"/>
  <c r="O26" i="16"/>
  <c r="Q26" i="16" s="1"/>
  <c r="C174" i="16"/>
  <c r="C200" i="16"/>
  <c r="Q34" i="16"/>
  <c r="C322" i="16"/>
  <c r="C204" i="17"/>
  <c r="O33" i="16"/>
  <c r="C369" i="16"/>
  <c r="O24" i="17"/>
  <c r="Q24" i="17" s="1"/>
  <c r="O31" i="17"/>
  <c r="O32" i="17"/>
  <c r="D295" i="16"/>
  <c r="D303" i="17"/>
  <c r="D105" i="16"/>
  <c r="C423" i="17"/>
  <c r="O22" i="17"/>
  <c r="Q22" i="17" s="1"/>
  <c r="O27" i="17"/>
  <c r="Q27" i="17" s="1"/>
  <c r="O21" i="17"/>
  <c r="Q21" i="17" s="1"/>
  <c r="O23" i="17"/>
  <c r="Q23" i="17" s="1"/>
  <c r="D146" i="17"/>
  <c r="C167" i="17"/>
  <c r="C180" i="17"/>
  <c r="C230" i="17"/>
  <c r="Q29" i="17"/>
  <c r="C292" i="17"/>
  <c r="D70" i="17"/>
  <c r="D91" i="17"/>
  <c r="C146" i="17"/>
  <c r="D180" i="17"/>
  <c r="C443" i="17"/>
  <c r="C265" i="17"/>
  <c r="C435" i="17"/>
  <c r="C432" i="17"/>
  <c r="O30" i="17"/>
  <c r="D57" i="17"/>
  <c r="O26" i="17"/>
  <c r="Q26" i="17" s="1"/>
  <c r="C266" i="17"/>
  <c r="N282" i="17"/>
  <c r="O34" i="17"/>
  <c r="C429" i="17"/>
  <c r="E148" i="17"/>
  <c r="C389" i="16"/>
  <c r="O23" i="16"/>
  <c r="Q23" i="16" s="1"/>
  <c r="O27" i="16"/>
  <c r="Q27" i="16" s="1"/>
  <c r="C392" i="16"/>
  <c r="O34" i="16"/>
  <c r="D68" i="16"/>
  <c r="G176" i="16"/>
  <c r="E176" i="16"/>
  <c r="I176" i="16"/>
  <c r="D199" i="16"/>
  <c r="D229" i="16"/>
  <c r="C241" i="16"/>
  <c r="C248" i="16"/>
  <c r="O32" i="16" s="1"/>
  <c r="Q32" i="16" s="1"/>
  <c r="C281" i="16"/>
  <c r="C295" i="16"/>
  <c r="C296" i="16"/>
  <c r="D358" i="16"/>
  <c r="C377" i="16"/>
  <c r="C29" i="17"/>
  <c r="O19" i="17"/>
  <c r="Q19" i="17" s="1"/>
  <c r="C30" i="17"/>
  <c r="C58" i="17"/>
  <c r="C425" i="17"/>
  <c r="C195" i="17"/>
  <c r="C433" i="17"/>
  <c r="C434" i="17"/>
  <c r="C436" i="17"/>
  <c r="C244" i="17"/>
  <c r="D256" i="17"/>
  <c r="C257" i="17"/>
  <c r="C281" i="17"/>
  <c r="C441" i="17"/>
  <c r="F176" i="16"/>
  <c r="G263" i="16"/>
  <c r="G379" i="16" s="1"/>
  <c r="C538" i="16"/>
  <c r="I148" i="17"/>
  <c r="Q65" i="16"/>
  <c r="O17" i="16" s="1"/>
  <c r="C69" i="16"/>
  <c r="C165" i="16"/>
  <c r="C199" i="16"/>
  <c r="C229" i="16"/>
  <c r="C280" i="16"/>
  <c r="C314" i="16"/>
  <c r="D322" i="16"/>
  <c r="I379" i="16"/>
  <c r="C70" i="17"/>
  <c r="C424" i="17"/>
  <c r="C91" i="17"/>
  <c r="C92" i="17"/>
  <c r="F148" i="17"/>
  <c r="C243" i="17"/>
  <c r="Q30" i="17"/>
  <c r="N257" i="17"/>
  <c r="D265" i="17"/>
  <c r="C440" i="17"/>
  <c r="Q34" i="17"/>
  <c r="H314" i="17"/>
  <c r="O25" i="16"/>
  <c r="Q25" i="16" s="1"/>
  <c r="C68" i="16"/>
  <c r="C81" i="16"/>
  <c r="C105" i="16"/>
  <c r="C106" i="16"/>
  <c r="F541" i="16"/>
  <c r="F542" i="16" s="1"/>
  <c r="C531" i="16"/>
  <c r="F262" i="16"/>
  <c r="C342" i="16"/>
  <c r="N343" i="16"/>
  <c r="C343" i="16"/>
  <c r="C358" i="16"/>
  <c r="O25" i="17"/>
  <c r="Q25" i="17" s="1"/>
  <c r="C57" i="17"/>
  <c r="C125" i="17"/>
  <c r="C126" i="17"/>
  <c r="C137" i="17"/>
  <c r="C203" i="17"/>
  <c r="D230" i="17"/>
  <c r="D243" i="17"/>
  <c r="S276" i="17"/>
  <c r="C282" i="17"/>
  <c r="O33" i="17"/>
  <c r="N305" i="17"/>
  <c r="I314" i="17"/>
  <c r="F263" i="16"/>
  <c r="F379" i="16" s="1"/>
  <c r="G262" i="16"/>
  <c r="D29" i="17"/>
  <c r="D167" i="17"/>
  <c r="D241" i="16"/>
  <c r="F398" i="16"/>
  <c r="O16" i="17"/>
  <c r="D194" i="17"/>
  <c r="D313" i="16"/>
  <c r="S334" i="16"/>
  <c r="D125" i="17"/>
  <c r="D220" i="17"/>
  <c r="D292" i="17"/>
  <c r="D81" i="16"/>
  <c r="D214" i="16"/>
  <c r="D342" i="16"/>
  <c r="D357" i="16"/>
  <c r="D281" i="17"/>
  <c r="D144" i="16"/>
  <c r="D262" i="16"/>
  <c r="D137" i="17"/>
  <c r="G221" i="17"/>
  <c r="G314" i="17" s="1"/>
  <c r="D280" i="16"/>
  <c r="D34" i="16"/>
  <c r="D368" i="16"/>
  <c r="D165" i="16"/>
  <c r="E262" i="16"/>
  <c r="D203" i="17"/>
  <c r="C426" i="17"/>
  <c r="C431" i="17"/>
  <c r="C422" i="17"/>
  <c r="H148" i="17"/>
  <c r="C138" i="17"/>
  <c r="C194" i="17"/>
  <c r="C210" i="17"/>
  <c r="F221" i="17"/>
  <c r="C256" i="17"/>
  <c r="C293" i="17"/>
  <c r="C304" i="17"/>
  <c r="H427" i="17"/>
  <c r="C427" i="17" s="1"/>
  <c r="O20" i="17"/>
  <c r="Q20" i="17" s="1"/>
  <c r="C168" i="17"/>
  <c r="C231" i="17"/>
  <c r="N244" i="17"/>
  <c r="D293" i="17"/>
  <c r="C303" i="17"/>
  <c r="D304" i="17"/>
  <c r="E439" i="17"/>
  <c r="C439" i="17" s="1"/>
  <c r="E314" i="17"/>
  <c r="E428" i="17"/>
  <c r="C428" i="17" s="1"/>
  <c r="F437" i="17"/>
  <c r="C437" i="17" s="1"/>
  <c r="E442" i="17"/>
  <c r="O29" i="17"/>
  <c r="C312" i="17"/>
  <c r="H442" i="17"/>
  <c r="H444" i="17" s="1"/>
  <c r="C181" i="17"/>
  <c r="C71" i="17"/>
  <c r="G148" i="17"/>
  <c r="F438" i="17"/>
  <c r="C438" i="17" s="1"/>
  <c r="N293" i="17"/>
  <c r="C533" i="16"/>
  <c r="C524" i="16"/>
  <c r="C522" i="16"/>
  <c r="C540" i="16"/>
  <c r="C519" i="16"/>
  <c r="E379" i="16"/>
  <c r="C520" i="16"/>
  <c r="H527" i="16"/>
  <c r="C528" i="16"/>
  <c r="C535" i="16"/>
  <c r="C536" i="16"/>
  <c r="C530" i="16"/>
  <c r="C529" i="16"/>
  <c r="E532" i="16"/>
  <c r="C230" i="16"/>
  <c r="C242" i="16"/>
  <c r="C259" i="16"/>
  <c r="N296" i="16"/>
  <c r="C35" i="16"/>
  <c r="O36" i="16"/>
  <c r="H176" i="16"/>
  <c r="C215" i="16"/>
  <c r="C323" i="16"/>
  <c r="E534" i="16"/>
  <c r="C534" i="16" s="1"/>
  <c r="C34" i="16"/>
  <c r="O20" i="16"/>
  <c r="C145" i="16"/>
  <c r="N314" i="16"/>
  <c r="E539" i="16"/>
  <c r="C539" i="16" s="1"/>
  <c r="C166" i="16"/>
  <c r="N358" i="16"/>
  <c r="N370" i="16"/>
  <c r="L302" i="16"/>
  <c r="E523" i="16"/>
  <c r="C523" i="16" s="1"/>
  <c r="E537" i="16"/>
  <c r="C537" i="16" s="1"/>
  <c r="C82" i="16"/>
  <c r="H263" i="16"/>
  <c r="H532" i="16" s="1"/>
  <c r="H541" i="16" s="1"/>
  <c r="D369" i="16"/>
  <c r="E526" i="16"/>
  <c r="C526" i="16" s="1"/>
  <c r="Q53" i="15"/>
  <c r="Q54" i="15"/>
  <c r="Q55" i="15"/>
  <c r="Q56" i="15"/>
  <c r="Q57" i="15"/>
  <c r="Q52" i="15"/>
  <c r="P53" i="15"/>
  <c r="P54" i="15"/>
  <c r="P55" i="15"/>
  <c r="P56" i="15"/>
  <c r="P57" i="15"/>
  <c r="P52" i="15"/>
  <c r="Q48" i="15"/>
  <c r="P48" i="15"/>
  <c r="Q42" i="15"/>
  <c r="P42" i="15"/>
  <c r="Q19" i="15"/>
  <c r="P19" i="15"/>
  <c r="R48" i="15"/>
  <c r="R42" i="15"/>
  <c r="R19" i="15"/>
  <c r="R53" i="15"/>
  <c r="R54" i="15"/>
  <c r="R55" i="15"/>
  <c r="R56" i="15"/>
  <c r="R57" i="15"/>
  <c r="R52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3" i="15"/>
  <c r="R44" i="15"/>
  <c r="R45" i="15"/>
  <c r="R46" i="15"/>
  <c r="R47" i="15"/>
  <c r="R49" i="15"/>
  <c r="R50" i="15"/>
  <c r="R51" i="15"/>
  <c r="R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3" i="15"/>
  <c r="Q44" i="15"/>
  <c r="Q45" i="15"/>
  <c r="Q46" i="15"/>
  <c r="Q47" i="15"/>
  <c r="Q49" i="15"/>
  <c r="Q50" i="15"/>
  <c r="Q51" i="15"/>
  <c r="Q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3" i="15"/>
  <c r="P44" i="15"/>
  <c r="P45" i="15"/>
  <c r="P46" i="15"/>
  <c r="P47" i="15"/>
  <c r="P49" i="15"/>
  <c r="P50" i="15"/>
  <c r="P51" i="15"/>
  <c r="P4" i="15"/>
  <c r="E315" i="17" l="1"/>
  <c r="I380" i="16"/>
  <c r="E380" i="16"/>
  <c r="C262" i="16"/>
  <c r="Q7" i="16" s="1"/>
  <c r="F380" i="16"/>
  <c r="G380" i="16"/>
  <c r="S7" i="16"/>
  <c r="O14" i="17"/>
  <c r="C390" i="16"/>
  <c r="E390" i="16" s="1"/>
  <c r="G390" i="16" s="1"/>
  <c r="D148" i="17"/>
  <c r="C398" i="16"/>
  <c r="O7" i="17"/>
  <c r="C148" i="17"/>
  <c r="H315" i="17"/>
  <c r="O11" i="16"/>
  <c r="C221" i="17"/>
  <c r="C314" i="17" s="1"/>
  <c r="D176" i="16"/>
  <c r="O15" i="16"/>
  <c r="Q11" i="16"/>
  <c r="S11" i="16"/>
  <c r="F444" i="17"/>
  <c r="F445" i="17" s="1"/>
  <c r="H542" i="16"/>
  <c r="O7" i="16"/>
  <c r="S11" i="17"/>
  <c r="S7" i="17"/>
  <c r="I315" i="17"/>
  <c r="H379" i="16"/>
  <c r="H380" i="16" s="1"/>
  <c r="C532" i="16"/>
  <c r="G315" i="17"/>
  <c r="Q11" i="17"/>
  <c r="O11" i="17"/>
  <c r="E444" i="17"/>
  <c r="H430" i="17"/>
  <c r="H445" i="17" s="1"/>
  <c r="C442" i="17"/>
  <c r="F314" i="17"/>
  <c r="F315" i="17" s="1"/>
  <c r="C220" i="17"/>
  <c r="Q7" i="17" s="1"/>
  <c r="O28" i="17"/>
  <c r="Q28" i="17" s="1"/>
  <c r="Q36" i="17" s="1"/>
  <c r="E430" i="17"/>
  <c r="Q20" i="16"/>
  <c r="Q41" i="16" s="1"/>
  <c r="O41" i="16"/>
  <c r="C391" i="16"/>
  <c r="L309" i="16"/>
  <c r="L311" i="16"/>
  <c r="L335" i="16" s="1"/>
  <c r="L337" i="16" s="1"/>
  <c r="L340" i="16" s="1"/>
  <c r="L353" i="16" s="1"/>
  <c r="L354" i="16" s="1"/>
  <c r="L308" i="16"/>
  <c r="L330" i="16" s="1"/>
  <c r="L320" i="16" s="1"/>
  <c r="L321" i="16" s="1"/>
  <c r="C176" i="16"/>
  <c r="E527" i="16"/>
  <c r="C527" i="16" s="1"/>
  <c r="C263" i="16"/>
  <c r="C379" i="16" s="1"/>
  <c r="E541" i="16"/>
  <c r="Q58" i="15"/>
  <c r="P58" i="15"/>
  <c r="R58" i="15"/>
  <c r="C315" i="17" l="1"/>
  <c r="N398" i="16"/>
  <c r="O9" i="16"/>
  <c r="C380" i="16"/>
  <c r="F392" i="16" s="1"/>
  <c r="E392" i="16"/>
  <c r="B399" i="16" s="1"/>
  <c r="C430" i="17"/>
  <c r="O13" i="16"/>
  <c r="S9" i="16" s="1"/>
  <c r="O9" i="17"/>
  <c r="C317" i="17"/>
  <c r="O13" i="17"/>
  <c r="O36" i="17"/>
  <c r="P36" i="17" s="1"/>
  <c r="C444" i="17"/>
  <c r="E445" i="17"/>
  <c r="C445" i="17" s="1"/>
  <c r="L356" i="16"/>
  <c r="L375" i="16" s="1"/>
  <c r="L355" i="16"/>
  <c r="C541" i="16"/>
  <c r="E542" i="16"/>
  <c r="C542" i="16" s="1"/>
  <c r="C382" i="16"/>
  <c r="L58" i="15"/>
  <c r="C396" i="16" l="1"/>
  <c r="P41" i="16"/>
  <c r="G392" i="16"/>
  <c r="Q9" i="16"/>
  <c r="Q15" i="16" s="1"/>
  <c r="S9" i="17"/>
  <c r="Q9" i="17"/>
  <c r="Q14" i="17" s="1"/>
  <c r="C58" i="15"/>
  <c r="D58" i="15"/>
  <c r="O58" i="15" l="1"/>
  <c r="N58" i="15"/>
  <c r="M58" i="15"/>
  <c r="K58" i="15"/>
  <c r="J58" i="15"/>
  <c r="I58" i="15"/>
  <c r="H58" i="15"/>
  <c r="E58" i="15"/>
  <c r="F58" i="15"/>
  <c r="G58" i="15"/>
  <c r="C37" i="14" l="1"/>
  <c r="C39" i="14" s="1"/>
  <c r="C36" i="14"/>
  <c r="C35" i="14"/>
  <c r="C34" i="14"/>
  <c r="H29" i="14"/>
  <c r="M28" i="14"/>
  <c r="N28" i="14" s="1"/>
  <c r="H28" i="14"/>
  <c r="E28" i="14"/>
  <c r="F28" i="14" s="1"/>
  <c r="M27" i="14"/>
  <c r="N27" i="14" s="1"/>
  <c r="H27" i="14"/>
  <c r="E27" i="14"/>
  <c r="F27" i="14" s="1"/>
  <c r="M26" i="14"/>
  <c r="N26" i="14" s="1"/>
  <c r="K26" i="14"/>
  <c r="L26" i="14" s="1"/>
  <c r="H31" i="14" s="1"/>
  <c r="H26" i="14"/>
  <c r="E26" i="14"/>
  <c r="F26" i="14" s="1"/>
  <c r="H20" i="14"/>
  <c r="M19" i="14"/>
  <c r="N19" i="14" s="1"/>
  <c r="H19" i="14"/>
  <c r="E19" i="14"/>
  <c r="F19" i="14" s="1"/>
  <c r="M18" i="14"/>
  <c r="N18" i="14" s="1"/>
  <c r="H18" i="14"/>
  <c r="E18" i="14"/>
  <c r="F18" i="14" s="1"/>
  <c r="M17" i="14"/>
  <c r="N17" i="14" s="1"/>
  <c r="K17" i="14"/>
  <c r="L17" i="14" s="1"/>
  <c r="H22" i="14" s="1"/>
  <c r="H17" i="14"/>
  <c r="E17" i="14"/>
  <c r="F17" i="14" s="1"/>
  <c r="H11" i="14"/>
  <c r="M10" i="14"/>
  <c r="N10" i="14" s="1"/>
  <c r="H10" i="14"/>
  <c r="E10" i="14"/>
  <c r="F10" i="14" s="1"/>
  <c r="M9" i="14"/>
  <c r="N9" i="14" s="1"/>
  <c r="H9" i="14"/>
  <c r="E9" i="14"/>
  <c r="F9" i="14" s="1"/>
  <c r="M8" i="14"/>
  <c r="N8" i="14" s="1"/>
  <c r="K8" i="14"/>
  <c r="L8" i="14" s="1"/>
  <c r="H13" i="14" s="1"/>
  <c r="H8" i="14"/>
  <c r="E8" i="14"/>
  <c r="F8" i="14" s="1"/>
  <c r="M48" i="10" l="1"/>
  <c r="E8" i="6" s="1"/>
  <c r="M47" i="10"/>
  <c r="E7" i="6" s="1"/>
  <c r="L47" i="10"/>
  <c r="D7" i="6" s="1"/>
  <c r="M45" i="10"/>
  <c r="E5" i="6" s="1"/>
  <c r="L45" i="10"/>
  <c r="D5" i="6" s="1"/>
  <c r="AE38" i="10"/>
  <c r="AD39" i="10"/>
  <c r="AC38" i="10"/>
  <c r="AA38" i="10"/>
  <c r="Y38" i="10"/>
  <c r="X39" i="10"/>
  <c r="X38" i="10"/>
  <c r="W39" i="10"/>
  <c r="V39" i="10"/>
  <c r="V38" i="10"/>
  <c r="V37" i="10"/>
  <c r="V36" i="10"/>
  <c r="U38" i="10"/>
  <c r="U36" i="10"/>
  <c r="T36" i="10"/>
  <c r="S39" i="10"/>
  <c r="S38" i="10"/>
  <c r="S36" i="10"/>
  <c r="Q39" i="10"/>
  <c r="Q37" i="10"/>
  <c r="Q36" i="10"/>
  <c r="P37" i="10"/>
  <c r="P36" i="10"/>
  <c r="N39" i="10"/>
  <c r="L39" i="10"/>
  <c r="L38" i="10"/>
  <c r="V40" i="10" l="1"/>
  <c r="I294" i="13"/>
  <c r="H294" i="13"/>
  <c r="G30" i="36" s="1"/>
  <c r="G294" i="13"/>
  <c r="F30" i="36" s="1"/>
  <c r="F294" i="13"/>
  <c r="K293" i="13"/>
  <c r="E293" i="13"/>
  <c r="C228" i="20" s="1"/>
  <c r="K292" i="13"/>
  <c r="E292" i="13"/>
  <c r="C227" i="20" s="1"/>
  <c r="K291" i="13"/>
  <c r="E291" i="13"/>
  <c r="K290" i="13"/>
  <c r="E290" i="13"/>
  <c r="K289" i="13"/>
  <c r="E289" i="13"/>
  <c r="C224" i="20" s="1"/>
  <c r="K288" i="13"/>
  <c r="E288" i="13"/>
  <c r="C223" i="20" s="1"/>
  <c r="K287" i="13"/>
  <c r="E287" i="13"/>
  <c r="C222" i="20" s="1"/>
  <c r="K286" i="13"/>
  <c r="E286" i="13"/>
  <c r="H283" i="13"/>
  <c r="G28" i="36" s="1"/>
  <c r="G283" i="13"/>
  <c r="F28" i="36" s="1"/>
  <c r="F283" i="13"/>
  <c r="E28" i="36" s="1"/>
  <c r="K282" i="13"/>
  <c r="E282" i="13"/>
  <c r="C213" i="20" s="1"/>
  <c r="E281" i="13"/>
  <c r="C212" i="20" s="1"/>
  <c r="K280" i="13"/>
  <c r="E280" i="13"/>
  <c r="C211" i="20" s="1"/>
  <c r="K279" i="13"/>
  <c r="E279" i="13"/>
  <c r="K278" i="13"/>
  <c r="E278" i="13"/>
  <c r="C209" i="20" s="1"/>
  <c r="K277" i="13"/>
  <c r="E277" i="13"/>
  <c r="K276" i="13"/>
  <c r="E276" i="13"/>
  <c r="C207" i="20" s="1"/>
  <c r="K275" i="13"/>
  <c r="E275" i="13"/>
  <c r="I272" i="13"/>
  <c r="H272" i="13"/>
  <c r="G27" i="36" s="1"/>
  <c r="G272" i="13"/>
  <c r="F27" i="36" s="1"/>
  <c r="K271" i="13"/>
  <c r="E271" i="13"/>
  <c r="C198" i="20" s="1"/>
  <c r="K270" i="13"/>
  <c r="E270" i="13"/>
  <c r="C197" i="20" s="1"/>
  <c r="K269" i="13"/>
  <c r="E269" i="13"/>
  <c r="C196" i="20" s="1"/>
  <c r="K268" i="13"/>
  <c r="E268" i="13"/>
  <c r="C195" i="20" s="1"/>
  <c r="K267" i="13"/>
  <c r="E267" i="13"/>
  <c r="C194" i="20" s="1"/>
  <c r="K266" i="13"/>
  <c r="E266" i="13"/>
  <c r="C193" i="20" s="1"/>
  <c r="N265" i="13"/>
  <c r="E265" i="13"/>
  <c r="C192" i="20" s="1"/>
  <c r="K264" i="13"/>
  <c r="E264" i="13"/>
  <c r="K263" i="13"/>
  <c r="E263" i="13"/>
  <c r="C190" i="20" s="1"/>
  <c r="K262" i="13"/>
  <c r="E262" i="13"/>
  <c r="C189" i="20" s="1"/>
  <c r="K261" i="13"/>
  <c r="E261" i="13"/>
  <c r="C188" i="20" s="1"/>
  <c r="K260" i="13"/>
  <c r="E260" i="13"/>
  <c r="C187" i="20" s="1"/>
  <c r="K259" i="13"/>
  <c r="E259" i="13"/>
  <c r="C186" i="20" s="1"/>
  <c r="K258" i="13"/>
  <c r="E258" i="13"/>
  <c r="C185" i="20" s="1"/>
  <c r="K257" i="13"/>
  <c r="E257" i="13"/>
  <c r="K256" i="13"/>
  <c r="E256" i="13"/>
  <c r="C183" i="20" s="1"/>
  <c r="K255" i="13"/>
  <c r="E255" i="13"/>
  <c r="I252" i="13"/>
  <c r="H252" i="13"/>
  <c r="G252" i="13"/>
  <c r="K251" i="13"/>
  <c r="E251" i="13"/>
  <c r="K250" i="13"/>
  <c r="E250" i="13"/>
  <c r="F249" i="13"/>
  <c r="E249" i="13"/>
  <c r="K248" i="13"/>
  <c r="E248" i="13"/>
  <c r="K247" i="13"/>
  <c r="E247" i="13"/>
  <c r="K246" i="13"/>
  <c r="E246" i="13"/>
  <c r="K245" i="13"/>
  <c r="E245" i="13"/>
  <c r="K244" i="13"/>
  <c r="E244" i="13"/>
  <c r="K243" i="13"/>
  <c r="E243" i="13"/>
  <c r="K242" i="13"/>
  <c r="E242" i="13"/>
  <c r="K241" i="13"/>
  <c r="E241" i="13"/>
  <c r="H238" i="13"/>
  <c r="G25" i="36" s="1"/>
  <c r="G238" i="13"/>
  <c r="F25" i="36" s="1"/>
  <c r="K237" i="13"/>
  <c r="E237" i="13"/>
  <c r="C240" i="20" s="1"/>
  <c r="K236" i="13"/>
  <c r="E236" i="13"/>
  <c r="C239" i="20" s="1"/>
  <c r="E238" i="20"/>
  <c r="E235" i="13"/>
  <c r="K234" i="13"/>
  <c r="E234" i="13"/>
  <c r="E233" i="13"/>
  <c r="K229" i="13"/>
  <c r="E229" i="13"/>
  <c r="C261" i="20" s="1"/>
  <c r="H260" i="20"/>
  <c r="E260" i="20"/>
  <c r="E228" i="13"/>
  <c r="C260" i="20" s="1"/>
  <c r="G227" i="13"/>
  <c r="E227" i="13"/>
  <c r="C259" i="20" s="1"/>
  <c r="K226" i="13"/>
  <c r="E226" i="13"/>
  <c r="C258" i="20" s="1"/>
  <c r="K225" i="13"/>
  <c r="E225" i="13"/>
  <c r="Z39" i="36" s="1"/>
  <c r="K224" i="13"/>
  <c r="E224" i="13"/>
  <c r="C256" i="20" s="1"/>
  <c r="N223" i="13"/>
  <c r="F223" i="13"/>
  <c r="E223" i="13"/>
  <c r="C255" i="20" s="1"/>
  <c r="K222" i="13"/>
  <c r="E222" i="13"/>
  <c r="C254" i="20" s="1"/>
  <c r="E221" i="13"/>
  <c r="K220" i="13"/>
  <c r="E220" i="13"/>
  <c r="C252" i="20" s="1"/>
  <c r="H251" i="20"/>
  <c r="E219" i="13"/>
  <c r="H250" i="20"/>
  <c r="E218" i="13"/>
  <c r="C250" i="20" s="1"/>
  <c r="K217" i="13"/>
  <c r="E217" i="13"/>
  <c r="C249" i="20" s="1"/>
  <c r="G248" i="20"/>
  <c r="G216" i="13"/>
  <c r="E248" i="20"/>
  <c r="E216" i="13"/>
  <c r="H213" i="13"/>
  <c r="G213" i="13"/>
  <c r="F213" i="13"/>
  <c r="I212" i="13"/>
  <c r="E212" i="13"/>
  <c r="K211" i="13"/>
  <c r="E211" i="13"/>
  <c r="K210" i="13"/>
  <c r="E210" i="13"/>
  <c r="K209" i="13"/>
  <c r="E209" i="13"/>
  <c r="K208" i="13"/>
  <c r="E208" i="13"/>
  <c r="K207" i="13"/>
  <c r="E207" i="13"/>
  <c r="Y40" i="36" s="1"/>
  <c r="K206" i="13"/>
  <c r="E206" i="13"/>
  <c r="K205" i="13"/>
  <c r="E205" i="13"/>
  <c r="Y38" i="36" s="1"/>
  <c r="I202" i="13"/>
  <c r="H202" i="13"/>
  <c r="G202" i="13"/>
  <c r="K201" i="13"/>
  <c r="K200" i="13"/>
  <c r="E200" i="13"/>
  <c r="K199" i="13"/>
  <c r="E199" i="13"/>
  <c r="F198" i="13"/>
  <c r="K198" i="13" s="1"/>
  <c r="E198" i="13"/>
  <c r="I195" i="13"/>
  <c r="H195" i="13"/>
  <c r="G195" i="13"/>
  <c r="F195" i="13"/>
  <c r="K194" i="13"/>
  <c r="E194" i="13"/>
  <c r="K193" i="13"/>
  <c r="E193" i="13"/>
  <c r="K192" i="13"/>
  <c r="E192" i="13"/>
  <c r="K191" i="13"/>
  <c r="E191" i="13"/>
  <c r="K190" i="13"/>
  <c r="E190" i="13"/>
  <c r="K189" i="13"/>
  <c r="E189" i="13"/>
  <c r="K188" i="13"/>
  <c r="E188" i="13"/>
  <c r="K187" i="13"/>
  <c r="E187" i="13"/>
  <c r="K186" i="13"/>
  <c r="E186" i="13"/>
  <c r="K185" i="13"/>
  <c r="E185" i="13"/>
  <c r="K184" i="13"/>
  <c r="E184" i="13"/>
  <c r="K183" i="13"/>
  <c r="E183" i="13"/>
  <c r="K182" i="13"/>
  <c r="E182" i="13"/>
  <c r="I179" i="13"/>
  <c r="H179" i="13"/>
  <c r="G179" i="13"/>
  <c r="F179" i="13"/>
  <c r="E179" i="13"/>
  <c r="D20" i="36" s="1"/>
  <c r="K178" i="13"/>
  <c r="I175" i="13"/>
  <c r="H175" i="13"/>
  <c r="G175" i="13"/>
  <c r="F175" i="13"/>
  <c r="K174" i="13"/>
  <c r="E174" i="13"/>
  <c r="K173" i="13"/>
  <c r="E173" i="13"/>
  <c r="K172" i="13"/>
  <c r="E172" i="13"/>
  <c r="K171" i="13"/>
  <c r="E171" i="13"/>
  <c r="K170" i="13"/>
  <c r="K169" i="13"/>
  <c r="E169" i="13"/>
  <c r="K168" i="13"/>
  <c r="E168" i="13"/>
  <c r="K167" i="13"/>
  <c r="E167" i="13"/>
  <c r="I164" i="13"/>
  <c r="H164" i="13"/>
  <c r="G164" i="13"/>
  <c r="K163" i="13"/>
  <c r="E163" i="13"/>
  <c r="K162" i="13"/>
  <c r="E162" i="13"/>
  <c r="K161" i="13"/>
  <c r="E161" i="13"/>
  <c r="K160" i="13"/>
  <c r="E160" i="13"/>
  <c r="K159" i="13"/>
  <c r="E159" i="13"/>
  <c r="K158" i="13"/>
  <c r="E158" i="13"/>
  <c r="K157" i="13"/>
  <c r="E157" i="13"/>
  <c r="K156" i="13"/>
  <c r="E156" i="13"/>
  <c r="K155" i="13"/>
  <c r="E155" i="13"/>
  <c r="K154" i="13"/>
  <c r="E154" i="13"/>
  <c r="F153" i="13"/>
  <c r="F164" i="13" s="1"/>
  <c r="E153" i="13"/>
  <c r="I150" i="13"/>
  <c r="H150" i="13"/>
  <c r="G150" i="13"/>
  <c r="F150" i="13"/>
  <c r="K149" i="13"/>
  <c r="E149" i="13"/>
  <c r="K148" i="13"/>
  <c r="E148" i="13"/>
  <c r="I145" i="13"/>
  <c r="H15" i="36" s="1"/>
  <c r="H145" i="13"/>
  <c r="G15" i="36" s="1"/>
  <c r="G145" i="13"/>
  <c r="F15" i="36" s="1"/>
  <c r="K144" i="13"/>
  <c r="E144" i="13"/>
  <c r="K143" i="13"/>
  <c r="E143" i="13"/>
  <c r="C103" i="20" s="1"/>
  <c r="K142" i="13"/>
  <c r="E142" i="13"/>
  <c r="C102" i="20" s="1"/>
  <c r="K141" i="13"/>
  <c r="E141" i="13"/>
  <c r="K140" i="13"/>
  <c r="E140" i="13"/>
  <c r="C100" i="20" s="1"/>
  <c r="K139" i="13"/>
  <c r="E139" i="13"/>
  <c r="C99" i="20" s="1"/>
  <c r="K138" i="13"/>
  <c r="E138" i="13"/>
  <c r="K137" i="13"/>
  <c r="E137" i="13"/>
  <c r="C97" i="20" s="1"/>
  <c r="F136" i="13"/>
  <c r="E96" i="20" s="1"/>
  <c r="E136" i="13"/>
  <c r="C96" i="20" s="1"/>
  <c r="K135" i="13"/>
  <c r="E135" i="13"/>
  <c r="I132" i="13"/>
  <c r="H14" i="36" s="1"/>
  <c r="H132" i="13"/>
  <c r="G14" i="36" s="1"/>
  <c r="G132" i="13"/>
  <c r="F14" i="36" s="1"/>
  <c r="F132" i="13"/>
  <c r="E14" i="36" s="1"/>
  <c r="K131" i="13"/>
  <c r="E131" i="13"/>
  <c r="Q39" i="36" s="1"/>
  <c r="Q41" i="36" s="1"/>
  <c r="H128" i="13"/>
  <c r="G13" i="36" s="1"/>
  <c r="G128" i="13"/>
  <c r="F13" i="36" s="1"/>
  <c r="I127" i="13"/>
  <c r="F127" i="13"/>
  <c r="E80" i="20" s="1"/>
  <c r="E127" i="13"/>
  <c r="C80" i="20" s="1"/>
  <c r="K126" i="13"/>
  <c r="E126" i="13"/>
  <c r="C79" i="20" s="1"/>
  <c r="K125" i="13"/>
  <c r="E125" i="13"/>
  <c r="C78" i="20" s="1"/>
  <c r="F124" i="13"/>
  <c r="E77" i="20" s="1"/>
  <c r="E124" i="13"/>
  <c r="K123" i="13"/>
  <c r="K122" i="13"/>
  <c r="E122" i="13"/>
  <c r="C75" i="20" s="1"/>
  <c r="F121" i="13"/>
  <c r="E74" i="20" s="1"/>
  <c r="E121" i="13"/>
  <c r="I118" i="13"/>
  <c r="H12" i="36" s="1"/>
  <c r="H118" i="13"/>
  <c r="G12" i="36" s="1"/>
  <c r="G118" i="13"/>
  <c r="F12" i="36" s="1"/>
  <c r="K117" i="13"/>
  <c r="E117" i="13"/>
  <c r="C67" i="20" s="1"/>
  <c r="K116" i="13"/>
  <c r="E116" i="13"/>
  <c r="C66" i="20" s="1"/>
  <c r="K115" i="13"/>
  <c r="E115" i="13"/>
  <c r="C65" i="20" s="1"/>
  <c r="Q65" i="20" s="1"/>
  <c r="O17" i="20" s="1"/>
  <c r="K114" i="13"/>
  <c r="E114" i="13"/>
  <c r="C64" i="20" s="1"/>
  <c r="K113" i="13"/>
  <c r="E113" i="13"/>
  <c r="C63" i="20" s="1"/>
  <c r="K112" i="13"/>
  <c r="E112" i="13"/>
  <c r="C62" i="20" s="1"/>
  <c r="K111" i="13"/>
  <c r="E111" i="13"/>
  <c r="C61" i="20" s="1"/>
  <c r="K110" i="13"/>
  <c r="E110" i="13"/>
  <c r="C60" i="20" s="1"/>
  <c r="K109" i="13"/>
  <c r="E109" i="13"/>
  <c r="C59" i="20" s="1"/>
  <c r="K108" i="13"/>
  <c r="E108" i="13"/>
  <c r="C58" i="20" s="1"/>
  <c r="K107" i="13"/>
  <c r="E107" i="13"/>
  <c r="C57" i="20" s="1"/>
  <c r="F106" i="13"/>
  <c r="E106" i="13"/>
  <c r="C56" i="20" s="1"/>
  <c r="K105" i="13"/>
  <c r="E105" i="13"/>
  <c r="C55" i="20" s="1"/>
  <c r="K104" i="13"/>
  <c r="E104" i="13"/>
  <c r="C54" i="20" s="1"/>
  <c r="K103" i="13"/>
  <c r="E103" i="13"/>
  <c r="K102" i="13"/>
  <c r="E102" i="13"/>
  <c r="C52" i="20" s="1"/>
  <c r="K101" i="13"/>
  <c r="E101" i="13"/>
  <c r="C51" i="20" s="1"/>
  <c r="K100" i="13"/>
  <c r="E100" i="13"/>
  <c r="C50" i="20" s="1"/>
  <c r="K99" i="13"/>
  <c r="E99" i="13"/>
  <c r="C49" i="20" s="1"/>
  <c r="K98" i="13"/>
  <c r="E98" i="13"/>
  <c r="C48" i="20" s="1"/>
  <c r="K97" i="13"/>
  <c r="E97" i="13"/>
  <c r="C47" i="20" s="1"/>
  <c r="K96" i="13"/>
  <c r="E96" i="13"/>
  <c r="C46" i="20" s="1"/>
  <c r="K95" i="13"/>
  <c r="E95" i="13"/>
  <c r="C45" i="20" s="1"/>
  <c r="K94" i="13"/>
  <c r="K93" i="13"/>
  <c r="E93" i="13"/>
  <c r="K92" i="13"/>
  <c r="E92" i="13"/>
  <c r="K91" i="13"/>
  <c r="E91" i="13"/>
  <c r="H88" i="13"/>
  <c r="G11" i="36" s="1"/>
  <c r="G88" i="13"/>
  <c r="F11" i="36" s="1"/>
  <c r="K87" i="13"/>
  <c r="E87" i="13"/>
  <c r="C143" i="20" s="1"/>
  <c r="K86" i="13"/>
  <c r="E86" i="13"/>
  <c r="C142" i="20" s="1"/>
  <c r="K85" i="13"/>
  <c r="E85" i="13"/>
  <c r="C141" i="20" s="1"/>
  <c r="K84" i="13"/>
  <c r="E84" i="13"/>
  <c r="C140" i="20" s="1"/>
  <c r="K83" i="13"/>
  <c r="E83" i="13"/>
  <c r="C139" i="20" s="1"/>
  <c r="K82" i="13"/>
  <c r="E82" i="13"/>
  <c r="C138" i="20" s="1"/>
  <c r="K81" i="13"/>
  <c r="E81" i="13"/>
  <c r="C137" i="20" s="1"/>
  <c r="K80" i="13"/>
  <c r="E80" i="13"/>
  <c r="C136" i="20" s="1"/>
  <c r="K79" i="13"/>
  <c r="E79" i="13"/>
  <c r="C135" i="20" s="1"/>
  <c r="K78" i="13"/>
  <c r="E78" i="13"/>
  <c r="C134" i="20" s="1"/>
  <c r="K77" i="13"/>
  <c r="E77" i="13"/>
  <c r="C133" i="20" s="1"/>
  <c r="K76" i="13"/>
  <c r="E76" i="13"/>
  <c r="C132" i="20" s="1"/>
  <c r="K75" i="13"/>
  <c r="E75" i="13"/>
  <c r="C131" i="20" s="1"/>
  <c r="K74" i="13"/>
  <c r="E74" i="13"/>
  <c r="C130" i="20" s="1"/>
  <c r="K73" i="13"/>
  <c r="E73" i="13"/>
  <c r="C129" i="20" s="1"/>
  <c r="K72" i="13"/>
  <c r="E72" i="13"/>
  <c r="C128" i="20" s="1"/>
  <c r="K71" i="13"/>
  <c r="E71" i="13"/>
  <c r="C127" i="20" s="1"/>
  <c r="I70" i="13"/>
  <c r="E70" i="13"/>
  <c r="C126" i="20" s="1"/>
  <c r="K69" i="13"/>
  <c r="E69" i="13"/>
  <c r="C125" i="20" s="1"/>
  <c r="F68" i="13"/>
  <c r="E68" i="13"/>
  <c r="C124" i="20" s="1"/>
  <c r="K67" i="13"/>
  <c r="E67" i="13"/>
  <c r="C123" i="20" s="1"/>
  <c r="K66" i="13"/>
  <c r="E66" i="13"/>
  <c r="C122" i="20" s="1"/>
  <c r="K65" i="13"/>
  <c r="E65" i="13"/>
  <c r="C121" i="20" s="1"/>
  <c r="K64" i="13"/>
  <c r="E64" i="13"/>
  <c r="C120" i="20" s="1"/>
  <c r="K63" i="13"/>
  <c r="E63" i="13"/>
  <c r="C119" i="20" s="1"/>
  <c r="K62" i="13"/>
  <c r="E62" i="13"/>
  <c r="C118" i="20" s="1"/>
  <c r="K61" i="13"/>
  <c r="E61" i="13"/>
  <c r="K60" i="13"/>
  <c r="E60" i="13"/>
  <c r="C116" i="20" s="1"/>
  <c r="K59" i="13"/>
  <c r="E59" i="13"/>
  <c r="C115" i="20" s="1"/>
  <c r="K58" i="13"/>
  <c r="E58" i="13"/>
  <c r="C114" i="20" s="1"/>
  <c r="K57" i="13"/>
  <c r="E57" i="13"/>
  <c r="K56" i="13"/>
  <c r="E56" i="13"/>
  <c r="I54" i="13"/>
  <c r="H54" i="13"/>
  <c r="G10" i="36" s="1"/>
  <c r="G54" i="13"/>
  <c r="F10" i="36" s="1"/>
  <c r="K53" i="13"/>
  <c r="E53" i="13"/>
  <c r="C164" i="20" s="1"/>
  <c r="K52" i="13"/>
  <c r="E52" i="13"/>
  <c r="C163" i="20" s="1"/>
  <c r="K51" i="13"/>
  <c r="E51" i="13"/>
  <c r="C162" i="20" s="1"/>
  <c r="K50" i="13"/>
  <c r="E50" i="13"/>
  <c r="C161" i="20" s="1"/>
  <c r="K49" i="13"/>
  <c r="E49" i="13"/>
  <c r="C160" i="20" s="1"/>
  <c r="F48" i="13"/>
  <c r="E159" i="20" s="1"/>
  <c r="E48" i="13"/>
  <c r="C159" i="20" s="1"/>
  <c r="F47" i="13"/>
  <c r="E47" i="13"/>
  <c r="C158" i="20" s="1"/>
  <c r="F46" i="13"/>
  <c r="E46" i="13"/>
  <c r="F45" i="13"/>
  <c r="E45" i="13"/>
  <c r="C156" i="20" s="1"/>
  <c r="K44" i="13"/>
  <c r="E44" i="13"/>
  <c r="K43" i="13"/>
  <c r="E43" i="13"/>
  <c r="C154" i="20" s="1"/>
  <c r="K42" i="13"/>
  <c r="E42" i="13"/>
  <c r="C153" i="20" s="1"/>
  <c r="K41" i="13"/>
  <c r="E41" i="13"/>
  <c r="K40" i="13"/>
  <c r="E40" i="13"/>
  <c r="H37" i="13"/>
  <c r="G9" i="36" s="1"/>
  <c r="G37" i="13"/>
  <c r="F9" i="36" s="1"/>
  <c r="K36" i="13"/>
  <c r="E36" i="13"/>
  <c r="I35" i="13"/>
  <c r="F35" i="13"/>
  <c r="E172" i="20" s="1"/>
  <c r="E174" i="20" s="1"/>
  <c r="E35" i="13"/>
  <c r="I32" i="13"/>
  <c r="H8" i="36" s="1"/>
  <c r="H32" i="13"/>
  <c r="G8" i="36" s="1"/>
  <c r="G32" i="13"/>
  <c r="F8" i="36" s="1"/>
  <c r="K31" i="13"/>
  <c r="E31" i="13"/>
  <c r="K30" i="13"/>
  <c r="E30" i="13"/>
  <c r="C32" i="20" s="1"/>
  <c r="K29" i="13"/>
  <c r="E29" i="13"/>
  <c r="C31" i="20" s="1"/>
  <c r="K28" i="13"/>
  <c r="E28" i="13"/>
  <c r="C30" i="20" s="1"/>
  <c r="K27" i="13"/>
  <c r="E27" i="13"/>
  <c r="C29" i="20" s="1"/>
  <c r="K26" i="13"/>
  <c r="K25" i="13"/>
  <c r="E25" i="13"/>
  <c r="C27" i="20" s="1"/>
  <c r="K24" i="13"/>
  <c r="E24" i="13"/>
  <c r="C26" i="20" s="1"/>
  <c r="K23" i="13"/>
  <c r="E23" i="13"/>
  <c r="C25" i="20" s="1"/>
  <c r="K22" i="13"/>
  <c r="E22" i="13"/>
  <c r="K21" i="13"/>
  <c r="E21" i="13"/>
  <c r="C23" i="20" s="1"/>
  <c r="F20" i="13"/>
  <c r="E22" i="20" s="1"/>
  <c r="E20" i="13"/>
  <c r="C22" i="20" s="1"/>
  <c r="K19" i="13"/>
  <c r="E19" i="13"/>
  <c r="C21" i="20" s="1"/>
  <c r="K18" i="13"/>
  <c r="E18" i="13"/>
  <c r="C20" i="20" s="1"/>
  <c r="K17" i="13"/>
  <c r="E17" i="13"/>
  <c r="C19" i="20" s="1"/>
  <c r="F16" i="13"/>
  <c r="E16" i="13"/>
  <c r="C18" i="20" s="1"/>
  <c r="K15" i="13"/>
  <c r="E15" i="13"/>
  <c r="C17" i="20" s="1"/>
  <c r="K14" i="13"/>
  <c r="E14" i="13"/>
  <c r="C16" i="20" s="1"/>
  <c r="K13" i="13"/>
  <c r="E13" i="13"/>
  <c r="C15" i="20" s="1"/>
  <c r="K12" i="13"/>
  <c r="E12" i="13"/>
  <c r="C14" i="20" s="1"/>
  <c r="K11" i="13"/>
  <c r="E11" i="13"/>
  <c r="C13" i="20" s="1"/>
  <c r="K10" i="13"/>
  <c r="E10" i="13"/>
  <c r="K9" i="13"/>
  <c r="E9" i="13"/>
  <c r="K8" i="13"/>
  <c r="Z40" i="36" l="1"/>
  <c r="AB37" i="36"/>
  <c r="AC38" i="36"/>
  <c r="AB40" i="36"/>
  <c r="M40" i="36"/>
  <c r="M39" i="36"/>
  <c r="F16" i="36"/>
  <c r="G16" i="36"/>
  <c r="O39" i="36"/>
  <c r="AE38" i="36"/>
  <c r="AD38" i="36"/>
  <c r="K39" i="36"/>
  <c r="AC37" i="36"/>
  <c r="Z37" i="36"/>
  <c r="H10" i="29"/>
  <c r="H10" i="36"/>
  <c r="O83" i="37"/>
  <c r="N48" i="36"/>
  <c r="E17" i="10"/>
  <c r="D17" i="10" s="1"/>
  <c r="E17" i="36"/>
  <c r="H18" i="10"/>
  <c r="H18" i="36"/>
  <c r="E19" i="10"/>
  <c r="E19" i="36"/>
  <c r="G20" i="10"/>
  <c r="G20" i="36"/>
  <c r="E21" i="10"/>
  <c r="E21" i="36"/>
  <c r="G22" i="10"/>
  <c r="G22" i="36"/>
  <c r="G23" i="10"/>
  <c r="G23" i="36"/>
  <c r="H27" i="29"/>
  <c r="H27" i="36"/>
  <c r="N46" i="29"/>
  <c r="O81" i="37"/>
  <c r="N46" i="36"/>
  <c r="L84" i="37"/>
  <c r="K49" i="36"/>
  <c r="L83" i="37"/>
  <c r="K48" i="36"/>
  <c r="F17" i="10"/>
  <c r="F17" i="36"/>
  <c r="E18" i="10"/>
  <c r="D18" i="10" s="1"/>
  <c r="E18" i="36"/>
  <c r="F19" i="10"/>
  <c r="F19" i="36"/>
  <c r="H20" i="10"/>
  <c r="H20" i="37"/>
  <c r="H20" i="36"/>
  <c r="F21" i="10"/>
  <c r="F21" i="36"/>
  <c r="H22" i="10"/>
  <c r="H22" i="36"/>
  <c r="F26" i="10"/>
  <c r="F26" i="36"/>
  <c r="G17" i="10"/>
  <c r="G17" i="36"/>
  <c r="F18" i="10"/>
  <c r="F18" i="36"/>
  <c r="G19" i="10"/>
  <c r="G19" i="36"/>
  <c r="E20" i="10"/>
  <c r="E20" i="36"/>
  <c r="G21" i="10"/>
  <c r="G21" i="36"/>
  <c r="E23" i="10"/>
  <c r="E23" i="36"/>
  <c r="L49" i="29"/>
  <c r="M84" i="37"/>
  <c r="L49" i="36"/>
  <c r="G26" i="10"/>
  <c r="G26" i="36"/>
  <c r="H29" i="10"/>
  <c r="H30" i="36"/>
  <c r="H30" i="29"/>
  <c r="K46" i="36"/>
  <c r="K45" i="10"/>
  <c r="L81" i="37"/>
  <c r="L82" i="37"/>
  <c r="K47" i="36"/>
  <c r="N37" i="36"/>
  <c r="H17" i="10"/>
  <c r="H17" i="36"/>
  <c r="G18" i="10"/>
  <c r="G18" i="36"/>
  <c r="H19" i="10"/>
  <c r="H19" i="36"/>
  <c r="F20" i="10"/>
  <c r="F20" i="37"/>
  <c r="F20" i="36"/>
  <c r="H21" i="10"/>
  <c r="H21" i="36"/>
  <c r="F22" i="10"/>
  <c r="F22" i="36"/>
  <c r="F23" i="10"/>
  <c r="F23" i="36"/>
  <c r="H26" i="10"/>
  <c r="H26" i="36"/>
  <c r="E29" i="10"/>
  <c r="E30" i="36"/>
  <c r="E30" i="29"/>
  <c r="M37" i="36"/>
  <c r="P40" i="29"/>
  <c r="P40" i="36"/>
  <c r="U74" i="37"/>
  <c r="T39" i="36"/>
  <c r="V73" i="37"/>
  <c r="U38" i="36"/>
  <c r="Z38" i="36"/>
  <c r="AD39" i="29"/>
  <c r="AD39" i="36"/>
  <c r="AE37" i="29"/>
  <c r="AE37" i="36"/>
  <c r="U73" i="37"/>
  <c r="T38" i="36"/>
  <c r="V75" i="37"/>
  <c r="U40" i="36"/>
  <c r="X72" i="37"/>
  <c r="W37" i="36"/>
  <c r="AC40" i="29"/>
  <c r="AC40" i="36"/>
  <c r="O38" i="36"/>
  <c r="L47" i="29"/>
  <c r="M82" i="37"/>
  <c r="L47" i="36"/>
  <c r="L37" i="29"/>
  <c r="L37" i="36"/>
  <c r="S38" i="36"/>
  <c r="S41" i="36" s="1"/>
  <c r="X74" i="37"/>
  <c r="W39" i="36"/>
  <c r="N39" i="36"/>
  <c r="R39" i="36"/>
  <c r="R38" i="29"/>
  <c r="R38" i="36"/>
  <c r="M17" i="13"/>
  <c r="K36" i="10"/>
  <c r="K37" i="36"/>
  <c r="L38" i="29"/>
  <c r="L38" i="36"/>
  <c r="X73" i="37"/>
  <c r="W38" i="36"/>
  <c r="K38" i="36"/>
  <c r="N38" i="36"/>
  <c r="P39" i="36"/>
  <c r="AB39" i="29"/>
  <c r="AB39" i="36"/>
  <c r="U75" i="37"/>
  <c r="T40" i="36"/>
  <c r="Y72" i="37"/>
  <c r="X37" i="36"/>
  <c r="Y37" i="36"/>
  <c r="Y41" i="36" s="1"/>
  <c r="AA40" i="29"/>
  <c r="AA40" i="36"/>
  <c r="AA38" i="36"/>
  <c r="AD37" i="36"/>
  <c r="K40" i="29"/>
  <c r="K40" i="36"/>
  <c r="M38" i="36"/>
  <c r="O40" i="36"/>
  <c r="Y73" i="37"/>
  <c r="X38" i="36"/>
  <c r="O37" i="36"/>
  <c r="R37" i="36"/>
  <c r="R40" i="29"/>
  <c r="R40" i="36"/>
  <c r="AA37" i="29"/>
  <c r="AA37" i="36"/>
  <c r="AB38" i="36"/>
  <c r="AE40" i="29"/>
  <c r="AE40" i="36"/>
  <c r="M38" i="29"/>
  <c r="R37" i="29"/>
  <c r="M39" i="29"/>
  <c r="T38" i="29"/>
  <c r="W37" i="29"/>
  <c r="W38" i="29"/>
  <c r="X38" i="29"/>
  <c r="K37" i="29"/>
  <c r="AB38" i="29"/>
  <c r="E18" i="20"/>
  <c r="E34" i="20" s="1"/>
  <c r="K46" i="29"/>
  <c r="E157" i="20"/>
  <c r="K47" i="29"/>
  <c r="G10" i="10"/>
  <c r="G10" i="29"/>
  <c r="C113" i="20"/>
  <c r="N38" i="29"/>
  <c r="C117" i="20"/>
  <c r="N37" i="29"/>
  <c r="F8" i="10"/>
  <c r="F8" i="29"/>
  <c r="F9" i="10"/>
  <c r="F9" i="29"/>
  <c r="C152" i="20"/>
  <c r="M37" i="29"/>
  <c r="F12" i="10"/>
  <c r="F12" i="29"/>
  <c r="H80" i="20"/>
  <c r="N48" i="29"/>
  <c r="H14" i="10"/>
  <c r="H14" i="29"/>
  <c r="S38" i="29"/>
  <c r="S41" i="29" s="1"/>
  <c r="T39" i="29"/>
  <c r="T39" i="10"/>
  <c r="T40" i="29"/>
  <c r="W38" i="10"/>
  <c r="W39" i="29"/>
  <c r="X36" i="10"/>
  <c r="X37" i="29"/>
  <c r="Y37" i="29"/>
  <c r="C182" i="20"/>
  <c r="O28" i="20" s="1"/>
  <c r="Q28" i="20" s="1"/>
  <c r="AC37" i="29"/>
  <c r="C184" i="20"/>
  <c r="AC38" i="29"/>
  <c r="E28" i="29"/>
  <c r="C12" i="20"/>
  <c r="K38" i="29"/>
  <c r="C24" i="20"/>
  <c r="K39" i="29"/>
  <c r="G8" i="10"/>
  <c r="G8" i="29"/>
  <c r="G9" i="10"/>
  <c r="G9" i="29"/>
  <c r="E156" i="20"/>
  <c r="K49" i="29"/>
  <c r="E158" i="20"/>
  <c r="K48" i="29"/>
  <c r="C112" i="20"/>
  <c r="N39" i="29"/>
  <c r="F11" i="10"/>
  <c r="F11" i="29"/>
  <c r="C42" i="20"/>
  <c r="O39" i="29"/>
  <c r="G12" i="10"/>
  <c r="G12" i="29"/>
  <c r="F13" i="10"/>
  <c r="F13" i="29"/>
  <c r="E14" i="10"/>
  <c r="E14" i="29"/>
  <c r="C95" i="20"/>
  <c r="R39" i="29"/>
  <c r="F15" i="10"/>
  <c r="F15" i="29"/>
  <c r="U38" i="29"/>
  <c r="C248" i="20"/>
  <c r="Z38" i="29"/>
  <c r="E231" i="13"/>
  <c r="C251" i="20"/>
  <c r="Z37" i="29"/>
  <c r="C253" i="20"/>
  <c r="Z40" i="29"/>
  <c r="E255" i="20"/>
  <c r="I223" i="13"/>
  <c r="H255" i="20" s="1"/>
  <c r="C257" i="20"/>
  <c r="Z39" i="29"/>
  <c r="C237" i="20"/>
  <c r="O31" i="20" s="1"/>
  <c r="Q31" i="20" s="1"/>
  <c r="AA38" i="29"/>
  <c r="F25" i="10"/>
  <c r="F25" i="29"/>
  <c r="AB36" i="10"/>
  <c r="AB37" i="29"/>
  <c r="C206" i="20"/>
  <c r="AD37" i="29"/>
  <c r="C210" i="20"/>
  <c r="AD38" i="29"/>
  <c r="F28" i="10"/>
  <c r="F28" i="29"/>
  <c r="C155" i="20"/>
  <c r="M40" i="29"/>
  <c r="F10" i="10"/>
  <c r="F10" i="29"/>
  <c r="H126" i="20"/>
  <c r="H145" i="20" s="1"/>
  <c r="H524" i="20" s="1"/>
  <c r="G11" i="10"/>
  <c r="G11" i="29"/>
  <c r="C53" i="20"/>
  <c r="O40" i="29"/>
  <c r="H12" i="10"/>
  <c r="H12" i="29"/>
  <c r="G13" i="10"/>
  <c r="G13" i="29"/>
  <c r="F14" i="10"/>
  <c r="F14" i="29"/>
  <c r="G15" i="10"/>
  <c r="G15" i="29"/>
  <c r="U39" i="10"/>
  <c r="U40" i="29"/>
  <c r="Y37" i="10"/>
  <c r="Y38" i="29"/>
  <c r="Y39" i="10"/>
  <c r="Y40" i="29"/>
  <c r="G25" i="10"/>
  <c r="G25" i="29"/>
  <c r="F27" i="10"/>
  <c r="F27" i="29"/>
  <c r="G28" i="10"/>
  <c r="G28" i="29"/>
  <c r="H8" i="10"/>
  <c r="H8" i="29"/>
  <c r="C41" i="20"/>
  <c r="O37" i="29"/>
  <c r="C43" i="20"/>
  <c r="O38" i="29"/>
  <c r="C74" i="20"/>
  <c r="P39" i="29"/>
  <c r="P41" i="29" s="1"/>
  <c r="C88" i="20"/>
  <c r="C89" i="20" s="1"/>
  <c r="Q39" i="29"/>
  <c r="Q41" i="29" s="1"/>
  <c r="G14" i="10"/>
  <c r="G14" i="29"/>
  <c r="H15" i="10"/>
  <c r="H15" i="29"/>
  <c r="AB39" i="10"/>
  <c r="AB40" i="29"/>
  <c r="G27" i="10"/>
  <c r="G27" i="29"/>
  <c r="C221" i="20"/>
  <c r="AE38" i="29"/>
  <c r="E28" i="10"/>
  <c r="H27" i="10"/>
  <c r="N45" i="10"/>
  <c r="F5" i="6" s="1"/>
  <c r="H172" i="20"/>
  <c r="H174" i="20" s="1"/>
  <c r="F118" i="13"/>
  <c r="E12" i="36" s="1"/>
  <c r="E56" i="20"/>
  <c r="F29" i="10"/>
  <c r="C151" i="20"/>
  <c r="E54" i="13"/>
  <c r="D10" i="36" s="1"/>
  <c r="K68" i="13"/>
  <c r="E124" i="20"/>
  <c r="K221" i="13"/>
  <c r="E253" i="20"/>
  <c r="K281" i="13"/>
  <c r="H212" i="20"/>
  <c r="G29" i="10"/>
  <c r="C11" i="20"/>
  <c r="E32" i="13"/>
  <c r="D8" i="36" s="1"/>
  <c r="E37" i="13"/>
  <c r="D9" i="36" s="1"/>
  <c r="L46" i="10"/>
  <c r="D6" i="6" s="1"/>
  <c r="F248" i="20"/>
  <c r="L48" i="10"/>
  <c r="D8" i="6" s="1"/>
  <c r="F259" i="20"/>
  <c r="K233" i="13"/>
  <c r="H236" i="20"/>
  <c r="E242" i="20"/>
  <c r="E531" i="20" s="1"/>
  <c r="E241" i="20"/>
  <c r="E526" i="20"/>
  <c r="E82" i="20"/>
  <c r="E81" i="20"/>
  <c r="H81" i="20"/>
  <c r="H82" i="20"/>
  <c r="H521" i="20" s="1"/>
  <c r="E106" i="20"/>
  <c r="E105" i="20"/>
  <c r="G398" i="20"/>
  <c r="G262" i="20"/>
  <c r="G263" i="20"/>
  <c r="G379" i="20" s="1"/>
  <c r="G380" i="20" s="1"/>
  <c r="N48" i="10"/>
  <c r="F8" i="6" s="1"/>
  <c r="H259" i="20"/>
  <c r="K265" i="13"/>
  <c r="E192" i="20"/>
  <c r="R37" i="10"/>
  <c r="C101" i="20"/>
  <c r="AC39" i="10"/>
  <c r="C191" i="20"/>
  <c r="AD38" i="10"/>
  <c r="C208" i="20"/>
  <c r="P39" i="10"/>
  <c r="C77" i="20"/>
  <c r="AE39" i="10"/>
  <c r="C225" i="20"/>
  <c r="K39" i="10"/>
  <c r="C33" i="20"/>
  <c r="L37" i="10"/>
  <c r="C173" i="20"/>
  <c r="M37" i="10"/>
  <c r="C157" i="20"/>
  <c r="AA39" i="10"/>
  <c r="C236" i="20"/>
  <c r="AA36" i="10"/>
  <c r="C238" i="20"/>
  <c r="AE36" i="10"/>
  <c r="C226" i="20"/>
  <c r="R36" i="10"/>
  <c r="C98" i="20"/>
  <c r="R39" i="10"/>
  <c r="C104" i="20"/>
  <c r="L36" i="10"/>
  <c r="C172" i="20"/>
  <c r="H10" i="10"/>
  <c r="N36" i="10"/>
  <c r="AA37" i="10"/>
  <c r="O36" i="10"/>
  <c r="O37" i="10"/>
  <c r="P38" i="10"/>
  <c r="K46" i="13"/>
  <c r="K46" i="10"/>
  <c r="C6" i="6" s="1"/>
  <c r="K45" i="13"/>
  <c r="K48" i="10"/>
  <c r="C8" i="6" s="1"/>
  <c r="K47" i="10"/>
  <c r="I128" i="13"/>
  <c r="H13" i="36" s="1"/>
  <c r="N47" i="10"/>
  <c r="F7" i="6" s="1"/>
  <c r="H230" i="13"/>
  <c r="G24" i="36" s="1"/>
  <c r="M46" i="10"/>
  <c r="E6" i="6" s="1"/>
  <c r="F32" i="13"/>
  <c r="I88" i="13"/>
  <c r="H11" i="36" s="1"/>
  <c r="AC36" i="10"/>
  <c r="AE37" i="10"/>
  <c r="N37" i="10"/>
  <c r="S37" i="10"/>
  <c r="S40" i="10" s="1"/>
  <c r="T38" i="10"/>
  <c r="Y36" i="10"/>
  <c r="AC37" i="10"/>
  <c r="O38" i="10"/>
  <c r="Z39" i="10"/>
  <c r="M38" i="10"/>
  <c r="M39" i="10"/>
  <c r="O39" i="10"/>
  <c r="T37" i="10"/>
  <c r="W36" i="10"/>
  <c r="W37" i="10"/>
  <c r="X37" i="10"/>
  <c r="M36" i="10"/>
  <c r="K37" i="10"/>
  <c r="K38" i="10"/>
  <c r="N38" i="10"/>
  <c r="R38" i="10"/>
  <c r="U37" i="10"/>
  <c r="Z37" i="10"/>
  <c r="Z36" i="10"/>
  <c r="AD36" i="10"/>
  <c r="AD37" i="10"/>
  <c r="E132" i="13"/>
  <c r="D14" i="36" s="1"/>
  <c r="Q38" i="10"/>
  <c r="Q40" i="10" s="1"/>
  <c r="Z38" i="10"/>
  <c r="AB38" i="10"/>
  <c r="AB37" i="10"/>
  <c r="K48" i="13"/>
  <c r="K227" i="13"/>
  <c r="E195" i="13"/>
  <c r="E213" i="13"/>
  <c r="D23" i="36" s="1"/>
  <c r="G230" i="13"/>
  <c r="F24" i="36" s="1"/>
  <c r="N296" i="13"/>
  <c r="K124" i="13"/>
  <c r="K153" i="13"/>
  <c r="K219" i="13"/>
  <c r="E238" i="13"/>
  <c r="D25" i="36" s="1"/>
  <c r="E128" i="13"/>
  <c r="D13" i="36" s="1"/>
  <c r="K212" i="13"/>
  <c r="K228" i="13"/>
  <c r="F272" i="13"/>
  <c r="E27" i="36" s="1"/>
  <c r="K20" i="13"/>
  <c r="F88" i="13"/>
  <c r="E11" i="36" s="1"/>
  <c r="E88" i="13"/>
  <c r="D11" i="36" s="1"/>
  <c r="F252" i="13"/>
  <c r="K249" i="13"/>
  <c r="K35" i="13"/>
  <c r="F37" i="13"/>
  <c r="E9" i="36" s="1"/>
  <c r="E164" i="13"/>
  <c r="K216" i="13"/>
  <c r="F230" i="13"/>
  <c r="F238" i="13"/>
  <c r="E25" i="36" s="1"/>
  <c r="K235" i="13"/>
  <c r="F128" i="13"/>
  <c r="E13" i="36" s="1"/>
  <c r="I213" i="13"/>
  <c r="K106" i="13"/>
  <c r="K121" i="13"/>
  <c r="E145" i="13"/>
  <c r="D15" i="36" s="1"/>
  <c r="E202" i="13"/>
  <c r="E230" i="13"/>
  <c r="D24" i="36" s="1"/>
  <c r="N295" i="13"/>
  <c r="E175" i="13"/>
  <c r="E272" i="13"/>
  <c r="D27" i="36" s="1"/>
  <c r="E294" i="13"/>
  <c r="K47" i="13"/>
  <c r="I37" i="13"/>
  <c r="H9" i="36" s="1"/>
  <c r="K16" i="13"/>
  <c r="E252" i="13"/>
  <c r="D26" i="36" s="1"/>
  <c r="F54" i="13"/>
  <c r="E10" i="36" s="1"/>
  <c r="K70" i="13"/>
  <c r="K136" i="13"/>
  <c r="F202" i="13"/>
  <c r="K218" i="13"/>
  <c r="E283" i="13"/>
  <c r="D28" i="36" s="1"/>
  <c r="I283" i="13"/>
  <c r="K127" i="13"/>
  <c r="I238" i="13"/>
  <c r="E118" i="13"/>
  <c r="D12" i="36" s="1"/>
  <c r="F145" i="13"/>
  <c r="E15" i="36" s="1"/>
  <c r="E150" i="13"/>
  <c r="D17" i="36" s="1"/>
  <c r="N41" i="36" l="1"/>
  <c r="O46" i="29"/>
  <c r="O49" i="29"/>
  <c r="AC41" i="36"/>
  <c r="O48" i="36"/>
  <c r="L41" i="29"/>
  <c r="O46" i="36"/>
  <c r="D14" i="10"/>
  <c r="P83" i="37"/>
  <c r="Z41" i="36"/>
  <c r="E35" i="20"/>
  <c r="O30" i="20"/>
  <c r="Q30" i="20" s="1"/>
  <c r="E262" i="20"/>
  <c r="D19" i="10"/>
  <c r="D20" i="10"/>
  <c r="D21" i="10"/>
  <c r="U40" i="10"/>
  <c r="N46" i="10"/>
  <c r="F6" i="6" s="1"/>
  <c r="AB41" i="36"/>
  <c r="P41" i="36"/>
  <c r="N47" i="29"/>
  <c r="O47" i="29" s="1"/>
  <c r="R41" i="36"/>
  <c r="K223" i="13"/>
  <c r="K295" i="13" s="1"/>
  <c r="H144" i="20"/>
  <c r="AE41" i="29"/>
  <c r="I230" i="13"/>
  <c r="H24" i="29" s="1"/>
  <c r="AA41" i="29"/>
  <c r="H263" i="20"/>
  <c r="E166" i="20"/>
  <c r="E525" i="20" s="1"/>
  <c r="C525" i="20" s="1"/>
  <c r="D29" i="10"/>
  <c r="R41" i="29"/>
  <c r="H16" i="36"/>
  <c r="F31" i="36"/>
  <c r="F32" i="36" s="1"/>
  <c r="AD41" i="36"/>
  <c r="O41" i="36"/>
  <c r="E398" i="20"/>
  <c r="P81" i="37"/>
  <c r="E22" i="10"/>
  <c r="D22" i="10" s="1"/>
  <c r="E22" i="36"/>
  <c r="I20" i="37"/>
  <c r="J20" i="37" s="1"/>
  <c r="F30" i="37"/>
  <c r="F31" i="37" s="1"/>
  <c r="G31" i="36"/>
  <c r="G32" i="36" s="1"/>
  <c r="H28" i="29"/>
  <c r="H28" i="36"/>
  <c r="E26" i="10"/>
  <c r="D26" i="10" s="1"/>
  <c r="E26" i="36"/>
  <c r="H262" i="20"/>
  <c r="AF39" i="36"/>
  <c r="C39" i="36" s="1"/>
  <c r="W41" i="36"/>
  <c r="N47" i="36"/>
  <c r="O47" i="36" s="1"/>
  <c r="O49" i="36"/>
  <c r="H23" i="10"/>
  <c r="D23" i="10" s="1"/>
  <c r="H23" i="36"/>
  <c r="E24" i="29"/>
  <c r="E24" i="36"/>
  <c r="H25" i="29"/>
  <c r="H25" i="36"/>
  <c r="E8" i="29"/>
  <c r="D8" i="29" s="1"/>
  <c r="E8" i="36"/>
  <c r="E16" i="36" s="1"/>
  <c r="H398" i="20"/>
  <c r="O32" i="20"/>
  <c r="Q32" i="20" s="1"/>
  <c r="E165" i="20"/>
  <c r="O82" i="37"/>
  <c r="P82" i="37" s="1"/>
  <c r="P84" i="37"/>
  <c r="Y76" i="37"/>
  <c r="X40" i="37"/>
  <c r="O29" i="20"/>
  <c r="Q29" i="20" s="1"/>
  <c r="O25" i="20"/>
  <c r="Q25" i="20" s="1"/>
  <c r="AF40" i="36"/>
  <c r="C40" i="36" s="1"/>
  <c r="AF38" i="36"/>
  <c r="C38" i="36" s="1"/>
  <c r="D30" i="29"/>
  <c r="D31" i="29" s="1"/>
  <c r="D32" i="29" s="1"/>
  <c r="D30" i="36"/>
  <c r="J21" i="37"/>
  <c r="D21" i="36"/>
  <c r="C199" i="20"/>
  <c r="AA41" i="36"/>
  <c r="W40" i="37"/>
  <c r="K41" i="36"/>
  <c r="AF37" i="36"/>
  <c r="L41" i="36"/>
  <c r="X76" i="37"/>
  <c r="U41" i="36"/>
  <c r="J19" i="37"/>
  <c r="D19" i="36"/>
  <c r="U40" i="37"/>
  <c r="V76" i="37"/>
  <c r="D18" i="36"/>
  <c r="D16" i="36"/>
  <c r="T41" i="36"/>
  <c r="AF38" i="37"/>
  <c r="C38" i="37" s="1"/>
  <c r="T40" i="37"/>
  <c r="AG74" i="37"/>
  <c r="U76" i="37"/>
  <c r="J22" i="37"/>
  <c r="D22" i="36"/>
  <c r="AE41" i="36"/>
  <c r="X41" i="36"/>
  <c r="M41" i="36"/>
  <c r="O23" i="20"/>
  <c r="Q23" i="20" s="1"/>
  <c r="T41" i="29"/>
  <c r="W41" i="29"/>
  <c r="AC41" i="29"/>
  <c r="X41" i="29"/>
  <c r="Y40" i="10"/>
  <c r="O26" i="20"/>
  <c r="Q26" i="20" s="1"/>
  <c r="O21" i="20"/>
  <c r="Q21" i="20" s="1"/>
  <c r="C214" i="20"/>
  <c r="X40" i="10"/>
  <c r="C68" i="20"/>
  <c r="C262" i="20"/>
  <c r="C144" i="20"/>
  <c r="O20" i="20"/>
  <c r="Q20" i="20" s="1"/>
  <c r="AE40" i="10"/>
  <c r="Z41" i="29"/>
  <c r="U41" i="29"/>
  <c r="AF37" i="29"/>
  <c r="C37" i="29" s="1"/>
  <c r="AF40" i="29"/>
  <c r="C40" i="29" s="1"/>
  <c r="AF38" i="29"/>
  <c r="C38" i="29" s="1"/>
  <c r="E12" i="10"/>
  <c r="D12" i="10" s="1"/>
  <c r="E12" i="29"/>
  <c r="D12" i="29" s="1"/>
  <c r="AD41" i="29"/>
  <c r="D14" i="29"/>
  <c r="O48" i="29"/>
  <c r="AF39" i="29"/>
  <c r="C39" i="29" s="1"/>
  <c r="Y41" i="29"/>
  <c r="E15" i="10"/>
  <c r="D15" i="10" s="1"/>
  <c r="E15" i="29"/>
  <c r="D15" i="29" s="1"/>
  <c r="E9" i="10"/>
  <c r="E9" i="29"/>
  <c r="P15" i="13"/>
  <c r="H9" i="10"/>
  <c r="D9" i="10" s="1"/>
  <c r="H9" i="29"/>
  <c r="E13" i="10"/>
  <c r="E13" i="29"/>
  <c r="E11" i="10"/>
  <c r="E11" i="29"/>
  <c r="F24" i="10"/>
  <c r="F24" i="29"/>
  <c r="F31" i="29" s="1"/>
  <c r="F32" i="29" s="1"/>
  <c r="H13" i="10"/>
  <c r="H13" i="29"/>
  <c r="L40" i="10"/>
  <c r="E263" i="20"/>
  <c r="E532" i="20" s="1"/>
  <c r="O41" i="29"/>
  <c r="K41" i="29"/>
  <c r="N41" i="29"/>
  <c r="E10" i="10"/>
  <c r="D10" i="10" s="1"/>
  <c r="E10" i="29"/>
  <c r="D10" i="29" s="1"/>
  <c r="O24" i="20"/>
  <c r="Q24" i="20" s="1"/>
  <c r="C215" i="20"/>
  <c r="AB41" i="29"/>
  <c r="E25" i="29"/>
  <c r="M238" i="13"/>
  <c r="M272" i="13"/>
  <c r="E27" i="29"/>
  <c r="H11" i="10"/>
  <c r="H11" i="29"/>
  <c r="C390" i="20"/>
  <c r="M283" i="13"/>
  <c r="M41" i="29"/>
  <c r="H28" i="10"/>
  <c r="D28" i="10" s="1"/>
  <c r="E27" i="10"/>
  <c r="D27" i="10" s="1"/>
  <c r="H25" i="10"/>
  <c r="E25" i="10"/>
  <c r="O48" i="10"/>
  <c r="G24" i="10"/>
  <c r="G24" i="29"/>
  <c r="G31" i="29" s="1"/>
  <c r="G32" i="29" s="1"/>
  <c r="E24" i="10"/>
  <c r="E8" i="10"/>
  <c r="D8" i="10" s="1"/>
  <c r="M306" i="13"/>
  <c r="AC40" i="10"/>
  <c r="AA40" i="10"/>
  <c r="C229" i="20"/>
  <c r="C106" i="20"/>
  <c r="E523" i="20"/>
  <c r="C523" i="20" s="1"/>
  <c r="E521" i="20"/>
  <c r="C521" i="20" s="1"/>
  <c r="C82" i="20"/>
  <c r="E145" i="20"/>
  <c r="E144" i="20"/>
  <c r="N306" i="13"/>
  <c r="C81" i="20"/>
  <c r="C165" i="20"/>
  <c r="C391" i="20"/>
  <c r="H241" i="20"/>
  <c r="H242" i="20"/>
  <c r="H531" i="20" s="1"/>
  <c r="C531" i="20" s="1"/>
  <c r="O306" i="13"/>
  <c r="C166" i="20"/>
  <c r="C389" i="20"/>
  <c r="O22" i="20"/>
  <c r="Q22" i="20" s="1"/>
  <c r="C230" i="20"/>
  <c r="E200" i="20"/>
  <c r="E199" i="20"/>
  <c r="H532" i="20"/>
  <c r="F262" i="20"/>
  <c r="F263" i="20"/>
  <c r="F379" i="20" s="1"/>
  <c r="F380" i="20" s="1"/>
  <c r="F398" i="20"/>
  <c r="E69" i="20"/>
  <c r="E68" i="20"/>
  <c r="H526" i="20"/>
  <c r="H527" i="20" s="1"/>
  <c r="H176" i="20"/>
  <c r="E519" i="20"/>
  <c r="C35" i="20"/>
  <c r="H214" i="20"/>
  <c r="H215" i="20"/>
  <c r="H529" i="20" s="1"/>
  <c r="C529" i="20" s="1"/>
  <c r="O27" i="20"/>
  <c r="Q27" i="20" s="1"/>
  <c r="C174" i="20"/>
  <c r="S7" i="20" s="1"/>
  <c r="R40" i="10"/>
  <c r="C398" i="20"/>
  <c r="O232" i="13"/>
  <c r="C242" i="20"/>
  <c r="C241" i="20"/>
  <c r="C392" i="20"/>
  <c r="P204" i="13"/>
  <c r="P40" i="10"/>
  <c r="C34" i="20"/>
  <c r="C105" i="20"/>
  <c r="C5" i="6"/>
  <c r="O45" i="10"/>
  <c r="C7" i="6"/>
  <c r="O47" i="10"/>
  <c r="N40" i="10"/>
  <c r="T40" i="10"/>
  <c r="AF39" i="10"/>
  <c r="C39" i="10" s="1"/>
  <c r="AD40" i="10"/>
  <c r="O40" i="10"/>
  <c r="AB40" i="10"/>
  <c r="Z40" i="10"/>
  <c r="W40" i="10"/>
  <c r="M40" i="10"/>
  <c r="AF38" i="10"/>
  <c r="C38" i="10" s="1"/>
  <c r="AF37" i="10"/>
  <c r="C37" i="10" s="1"/>
  <c r="AF36" i="10"/>
  <c r="K40" i="10"/>
  <c r="E295" i="13"/>
  <c r="P306" i="13" l="1"/>
  <c r="H24" i="10"/>
  <c r="D24" i="10" s="1"/>
  <c r="O46" i="10"/>
  <c r="O49" i="10" s="1"/>
  <c r="M230" i="13"/>
  <c r="I16" i="36"/>
  <c r="O50" i="36"/>
  <c r="H31" i="29"/>
  <c r="H32" i="29" s="1"/>
  <c r="E31" i="29"/>
  <c r="H24" i="36"/>
  <c r="H31" i="36" s="1"/>
  <c r="H32" i="36" s="1"/>
  <c r="P85" i="37"/>
  <c r="O50" i="29"/>
  <c r="H38" i="36"/>
  <c r="I61" i="29"/>
  <c r="I62" i="29" s="1"/>
  <c r="D33" i="29" s="1"/>
  <c r="E31" i="36"/>
  <c r="E32" i="36" s="1"/>
  <c r="Q15" i="13"/>
  <c r="Q16" i="13" s="1"/>
  <c r="D31" i="36"/>
  <c r="I61" i="36" s="1"/>
  <c r="I62" i="36" s="1"/>
  <c r="D33" i="36" s="1"/>
  <c r="AF41" i="36"/>
  <c r="C37" i="36"/>
  <c r="K32" i="29"/>
  <c r="J18" i="37"/>
  <c r="Q41" i="20"/>
  <c r="E390" i="20"/>
  <c r="G390" i="20" s="1"/>
  <c r="H38" i="29"/>
  <c r="D13" i="29"/>
  <c r="D9" i="29"/>
  <c r="E392" i="20"/>
  <c r="B399" i="20" s="1"/>
  <c r="D11" i="10"/>
  <c r="D13" i="10"/>
  <c r="AF41" i="29"/>
  <c r="Q7" i="20"/>
  <c r="O41" i="20"/>
  <c r="D11" i="29"/>
  <c r="H37" i="29"/>
  <c r="C41" i="29"/>
  <c r="D25" i="10"/>
  <c r="O7" i="20"/>
  <c r="H541" i="20"/>
  <c r="H542" i="20" s="1"/>
  <c r="C263" i="20"/>
  <c r="E524" i="20"/>
  <c r="C524" i="20" s="1"/>
  <c r="C145" i="20"/>
  <c r="E176" i="20"/>
  <c r="Q306" i="13"/>
  <c r="C532" i="20"/>
  <c r="C519" i="20"/>
  <c r="C69" i="20"/>
  <c r="E520" i="20"/>
  <c r="C520" i="20" s="1"/>
  <c r="C526" i="20"/>
  <c r="E528" i="20"/>
  <c r="C200" i="20"/>
  <c r="E379" i="20"/>
  <c r="H379" i="20"/>
  <c r="H380" i="20" s="1"/>
  <c r="O238" i="13"/>
  <c r="O240" i="13" s="1"/>
  <c r="H37" i="10"/>
  <c r="C36" i="10"/>
  <c r="AF40" i="10"/>
  <c r="C30" i="10"/>
  <c r="C16" i="10"/>
  <c r="I31" i="29" l="1"/>
  <c r="I32" i="29" s="1"/>
  <c r="E32" i="29"/>
  <c r="N32" i="29" s="1"/>
  <c r="D32" i="36"/>
  <c r="K32" i="36" s="1"/>
  <c r="D16" i="10"/>
  <c r="I31" i="36"/>
  <c r="I32" i="36" s="1"/>
  <c r="N32" i="36"/>
  <c r="J32" i="36"/>
  <c r="C176" i="20"/>
  <c r="H37" i="36"/>
  <c r="H39" i="36" s="1"/>
  <c r="C41" i="36"/>
  <c r="C396" i="20"/>
  <c r="H39" i="29"/>
  <c r="O9" i="20"/>
  <c r="Q9" i="20" s="1"/>
  <c r="Q15" i="20" s="1"/>
  <c r="J32" i="29"/>
  <c r="C379" i="20"/>
  <c r="C528" i="20"/>
  <c r="E541" i="20"/>
  <c r="E527" i="20"/>
  <c r="C527" i="20" s="1"/>
  <c r="E380" i="20"/>
  <c r="N398" i="20" s="1"/>
  <c r="H36" i="10"/>
  <c r="H38" i="10" s="1"/>
  <c r="C40" i="10"/>
  <c r="C31" i="10"/>
  <c r="F16" i="10"/>
  <c r="E16" i="10"/>
  <c r="G16" i="10"/>
  <c r="G30" i="10"/>
  <c r="H16" i="10"/>
  <c r="H30" i="10"/>
  <c r="C380" i="20" l="1"/>
  <c r="F392" i="20" s="1"/>
  <c r="G392" i="20" s="1"/>
  <c r="S9" i="20"/>
  <c r="C541" i="20"/>
  <c r="E542" i="20"/>
  <c r="C542" i="20" s="1"/>
  <c r="C382" i="20"/>
  <c r="I16" i="10"/>
  <c r="F30" i="10"/>
  <c r="F31" i="10" s="1"/>
  <c r="H31" i="10"/>
  <c r="G31" i="10"/>
  <c r="P41" i="20" l="1"/>
  <c r="D30" i="10"/>
  <c r="D31" i="10" l="1"/>
  <c r="E35" i="6"/>
  <c r="AH164" i="6"/>
  <c r="G35" i="6"/>
  <c r="G34" i="6"/>
  <c r="G33" i="6"/>
  <c r="F34" i="6"/>
  <c r="F33" i="6"/>
  <c r="F32" i="6"/>
  <c r="E34" i="6"/>
  <c r="E33" i="6"/>
  <c r="E32" i="6"/>
  <c r="D32" i="6"/>
  <c r="D33" i="6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AI290" i="8"/>
  <c r="C273" i="8"/>
  <c r="E271" i="8"/>
  <c r="B264" i="8"/>
  <c r="D262" i="8"/>
  <c r="AH262" i="8" s="1"/>
  <c r="C260" i="8"/>
  <c r="B260" i="8"/>
  <c r="C259" i="8"/>
  <c r="C258" i="8"/>
  <c r="B258" i="8"/>
  <c r="H257" i="8"/>
  <c r="C257" i="8"/>
  <c r="C256" i="8"/>
  <c r="B256" i="8"/>
  <c r="D250" i="8"/>
  <c r="AH250" i="8" s="1"/>
  <c r="C249" i="8"/>
  <c r="B249" i="8"/>
  <c r="C248" i="8"/>
  <c r="C247" i="8"/>
  <c r="C246" i="8"/>
  <c r="C245" i="8"/>
  <c r="C244" i="8"/>
  <c r="C243" i="8"/>
  <c r="B243" i="8"/>
  <c r="C242" i="8"/>
  <c r="B242" i="8"/>
  <c r="C241" i="8"/>
  <c r="C240" i="8"/>
  <c r="C239" i="8"/>
  <c r="C238" i="8"/>
  <c r="B238" i="8"/>
  <c r="D232" i="8"/>
  <c r="AH232" i="8" s="1"/>
  <c r="C231" i="8"/>
  <c r="C230" i="8"/>
  <c r="B230" i="8"/>
  <c r="C229" i="8"/>
  <c r="C228" i="8"/>
  <c r="C227" i="8"/>
  <c r="C226" i="8"/>
  <c r="B226" i="8"/>
  <c r="C225" i="8"/>
  <c r="C224" i="8"/>
  <c r="C223" i="8"/>
  <c r="C222" i="8"/>
  <c r="B222" i="8"/>
  <c r="E216" i="8"/>
  <c r="D216" i="8"/>
  <c r="B210" i="8"/>
  <c r="D208" i="8"/>
  <c r="B199" i="8"/>
  <c r="D197" i="8"/>
  <c r="AH197" i="8" s="1"/>
  <c r="C196" i="8"/>
  <c r="C195" i="8"/>
  <c r="D189" i="8"/>
  <c r="AH189" i="8" s="1"/>
  <c r="C188" i="8"/>
  <c r="E187" i="8"/>
  <c r="C187" i="8"/>
  <c r="B187" i="8"/>
  <c r="C186" i="8"/>
  <c r="C185" i="8"/>
  <c r="B185" i="8"/>
  <c r="C184" i="8"/>
  <c r="C183" i="8"/>
  <c r="C182" i="8"/>
  <c r="E181" i="8"/>
  <c r="E183" i="8" s="1"/>
  <c r="C181" i="8"/>
  <c r="C180" i="8"/>
  <c r="C179" i="8"/>
  <c r="B179" i="8"/>
  <c r="D173" i="8"/>
  <c r="AH173" i="8" s="1"/>
  <c r="E152" i="8"/>
  <c r="D152" i="8"/>
  <c r="AH152" i="8" s="1"/>
  <c r="D142" i="8"/>
  <c r="AH142" i="8" s="1"/>
  <c r="D124" i="8"/>
  <c r="AH124" i="8" s="1"/>
  <c r="D109" i="8"/>
  <c r="D80" i="8"/>
  <c r="AH80" i="8" s="1"/>
  <c r="D72" i="8"/>
  <c r="AH72" i="8" s="1"/>
  <c r="D65" i="8"/>
  <c r="AH65" i="8" s="1"/>
  <c r="D55" i="8"/>
  <c r="AH55" i="8" s="1"/>
  <c r="B36" i="8"/>
  <c r="D34" i="8"/>
  <c r="AH34" i="8" s="1"/>
  <c r="D27" i="8"/>
  <c r="AH27" i="8" s="1"/>
  <c r="E23" i="8"/>
  <c r="E31" i="8" s="1"/>
  <c r="E39" i="8" s="1"/>
  <c r="E45" i="8" s="1"/>
  <c r="E60" i="8" s="1"/>
  <c r="E70" i="8" s="1"/>
  <c r="E77" i="8" s="1"/>
  <c r="E86" i="8" s="1"/>
  <c r="E114" i="8" s="1"/>
  <c r="E129" i="8" s="1"/>
  <c r="E147" i="8" s="1"/>
  <c r="E157" i="8" s="1"/>
  <c r="E178" i="8" s="1"/>
  <c r="E194" i="8" s="1"/>
  <c r="E202" i="8" s="1"/>
  <c r="E213" i="8" s="1"/>
  <c r="E221" i="8" s="1"/>
  <c r="E237" i="8" s="1"/>
  <c r="E255" i="8" s="1"/>
  <c r="E267" i="8" s="1"/>
  <c r="E22" i="8"/>
  <c r="E30" i="8" s="1"/>
  <c r="E38" i="8" s="1"/>
  <c r="E44" i="8" s="1"/>
  <c r="E59" i="8" s="1"/>
  <c r="E69" i="8" s="1"/>
  <c r="E76" i="8" s="1"/>
  <c r="E85" i="8" s="1"/>
  <c r="E113" i="8" s="1"/>
  <c r="E128" i="8" s="1"/>
  <c r="E146" i="8" s="1"/>
  <c r="E156" i="8" s="1"/>
  <c r="E177" i="8" s="1"/>
  <c r="E193" i="8" s="1"/>
  <c r="E201" i="8" s="1"/>
  <c r="E212" i="8" s="1"/>
  <c r="E220" i="8" s="1"/>
  <c r="E236" i="8" s="1"/>
  <c r="E254" i="8" s="1"/>
  <c r="E266" i="8" s="1"/>
  <c r="D22" i="8"/>
  <c r="D30" i="8" s="1"/>
  <c r="D38" i="8" s="1"/>
  <c r="D44" i="8" s="1"/>
  <c r="D59" i="8" s="1"/>
  <c r="D69" i="8" s="1"/>
  <c r="D76" i="8" s="1"/>
  <c r="D85" i="8" s="1"/>
  <c r="D113" i="8" s="1"/>
  <c r="D128" i="8" s="1"/>
  <c r="D146" i="8" s="1"/>
  <c r="D156" i="8" s="1"/>
  <c r="D177" i="8" s="1"/>
  <c r="D193" i="8" s="1"/>
  <c r="D201" i="8" s="1"/>
  <c r="D212" i="8" s="1"/>
  <c r="D220" i="8" s="1"/>
  <c r="D236" i="8" s="1"/>
  <c r="D254" i="8" s="1"/>
  <c r="D266" i="8" s="1"/>
  <c r="C22" i="8"/>
  <c r="C30" i="8" s="1"/>
  <c r="C38" i="8" s="1"/>
  <c r="D18" i="8"/>
  <c r="F35" i="6"/>
  <c r="D35" i="6"/>
  <c r="D34" i="6"/>
  <c r="M241" i="6"/>
  <c r="X8" i="6" s="1"/>
  <c r="N241" i="6"/>
  <c r="Y8" i="6" s="1"/>
  <c r="O241" i="6"/>
  <c r="Z8" i="6" s="1"/>
  <c r="P241" i="6"/>
  <c r="AA8" i="6" s="1"/>
  <c r="L241" i="6"/>
  <c r="W8" i="6" s="1"/>
  <c r="M216" i="6"/>
  <c r="X7" i="6" s="1"/>
  <c r="N216" i="6"/>
  <c r="Y7" i="6" s="1"/>
  <c r="O216" i="6"/>
  <c r="Z7" i="6" s="1"/>
  <c r="P216" i="6"/>
  <c r="AA7" i="6" s="1"/>
  <c r="L216" i="6"/>
  <c r="W7" i="6" s="1"/>
  <c r="M167" i="6"/>
  <c r="X6" i="6" s="1"/>
  <c r="N167" i="6"/>
  <c r="Y6" i="6" s="1"/>
  <c r="O167" i="6"/>
  <c r="Z6" i="6" s="1"/>
  <c r="P167" i="6"/>
  <c r="AA6" i="6" s="1"/>
  <c r="L167" i="6"/>
  <c r="W6" i="6" s="1"/>
  <c r="M53" i="6"/>
  <c r="X5" i="6" s="1"/>
  <c r="N53" i="6"/>
  <c r="Y5" i="6" s="1"/>
  <c r="O53" i="6"/>
  <c r="Z5" i="6" s="1"/>
  <c r="P53" i="6"/>
  <c r="AA5" i="6" s="1"/>
  <c r="L53" i="6"/>
  <c r="W5" i="6" s="1"/>
  <c r="G545" i="5"/>
  <c r="J416" i="5"/>
  <c r="A412" i="5"/>
  <c r="J407" i="5"/>
  <c r="I407" i="5"/>
  <c r="I558" i="5" s="1"/>
  <c r="H407" i="5"/>
  <c r="G407" i="5"/>
  <c r="F407" i="5"/>
  <c r="D407" i="5"/>
  <c r="O405" i="5"/>
  <c r="P406" i="5" s="1"/>
  <c r="J399" i="5"/>
  <c r="H399" i="5"/>
  <c r="G399" i="5"/>
  <c r="F399" i="5"/>
  <c r="I398" i="5"/>
  <c r="D398" i="5" s="1"/>
  <c r="E398" i="5"/>
  <c r="E394" i="5"/>
  <c r="D394" i="5"/>
  <c r="O393" i="5"/>
  <c r="E393" i="5"/>
  <c r="E392" i="5"/>
  <c r="D392" i="5"/>
  <c r="J385" i="5"/>
  <c r="I385" i="5"/>
  <c r="I556" i="5" s="1"/>
  <c r="H385" i="5"/>
  <c r="G385" i="5"/>
  <c r="O384" i="5"/>
  <c r="E384" i="5"/>
  <c r="O383" i="5"/>
  <c r="E383" i="5"/>
  <c r="O382" i="5"/>
  <c r="E382" i="5"/>
  <c r="O381" i="5"/>
  <c r="E381" i="5"/>
  <c r="E380" i="5"/>
  <c r="D380" i="5"/>
  <c r="O380" i="5" s="1"/>
  <c r="O379" i="5"/>
  <c r="F379" i="5"/>
  <c r="E379" i="5"/>
  <c r="K378" i="5"/>
  <c r="E378" i="5"/>
  <c r="D378" i="5"/>
  <c r="O378" i="5" s="1"/>
  <c r="O377" i="5"/>
  <c r="K377" i="5"/>
  <c r="F377" i="5"/>
  <c r="E377" i="5"/>
  <c r="J371" i="5"/>
  <c r="H371" i="5"/>
  <c r="G371" i="5"/>
  <c r="E369" i="5"/>
  <c r="D369" i="5"/>
  <c r="O369" i="5" s="1"/>
  <c r="O368" i="5"/>
  <c r="E368" i="5"/>
  <c r="O367" i="5"/>
  <c r="F367" i="5"/>
  <c r="E367" i="5"/>
  <c r="E366" i="5"/>
  <c r="D366" i="5"/>
  <c r="O366" i="5" s="1"/>
  <c r="O365" i="5"/>
  <c r="E365" i="5"/>
  <c r="E364" i="5"/>
  <c r="D364" i="5"/>
  <c r="O364" i="5" s="1"/>
  <c r="O363" i="5"/>
  <c r="E363" i="5"/>
  <c r="I362" i="5"/>
  <c r="D362" i="5" s="1"/>
  <c r="O362" i="5" s="1"/>
  <c r="E362" i="5"/>
  <c r="O361" i="5"/>
  <c r="F361" i="5"/>
  <c r="E361" i="5"/>
  <c r="I360" i="5"/>
  <c r="D360" i="5" s="1"/>
  <c r="O360" i="5" s="1"/>
  <c r="E360" i="5"/>
  <c r="E359" i="5"/>
  <c r="D359" i="5"/>
  <c r="O359" i="5" s="1"/>
  <c r="O358" i="5"/>
  <c r="E358" i="5"/>
  <c r="E357" i="5"/>
  <c r="D357" i="5"/>
  <c r="J350" i="5"/>
  <c r="I350" i="5"/>
  <c r="I554" i="5" s="1"/>
  <c r="H350" i="5"/>
  <c r="G350" i="5"/>
  <c r="F350" i="5"/>
  <c r="F554" i="5" s="1"/>
  <c r="E348" i="5"/>
  <c r="D348" i="5"/>
  <c r="O348" i="5" s="1"/>
  <c r="E347" i="5"/>
  <c r="D347" i="5"/>
  <c r="O347" i="5" s="1"/>
  <c r="J341" i="5"/>
  <c r="I341" i="5"/>
  <c r="I553" i="5" s="1"/>
  <c r="H341" i="5"/>
  <c r="G341" i="5"/>
  <c r="G553" i="5" s="1"/>
  <c r="E339" i="5"/>
  <c r="D339" i="5"/>
  <c r="O339" i="5" s="1"/>
  <c r="O338" i="5"/>
  <c r="E338" i="5"/>
  <c r="F337" i="5"/>
  <c r="F341" i="5" s="1"/>
  <c r="E337" i="5"/>
  <c r="E336" i="5"/>
  <c r="D336" i="5"/>
  <c r="O336" i="5" s="1"/>
  <c r="E335" i="5"/>
  <c r="D335" i="5"/>
  <c r="O335" i="5" s="1"/>
  <c r="E331" i="5"/>
  <c r="D331" i="5"/>
  <c r="O331" i="5" s="1"/>
  <c r="E330" i="5"/>
  <c r="D330" i="5"/>
  <c r="O330" i="5" s="1"/>
  <c r="E329" i="5"/>
  <c r="D329" i="5"/>
  <c r="O329" i="5" s="1"/>
  <c r="E328" i="5"/>
  <c r="D328" i="5"/>
  <c r="E327" i="5"/>
  <c r="D327" i="5"/>
  <c r="O327" i="5" s="1"/>
  <c r="O326" i="5"/>
  <c r="E326" i="5"/>
  <c r="M324" i="5"/>
  <c r="M333" i="5" s="1"/>
  <c r="M355" i="5" s="1"/>
  <c r="J318" i="5"/>
  <c r="H318" i="5"/>
  <c r="G318" i="5"/>
  <c r="G552" i="5" s="1"/>
  <c r="F318" i="5"/>
  <c r="F552" i="5" s="1"/>
  <c r="I316" i="5"/>
  <c r="I318" i="5" s="1"/>
  <c r="I552" i="5" s="1"/>
  <c r="E316" i="5"/>
  <c r="E315" i="5"/>
  <c r="D315" i="5"/>
  <c r="O315" i="5" s="1"/>
  <c r="E314" i="5"/>
  <c r="D314" i="5"/>
  <c r="O314" i="5" s="1"/>
  <c r="E313" i="5"/>
  <c r="D313" i="5"/>
  <c r="O313" i="5" s="1"/>
  <c r="E312" i="5"/>
  <c r="D312" i="5"/>
  <c r="E311" i="5"/>
  <c r="D311" i="5"/>
  <c r="O311" i="5" s="1"/>
  <c r="E310" i="5"/>
  <c r="D310" i="5"/>
  <c r="O310" i="5" s="1"/>
  <c r="O309" i="5"/>
  <c r="E309" i="5"/>
  <c r="J303" i="5"/>
  <c r="I303" i="5"/>
  <c r="I551" i="5" s="1"/>
  <c r="H303" i="5"/>
  <c r="G303" i="5"/>
  <c r="G551" i="5" s="1"/>
  <c r="F303" i="5"/>
  <c r="F551" i="5" s="1"/>
  <c r="E301" i="5"/>
  <c r="D301" i="5"/>
  <c r="O301" i="5" s="1"/>
  <c r="E300" i="5"/>
  <c r="D300" i="5"/>
  <c r="O300" i="5" s="1"/>
  <c r="E299" i="5"/>
  <c r="D299" i="5"/>
  <c r="O299" i="5" s="1"/>
  <c r="E298" i="5"/>
  <c r="D298" i="5"/>
  <c r="O298" i="5" s="1"/>
  <c r="E297" i="5"/>
  <c r="D297" i="5"/>
  <c r="O297" i="5" s="1"/>
  <c r="E296" i="5"/>
  <c r="D296" i="5"/>
  <c r="O296" i="5" s="1"/>
  <c r="E295" i="5"/>
  <c r="D295" i="5"/>
  <c r="O295" i="5" s="1"/>
  <c r="E294" i="5"/>
  <c r="D294" i="5"/>
  <c r="O294" i="5" s="1"/>
  <c r="E293" i="5"/>
  <c r="D293" i="5"/>
  <c r="O293" i="5" s="1"/>
  <c r="E292" i="5"/>
  <c r="D292" i="5"/>
  <c r="O292" i="5" s="1"/>
  <c r="E291" i="5"/>
  <c r="D291" i="5"/>
  <c r="J284" i="5"/>
  <c r="E282" i="5"/>
  <c r="D282" i="5"/>
  <c r="O282" i="5" s="1"/>
  <c r="I281" i="5"/>
  <c r="F281" i="5"/>
  <c r="E281" i="5"/>
  <c r="I280" i="5"/>
  <c r="G280" i="5"/>
  <c r="E280" i="5"/>
  <c r="E279" i="5"/>
  <c r="D279" i="5"/>
  <c r="O279" i="5" s="1"/>
  <c r="E278" i="5"/>
  <c r="D278" i="5"/>
  <c r="O278" i="5" s="1"/>
  <c r="E277" i="5"/>
  <c r="D277" i="5"/>
  <c r="O277" i="5" s="1"/>
  <c r="E276" i="5"/>
  <c r="D276" i="5"/>
  <c r="O276" i="5" s="1"/>
  <c r="E275" i="5"/>
  <c r="D275" i="5"/>
  <c r="O275" i="5" s="1"/>
  <c r="F274" i="5"/>
  <c r="D274" i="5" s="1"/>
  <c r="O274" i="5" s="1"/>
  <c r="E274" i="5"/>
  <c r="E273" i="5"/>
  <c r="D273" i="5"/>
  <c r="O273" i="5" s="1"/>
  <c r="I272" i="5"/>
  <c r="D272" i="5" s="1"/>
  <c r="O272" i="5" s="1"/>
  <c r="E272" i="5"/>
  <c r="I268" i="5"/>
  <c r="E268" i="5"/>
  <c r="E267" i="5"/>
  <c r="D267" i="5"/>
  <c r="O267" i="5" s="1"/>
  <c r="H266" i="5"/>
  <c r="H284" i="5" s="1"/>
  <c r="G266" i="5"/>
  <c r="G416" i="5" s="1"/>
  <c r="F266" i="5"/>
  <c r="E266" i="5"/>
  <c r="J260" i="5"/>
  <c r="H260" i="5"/>
  <c r="G260" i="5"/>
  <c r="I258" i="5"/>
  <c r="D258" i="5" s="1"/>
  <c r="O258" i="5" s="1"/>
  <c r="E258" i="5"/>
  <c r="E257" i="5"/>
  <c r="D257" i="5"/>
  <c r="O257" i="5" s="1"/>
  <c r="I256" i="5"/>
  <c r="F256" i="5"/>
  <c r="E256" i="5"/>
  <c r="E255" i="5"/>
  <c r="D255" i="5"/>
  <c r="O255" i="5" s="1"/>
  <c r="I254" i="5"/>
  <c r="I260" i="5" s="1"/>
  <c r="I549" i="5" s="1"/>
  <c r="E254" i="5"/>
  <c r="J247" i="5"/>
  <c r="I247" i="5"/>
  <c r="I548" i="5" s="1"/>
  <c r="H247" i="5"/>
  <c r="G247" i="5"/>
  <c r="F247" i="5"/>
  <c r="F548" i="5" s="1"/>
  <c r="E245" i="5"/>
  <c r="D245" i="5"/>
  <c r="O245" i="5" s="1"/>
  <c r="E244" i="5"/>
  <c r="D244" i="5"/>
  <c r="O244" i="5" s="1"/>
  <c r="E243" i="5"/>
  <c r="D243" i="5"/>
  <c r="O243" i="5" s="1"/>
  <c r="E242" i="5"/>
  <c r="D242" i="5"/>
  <c r="O242" i="5" s="1"/>
  <c r="E241" i="5"/>
  <c r="D241" i="5"/>
  <c r="O241" i="5" s="1"/>
  <c r="E240" i="5"/>
  <c r="D240" i="5"/>
  <c r="O240" i="5" s="1"/>
  <c r="R239" i="5"/>
  <c r="E239" i="5"/>
  <c r="D239" i="5"/>
  <c r="O239" i="5" s="1"/>
  <c r="E238" i="5"/>
  <c r="D238" i="5"/>
  <c r="M236" i="5"/>
  <c r="M252" i="5" s="1"/>
  <c r="M264" i="5" s="1"/>
  <c r="M270" i="5" s="1"/>
  <c r="J232" i="5"/>
  <c r="H232" i="5"/>
  <c r="G232" i="5"/>
  <c r="F232" i="5"/>
  <c r="F547" i="5" s="1"/>
  <c r="E230" i="5"/>
  <c r="D230" i="5"/>
  <c r="O230" i="5" s="1"/>
  <c r="I229" i="5"/>
  <c r="I232" i="5" s="1"/>
  <c r="I547" i="5" s="1"/>
  <c r="E229" i="5"/>
  <c r="E228" i="5"/>
  <c r="D228" i="5"/>
  <c r="O228" i="5" s="1"/>
  <c r="E227" i="5"/>
  <c r="D227" i="5"/>
  <c r="O227" i="5" s="1"/>
  <c r="E226" i="5"/>
  <c r="D226" i="5"/>
  <c r="O226" i="5" s="1"/>
  <c r="E225" i="5"/>
  <c r="D225" i="5"/>
  <c r="O225" i="5" s="1"/>
  <c r="E224" i="5"/>
  <c r="D224" i="5"/>
  <c r="E223" i="5"/>
  <c r="D223" i="5"/>
  <c r="O223" i="5" s="1"/>
  <c r="J213" i="5"/>
  <c r="I213" i="5"/>
  <c r="I546" i="5" s="1"/>
  <c r="H213" i="5"/>
  <c r="G213" i="5"/>
  <c r="G546" i="5" s="1"/>
  <c r="F213" i="5"/>
  <c r="E211" i="5"/>
  <c r="D211" i="5"/>
  <c r="O211" i="5" s="1"/>
  <c r="E210" i="5"/>
  <c r="D210" i="5"/>
  <c r="O210" i="5" s="1"/>
  <c r="E209" i="5"/>
  <c r="D209" i="5"/>
  <c r="O209" i="5" s="1"/>
  <c r="E208" i="5"/>
  <c r="D208" i="5"/>
  <c r="O208" i="5" s="1"/>
  <c r="E207" i="5"/>
  <c r="D207" i="5"/>
  <c r="O207" i="5" s="1"/>
  <c r="E204" i="5"/>
  <c r="D204" i="5"/>
  <c r="O204" i="5" s="1"/>
  <c r="E203" i="5"/>
  <c r="D203" i="5"/>
  <c r="O203" i="5" s="1"/>
  <c r="E202" i="5"/>
  <c r="D202" i="5"/>
  <c r="O202" i="5" s="1"/>
  <c r="E201" i="5"/>
  <c r="D201" i="5"/>
  <c r="O201" i="5" s="1"/>
  <c r="E200" i="5"/>
  <c r="D200" i="5"/>
  <c r="O200" i="5" s="1"/>
  <c r="E199" i="5"/>
  <c r="D199" i="5"/>
  <c r="O199" i="5" s="1"/>
  <c r="E198" i="5"/>
  <c r="D198" i="5"/>
  <c r="O198" i="5" s="1"/>
  <c r="E197" i="5"/>
  <c r="D197" i="5"/>
  <c r="O197" i="5" s="1"/>
  <c r="E196" i="5"/>
  <c r="D196" i="5"/>
  <c r="O196" i="5" s="1"/>
  <c r="E195" i="5"/>
  <c r="D195" i="5"/>
  <c r="O195" i="5" s="1"/>
  <c r="E194" i="5"/>
  <c r="D194" i="5"/>
  <c r="O194" i="5" s="1"/>
  <c r="E193" i="5"/>
  <c r="D193" i="5"/>
  <c r="O193" i="5" s="1"/>
  <c r="J184" i="5"/>
  <c r="H184" i="5"/>
  <c r="G184" i="5"/>
  <c r="O183" i="5"/>
  <c r="E183" i="5"/>
  <c r="I182" i="5"/>
  <c r="I184" i="5" s="1"/>
  <c r="I544" i="5" s="1"/>
  <c r="F182" i="5"/>
  <c r="E182" i="5"/>
  <c r="J176" i="5"/>
  <c r="H176" i="5"/>
  <c r="G176" i="5"/>
  <c r="I174" i="5"/>
  <c r="D174" i="5" s="1"/>
  <c r="O174" i="5" s="1"/>
  <c r="E174" i="5"/>
  <c r="E173" i="5"/>
  <c r="D173" i="5"/>
  <c r="O173" i="5" s="1"/>
  <c r="E172" i="5"/>
  <c r="D172" i="5"/>
  <c r="O172" i="5" s="1"/>
  <c r="E171" i="5"/>
  <c r="D171" i="5"/>
  <c r="O171" i="5" s="1"/>
  <c r="E170" i="5"/>
  <c r="D170" i="5"/>
  <c r="O170" i="5" s="1"/>
  <c r="I169" i="5"/>
  <c r="F169" i="5"/>
  <c r="E169" i="5"/>
  <c r="I168" i="5"/>
  <c r="F168" i="5"/>
  <c r="E168" i="5"/>
  <c r="I167" i="5"/>
  <c r="F167" i="5"/>
  <c r="E167" i="5"/>
  <c r="I166" i="5"/>
  <c r="F166" i="5"/>
  <c r="E166" i="5"/>
  <c r="I165" i="5"/>
  <c r="D165" i="5" s="1"/>
  <c r="O165" i="5" s="1"/>
  <c r="E165" i="5"/>
  <c r="E164" i="5"/>
  <c r="D164" i="5"/>
  <c r="O164" i="5" s="1"/>
  <c r="E163" i="5"/>
  <c r="D163" i="5"/>
  <c r="O163" i="5" s="1"/>
  <c r="E162" i="5"/>
  <c r="D162" i="5"/>
  <c r="O162" i="5" s="1"/>
  <c r="E161" i="5"/>
  <c r="D161" i="5"/>
  <c r="O161" i="5" s="1"/>
  <c r="J154" i="5"/>
  <c r="H154" i="5"/>
  <c r="G154" i="5"/>
  <c r="E152" i="5"/>
  <c r="D152" i="5"/>
  <c r="O152" i="5" s="1"/>
  <c r="E151" i="5"/>
  <c r="D151" i="5"/>
  <c r="O151" i="5" s="1"/>
  <c r="E150" i="5"/>
  <c r="D150" i="5"/>
  <c r="O150" i="5" s="1"/>
  <c r="E149" i="5"/>
  <c r="D149" i="5"/>
  <c r="O149" i="5" s="1"/>
  <c r="I148" i="5"/>
  <c r="D148" i="5" s="1"/>
  <c r="O148" i="5" s="1"/>
  <c r="E148" i="5"/>
  <c r="E147" i="5"/>
  <c r="D147" i="5"/>
  <c r="O147" i="5" s="1"/>
  <c r="E146" i="5"/>
  <c r="D146" i="5"/>
  <c r="O146" i="5" s="1"/>
  <c r="E143" i="5"/>
  <c r="D143" i="5"/>
  <c r="O143" i="5" s="1"/>
  <c r="E142" i="5"/>
  <c r="D142" i="5"/>
  <c r="O142" i="5" s="1"/>
  <c r="E141" i="5"/>
  <c r="D141" i="5"/>
  <c r="O141" i="5" s="1"/>
  <c r="E140" i="5"/>
  <c r="D140" i="5"/>
  <c r="O140" i="5" s="1"/>
  <c r="E139" i="5"/>
  <c r="D139" i="5"/>
  <c r="O139" i="5" s="1"/>
  <c r="I138" i="5"/>
  <c r="D138" i="5" s="1"/>
  <c r="O138" i="5" s="1"/>
  <c r="E138" i="5"/>
  <c r="F137" i="5"/>
  <c r="E137" i="5"/>
  <c r="E136" i="5"/>
  <c r="D136" i="5"/>
  <c r="O136" i="5" s="1"/>
  <c r="E135" i="5"/>
  <c r="D135" i="5"/>
  <c r="O135" i="5" s="1"/>
  <c r="E134" i="5"/>
  <c r="D134" i="5"/>
  <c r="O134" i="5" s="1"/>
  <c r="I133" i="5"/>
  <c r="D133" i="5" s="1"/>
  <c r="O133" i="5" s="1"/>
  <c r="E133" i="5"/>
  <c r="E132" i="5"/>
  <c r="D132" i="5"/>
  <c r="O132" i="5" s="1"/>
  <c r="F131" i="5"/>
  <c r="D131" i="5" s="1"/>
  <c r="O131" i="5" s="1"/>
  <c r="E131" i="5"/>
  <c r="E130" i="5"/>
  <c r="D130" i="5"/>
  <c r="O130" i="5" s="1"/>
  <c r="E129" i="5"/>
  <c r="D129" i="5"/>
  <c r="O129" i="5" s="1"/>
  <c r="E128" i="5"/>
  <c r="D128" i="5"/>
  <c r="O128" i="5" s="1"/>
  <c r="E127" i="5"/>
  <c r="D127" i="5"/>
  <c r="O127" i="5" s="1"/>
  <c r="E126" i="5"/>
  <c r="D126" i="5"/>
  <c r="O126" i="5" s="1"/>
  <c r="E125" i="5"/>
  <c r="D125" i="5"/>
  <c r="O125" i="5" s="1"/>
  <c r="E124" i="5"/>
  <c r="D124" i="5"/>
  <c r="O124" i="5" s="1"/>
  <c r="E123" i="5"/>
  <c r="D123" i="5"/>
  <c r="O123" i="5" s="1"/>
  <c r="E122" i="5"/>
  <c r="D122" i="5"/>
  <c r="O122" i="5" s="1"/>
  <c r="E121" i="5"/>
  <c r="D121" i="5"/>
  <c r="O121" i="5" s="1"/>
  <c r="I120" i="5"/>
  <c r="D120" i="5" s="1"/>
  <c r="O120" i="5" s="1"/>
  <c r="E120" i="5"/>
  <c r="E119" i="5"/>
  <c r="D119" i="5"/>
  <c r="O119" i="5" s="1"/>
  <c r="J112" i="5"/>
  <c r="H112" i="5"/>
  <c r="G112" i="5"/>
  <c r="E110" i="5"/>
  <c r="D110" i="5"/>
  <c r="O110" i="5" s="1"/>
  <c r="E109" i="5"/>
  <c r="D109" i="5"/>
  <c r="O109" i="5" s="1"/>
  <c r="E108" i="5"/>
  <c r="D108" i="5"/>
  <c r="O108" i="5" s="1"/>
  <c r="E107" i="5"/>
  <c r="D107" i="5"/>
  <c r="O107" i="5" s="1"/>
  <c r="E106" i="5"/>
  <c r="D106" i="5"/>
  <c r="O106" i="5" s="1"/>
  <c r="E105" i="5"/>
  <c r="D105" i="5"/>
  <c r="O105" i="5" s="1"/>
  <c r="E104" i="5"/>
  <c r="D104" i="5"/>
  <c r="O104" i="5" s="1"/>
  <c r="E103" i="5"/>
  <c r="D103" i="5"/>
  <c r="O103" i="5" s="1"/>
  <c r="I102" i="5"/>
  <c r="I112" i="5" s="1"/>
  <c r="I541" i="5" s="1"/>
  <c r="F102" i="5"/>
  <c r="F112" i="5" s="1"/>
  <c r="F541" i="5" s="1"/>
  <c r="E102" i="5"/>
  <c r="E101" i="5"/>
  <c r="D101" i="5"/>
  <c r="J95" i="5"/>
  <c r="H95" i="5"/>
  <c r="G95" i="5"/>
  <c r="F95" i="5"/>
  <c r="F540" i="5" s="1"/>
  <c r="I94" i="5"/>
  <c r="E94" i="5"/>
  <c r="J88" i="5"/>
  <c r="H88" i="5"/>
  <c r="G88" i="5"/>
  <c r="I86" i="5"/>
  <c r="F86" i="5"/>
  <c r="E86" i="5"/>
  <c r="I85" i="5"/>
  <c r="D85" i="5" s="1"/>
  <c r="O85" i="5" s="1"/>
  <c r="E85" i="5"/>
  <c r="I84" i="5"/>
  <c r="D84" i="5" s="1"/>
  <c r="O84" i="5" s="1"/>
  <c r="E84" i="5"/>
  <c r="I83" i="5"/>
  <c r="F83" i="5"/>
  <c r="E83" i="5"/>
  <c r="O82" i="5"/>
  <c r="E82" i="5"/>
  <c r="I81" i="5"/>
  <c r="E81" i="5"/>
  <c r="F80" i="5"/>
  <c r="D80" i="5" s="1"/>
  <c r="O80" i="5" s="1"/>
  <c r="E80" i="5"/>
  <c r="J71" i="5"/>
  <c r="H71" i="5"/>
  <c r="G71" i="5"/>
  <c r="E69" i="5"/>
  <c r="D69" i="5"/>
  <c r="O69" i="5" s="1"/>
  <c r="E68" i="5"/>
  <c r="D68" i="5"/>
  <c r="O68" i="5" s="1"/>
  <c r="E67" i="5"/>
  <c r="D67" i="5"/>
  <c r="O67" i="5" s="1"/>
  <c r="E66" i="5"/>
  <c r="D66" i="5"/>
  <c r="O66" i="5" s="1"/>
  <c r="E65" i="5"/>
  <c r="D65" i="5"/>
  <c r="O65" i="5" s="1"/>
  <c r="E64" i="5"/>
  <c r="D64" i="5"/>
  <c r="O64" i="5" s="1"/>
  <c r="E63" i="5"/>
  <c r="D63" i="5"/>
  <c r="O63" i="5" s="1"/>
  <c r="E62" i="5"/>
  <c r="D62" i="5"/>
  <c r="O62" i="5" s="1"/>
  <c r="E61" i="5"/>
  <c r="D61" i="5"/>
  <c r="O61" i="5" s="1"/>
  <c r="E60" i="5"/>
  <c r="D60" i="5"/>
  <c r="O60" i="5" s="1"/>
  <c r="E59" i="5"/>
  <c r="D59" i="5"/>
  <c r="O59" i="5" s="1"/>
  <c r="I58" i="5"/>
  <c r="I71" i="5" s="1"/>
  <c r="I538" i="5" s="1"/>
  <c r="F58" i="5"/>
  <c r="E58" i="5"/>
  <c r="E57" i="5"/>
  <c r="D57" i="5"/>
  <c r="O57" i="5" s="1"/>
  <c r="E56" i="5"/>
  <c r="D56" i="5"/>
  <c r="O56" i="5" s="1"/>
  <c r="E55" i="5"/>
  <c r="D55" i="5"/>
  <c r="O55" i="5" s="1"/>
  <c r="E54" i="5"/>
  <c r="D54" i="5"/>
  <c r="O54" i="5" s="1"/>
  <c r="E53" i="5"/>
  <c r="D53" i="5"/>
  <c r="O53" i="5" s="1"/>
  <c r="O52" i="5"/>
  <c r="E52" i="5"/>
  <c r="E51" i="5"/>
  <c r="D51" i="5"/>
  <c r="O51" i="5" s="1"/>
  <c r="E50" i="5"/>
  <c r="D50" i="5"/>
  <c r="O50" i="5" s="1"/>
  <c r="E49" i="5"/>
  <c r="D49" i="5"/>
  <c r="O49" i="5" s="1"/>
  <c r="F48" i="5"/>
  <c r="E48" i="5"/>
  <c r="E47" i="5"/>
  <c r="D47" i="5"/>
  <c r="O47" i="5" s="1"/>
  <c r="E46" i="5"/>
  <c r="D46" i="5"/>
  <c r="O46" i="5" s="1"/>
  <c r="E45" i="5"/>
  <c r="D45" i="5"/>
  <c r="O45" i="5" s="1"/>
  <c r="E44" i="5"/>
  <c r="D44" i="5"/>
  <c r="O44" i="5" s="1"/>
  <c r="Q43" i="5"/>
  <c r="E43" i="5"/>
  <c r="D43" i="5"/>
  <c r="O43" i="5" s="1"/>
  <c r="R42" i="5"/>
  <c r="J35" i="5"/>
  <c r="I35" i="5"/>
  <c r="I537" i="5" s="1"/>
  <c r="H35" i="5"/>
  <c r="H537" i="5" s="1"/>
  <c r="H545" i="5" s="1"/>
  <c r="H560" i="5" s="1"/>
  <c r="G35" i="5"/>
  <c r="J34" i="5"/>
  <c r="I34" i="5"/>
  <c r="H34" i="5"/>
  <c r="G34" i="5"/>
  <c r="E33" i="5"/>
  <c r="D33" i="5"/>
  <c r="O33" i="5" s="1"/>
  <c r="E32" i="5"/>
  <c r="D32" i="5"/>
  <c r="O32" i="5" s="1"/>
  <c r="F31" i="5"/>
  <c r="D31" i="5" s="1"/>
  <c r="O31" i="5" s="1"/>
  <c r="E31" i="5"/>
  <c r="E30" i="5"/>
  <c r="D30" i="5"/>
  <c r="O30" i="5" s="1"/>
  <c r="E29" i="5"/>
  <c r="D29" i="5"/>
  <c r="O29" i="5" s="1"/>
  <c r="O28" i="5"/>
  <c r="E27" i="5"/>
  <c r="D27" i="5"/>
  <c r="O27" i="5" s="1"/>
  <c r="E26" i="5"/>
  <c r="D26" i="5"/>
  <c r="O26" i="5" s="1"/>
  <c r="E25" i="5"/>
  <c r="D25" i="5"/>
  <c r="O25" i="5" s="1"/>
  <c r="E24" i="5"/>
  <c r="D24" i="5"/>
  <c r="O24" i="5" s="1"/>
  <c r="E23" i="5"/>
  <c r="D23" i="5"/>
  <c r="O23" i="5" s="1"/>
  <c r="F22" i="5"/>
  <c r="D22" i="5" s="1"/>
  <c r="O22" i="5" s="1"/>
  <c r="E22" i="5"/>
  <c r="E21" i="5"/>
  <c r="D21" i="5"/>
  <c r="O21" i="5" s="1"/>
  <c r="E20" i="5"/>
  <c r="D20" i="5"/>
  <c r="O20" i="5" s="1"/>
  <c r="O19" i="5"/>
  <c r="E19" i="5"/>
  <c r="F18" i="5"/>
  <c r="D18" i="5" s="1"/>
  <c r="O18" i="5" s="1"/>
  <c r="E18" i="5"/>
  <c r="E17" i="5"/>
  <c r="D17" i="5"/>
  <c r="O17" i="5" s="1"/>
  <c r="E16" i="5"/>
  <c r="D16" i="5"/>
  <c r="O16" i="5" s="1"/>
  <c r="E15" i="5"/>
  <c r="D15" i="5"/>
  <c r="O15" i="5" s="1"/>
  <c r="E14" i="5"/>
  <c r="D14" i="5"/>
  <c r="E13" i="5"/>
  <c r="D13" i="5"/>
  <c r="O13" i="5" s="1"/>
  <c r="E12" i="5"/>
  <c r="D12" i="5"/>
  <c r="O12" i="5" s="1"/>
  <c r="E11" i="5"/>
  <c r="D11" i="5"/>
  <c r="O11" i="5" s="1"/>
  <c r="E10" i="5"/>
  <c r="D10" i="5"/>
  <c r="R40" i="5" l="1"/>
  <c r="F284" i="5"/>
  <c r="F550" i="5" s="1"/>
  <c r="D58" i="5"/>
  <c r="O58" i="5" s="1"/>
  <c r="D86" i="5"/>
  <c r="O86" i="5" s="1"/>
  <c r="D254" i="5"/>
  <c r="AA9" i="6"/>
  <c r="F154" i="5"/>
  <c r="F542" i="5" s="1"/>
  <c r="E184" i="5"/>
  <c r="Z9" i="6"/>
  <c r="T40" i="5"/>
  <c r="I154" i="5"/>
  <c r="I542" i="5" s="1"/>
  <c r="D166" i="5"/>
  <c r="O166" i="5" s="1"/>
  <c r="D169" i="5"/>
  <c r="O169" i="5" s="1"/>
  <c r="D182" i="5"/>
  <c r="D184" i="5" s="1"/>
  <c r="Y9" i="6"/>
  <c r="I88" i="5"/>
  <c r="I539" i="5" s="1"/>
  <c r="X9" i="6"/>
  <c r="W9" i="6"/>
  <c r="D36" i="6"/>
  <c r="E302" i="5"/>
  <c r="D316" i="5"/>
  <c r="O316" i="5" s="1"/>
  <c r="D83" i="5"/>
  <c r="O83" i="5" s="1"/>
  <c r="E259" i="5"/>
  <c r="D281" i="5"/>
  <c r="O281" i="5" s="1"/>
  <c r="E283" i="5"/>
  <c r="D137" i="5"/>
  <c r="O137" i="5" s="1"/>
  <c r="P153" i="5" s="1"/>
  <c r="E370" i="5"/>
  <c r="F385" i="5"/>
  <c r="D229" i="5"/>
  <c r="O229" i="5" s="1"/>
  <c r="D266" i="5"/>
  <c r="O266" i="5" s="1"/>
  <c r="E349" i="5"/>
  <c r="I416" i="5"/>
  <c r="H416" i="5"/>
  <c r="E231" i="5"/>
  <c r="D552" i="5"/>
  <c r="D81" i="5"/>
  <c r="O81" i="5" s="1"/>
  <c r="E340" i="5"/>
  <c r="D337" i="5"/>
  <c r="O337" i="5" s="1"/>
  <c r="I399" i="5"/>
  <c r="I557" i="5" s="1"/>
  <c r="E34" i="5"/>
  <c r="E70" i="5"/>
  <c r="F71" i="5"/>
  <c r="F538" i="5" s="1"/>
  <c r="D538" i="5" s="1"/>
  <c r="E153" i="5"/>
  <c r="E175" i="5"/>
  <c r="F184" i="5"/>
  <c r="F544" i="5" s="1"/>
  <c r="D544" i="5" s="1"/>
  <c r="D280" i="5"/>
  <c r="O280" i="5" s="1"/>
  <c r="R41" i="5"/>
  <c r="D48" i="5"/>
  <c r="O48" i="5" s="1"/>
  <c r="P71" i="5" s="1"/>
  <c r="F88" i="5"/>
  <c r="F539" i="5" s="1"/>
  <c r="D167" i="5"/>
  <c r="O167" i="5" s="1"/>
  <c r="E399" i="5"/>
  <c r="D272" i="8"/>
  <c r="D81" i="8"/>
  <c r="AH109" i="8"/>
  <c r="AH18" i="8"/>
  <c r="AH292" i="8"/>
  <c r="C44" i="8"/>
  <c r="C59" i="8" s="1"/>
  <c r="C69" i="8"/>
  <c r="C76" i="8" s="1"/>
  <c r="C85" i="8" s="1"/>
  <c r="C113" i="8" s="1"/>
  <c r="C128" i="8" s="1"/>
  <c r="C146" i="8" s="1"/>
  <c r="C156" i="8" s="1"/>
  <c r="C177" i="8" s="1"/>
  <c r="C193" i="8" s="1"/>
  <c r="C201" i="8" s="1"/>
  <c r="C212" i="8" s="1"/>
  <c r="C220" i="8" s="1"/>
  <c r="C236" i="8" s="1"/>
  <c r="C254" i="8" s="1"/>
  <c r="C266" i="8" s="1"/>
  <c r="AE4" i="6"/>
  <c r="AE5" i="6"/>
  <c r="D9" i="6"/>
  <c r="E9" i="6"/>
  <c r="E36" i="6"/>
  <c r="G36" i="6"/>
  <c r="H6" i="6"/>
  <c r="F9" i="6"/>
  <c r="H5" i="6"/>
  <c r="C9" i="6"/>
  <c r="H8" i="6"/>
  <c r="H7" i="6"/>
  <c r="F36" i="6"/>
  <c r="O394" i="5"/>
  <c r="D547" i="5"/>
  <c r="D548" i="5"/>
  <c r="T35" i="5"/>
  <c r="P350" i="5"/>
  <c r="D554" i="5"/>
  <c r="R30" i="5"/>
  <c r="T30" i="5" s="1"/>
  <c r="R31" i="5"/>
  <c r="T31" i="5" s="1"/>
  <c r="M345" i="5"/>
  <c r="M375" i="5"/>
  <c r="M390" i="5" s="1"/>
  <c r="M396" i="5" s="1"/>
  <c r="M403" i="5" s="1"/>
  <c r="R33" i="5"/>
  <c r="P214" i="5"/>
  <c r="T67" i="5"/>
  <c r="R17" i="5" s="1"/>
  <c r="H186" i="5"/>
  <c r="H409" i="5"/>
  <c r="D551" i="5"/>
  <c r="G559" i="5"/>
  <c r="G560" i="5" s="1"/>
  <c r="F371" i="5"/>
  <c r="F555" i="5" s="1"/>
  <c r="D541" i="5"/>
  <c r="D71" i="5"/>
  <c r="G186" i="5"/>
  <c r="O254" i="5"/>
  <c r="I95" i="5"/>
  <c r="I540" i="5" s="1"/>
  <c r="D94" i="5"/>
  <c r="D213" i="5"/>
  <c r="F546" i="5"/>
  <c r="E246" i="5"/>
  <c r="O328" i="5"/>
  <c r="P333" i="5" s="1"/>
  <c r="R35" i="5"/>
  <c r="D350" i="5"/>
  <c r="P385" i="5"/>
  <c r="V362" i="5"/>
  <c r="F557" i="5"/>
  <c r="R28" i="5"/>
  <c r="T28" i="5" s="1"/>
  <c r="R36" i="5"/>
  <c r="D153" i="5"/>
  <c r="D231" i="5"/>
  <c r="O224" i="5"/>
  <c r="P232" i="5" s="1"/>
  <c r="D232" i="5"/>
  <c r="O238" i="5"/>
  <c r="P246" i="5" s="1"/>
  <c r="D246" i="5"/>
  <c r="D247" i="5"/>
  <c r="G284" i="5"/>
  <c r="G409" i="5" s="1"/>
  <c r="Q318" i="5"/>
  <c r="D340" i="5"/>
  <c r="P341" i="5"/>
  <c r="D34" i="5"/>
  <c r="O10" i="5"/>
  <c r="R20" i="5"/>
  <c r="F34" i="5"/>
  <c r="F35" i="5"/>
  <c r="D371" i="5"/>
  <c r="F556" i="5"/>
  <c r="D556" i="5" s="1"/>
  <c r="Q385" i="5"/>
  <c r="F558" i="5"/>
  <c r="D558" i="5" s="1"/>
  <c r="J409" i="5"/>
  <c r="O14" i="5"/>
  <c r="E87" i="5"/>
  <c r="E111" i="5"/>
  <c r="E212" i="5"/>
  <c r="D303" i="5"/>
  <c r="O291" i="5"/>
  <c r="P302" i="5" s="1"/>
  <c r="T34" i="5"/>
  <c r="O101" i="5"/>
  <c r="R29" i="5"/>
  <c r="T29" i="5" s="1"/>
  <c r="R39" i="5"/>
  <c r="D102" i="5"/>
  <c r="D111" i="5" s="1"/>
  <c r="D112" i="5"/>
  <c r="I176" i="5"/>
  <c r="I543" i="5" s="1"/>
  <c r="D168" i="5"/>
  <c r="O168" i="5" s="1"/>
  <c r="F176" i="5"/>
  <c r="J186" i="5"/>
  <c r="D212" i="5"/>
  <c r="I284" i="5"/>
  <c r="I550" i="5" s="1"/>
  <c r="D550" i="5" s="1"/>
  <c r="D268" i="5"/>
  <c r="E317" i="5"/>
  <c r="O312" i="5"/>
  <c r="R34" i="5"/>
  <c r="Q341" i="5"/>
  <c r="F553" i="5"/>
  <c r="D553" i="5" s="1"/>
  <c r="D370" i="5"/>
  <c r="O357" i="5"/>
  <c r="P370" i="5" s="1"/>
  <c r="T39" i="5"/>
  <c r="I371" i="5"/>
  <c r="I555" i="5" s="1"/>
  <c r="F416" i="5"/>
  <c r="E385" i="5"/>
  <c r="O398" i="5"/>
  <c r="P399" i="5" s="1"/>
  <c r="T41" i="5"/>
  <c r="D256" i="5"/>
  <c r="O256" i="5" s="1"/>
  <c r="F260" i="5"/>
  <c r="F549" i="5" s="1"/>
  <c r="D549" i="5" s="1"/>
  <c r="D385" i="5"/>
  <c r="D399" i="5"/>
  <c r="O392" i="5"/>
  <c r="D318" i="5" l="1"/>
  <c r="C424" i="5"/>
  <c r="D87" i="5"/>
  <c r="C427" i="5"/>
  <c r="D341" i="5"/>
  <c r="P87" i="5"/>
  <c r="O182" i="5"/>
  <c r="P184" i="5" s="1"/>
  <c r="R27" i="5"/>
  <c r="T27" i="5" s="1"/>
  <c r="R22" i="5"/>
  <c r="T22" i="5" s="1"/>
  <c r="D539" i="5"/>
  <c r="P395" i="5"/>
  <c r="D317" i="5"/>
  <c r="R26" i="5"/>
  <c r="T26" i="5" s="1"/>
  <c r="P283" i="5"/>
  <c r="P317" i="5"/>
  <c r="R15" i="5"/>
  <c r="D283" i="5"/>
  <c r="R21" i="5"/>
  <c r="T21" i="5" s="1"/>
  <c r="D542" i="5"/>
  <c r="D154" i="5"/>
  <c r="D557" i="5"/>
  <c r="G9" i="6"/>
  <c r="H10" i="6" s="1"/>
  <c r="AB9" i="6"/>
  <c r="AH290" i="8"/>
  <c r="R25" i="5"/>
  <c r="T25" i="5" s="1"/>
  <c r="V35" i="6"/>
  <c r="V45" i="6" s="1"/>
  <c r="P175" i="5"/>
  <c r="D70" i="5"/>
  <c r="D88" i="5"/>
  <c r="Q400" i="5"/>
  <c r="D273" i="8"/>
  <c r="AH291" i="8"/>
  <c r="AH293" i="8" s="1"/>
  <c r="AE6" i="6"/>
  <c r="V17" i="6" s="1"/>
  <c r="H9" i="6"/>
  <c r="I559" i="5"/>
  <c r="V11" i="5"/>
  <c r="H410" i="5"/>
  <c r="G410" i="5"/>
  <c r="R11" i="5"/>
  <c r="D555" i="5"/>
  <c r="E186" i="5"/>
  <c r="F409" i="5"/>
  <c r="D260" i="5"/>
  <c r="V7" i="5"/>
  <c r="I545" i="5"/>
  <c r="D416" i="5"/>
  <c r="C426" i="5"/>
  <c r="F537" i="5"/>
  <c r="D35" i="5"/>
  <c r="D284" i="5"/>
  <c r="P260" i="5"/>
  <c r="F543" i="5"/>
  <c r="D543" i="5" s="1"/>
  <c r="D176" i="5"/>
  <c r="F186" i="5"/>
  <c r="O102" i="5"/>
  <c r="P112" i="5" s="1"/>
  <c r="R24" i="5"/>
  <c r="T24" i="5" s="1"/>
  <c r="Q371" i="5"/>
  <c r="T11" i="5"/>
  <c r="C425" i="5"/>
  <c r="F559" i="5"/>
  <c r="D546" i="5"/>
  <c r="D95" i="5"/>
  <c r="O94" i="5"/>
  <c r="P95" i="5" s="1"/>
  <c r="R23" i="5"/>
  <c r="T23" i="5" s="1"/>
  <c r="D259" i="5"/>
  <c r="D540" i="5"/>
  <c r="R32" i="5"/>
  <c r="T32" i="5" s="1"/>
  <c r="O268" i="5"/>
  <c r="P269" i="5" s="1"/>
  <c r="P34" i="5"/>
  <c r="I186" i="5"/>
  <c r="D175" i="5"/>
  <c r="J410" i="5"/>
  <c r="T20" i="5"/>
  <c r="I409" i="5"/>
  <c r="T7" i="5" l="1"/>
  <c r="D409" i="5"/>
  <c r="C428" i="5"/>
  <c r="V43" i="6"/>
  <c r="V16" i="6"/>
  <c r="V44" i="6"/>
  <c r="V42" i="6"/>
  <c r="V18" i="6"/>
  <c r="I560" i="5"/>
  <c r="V19" i="6"/>
  <c r="D186" i="5"/>
  <c r="O411" i="5"/>
  <c r="R13" i="5"/>
  <c r="R43" i="5"/>
  <c r="I410" i="5"/>
  <c r="F410" i="5"/>
  <c r="R7" i="5"/>
  <c r="R9" i="5" s="1"/>
  <c r="T43" i="5"/>
  <c r="D559" i="5"/>
  <c r="D537" i="5"/>
  <c r="F545" i="5"/>
  <c r="D545" i="5" s="1"/>
  <c r="P411" i="5"/>
  <c r="V9" i="5" l="1"/>
  <c r="D410" i="5"/>
  <c r="D415" i="5" s="1"/>
  <c r="V20" i="6"/>
  <c r="Q416" i="5"/>
  <c r="T9" i="5"/>
  <c r="T15" i="5" s="1"/>
  <c r="F560" i="5"/>
  <c r="D560" i="5" s="1"/>
  <c r="D419" i="5" l="1"/>
  <c r="S43" i="5"/>
  <c r="E30" i="10" l="1"/>
  <c r="E31" i="10" s="1"/>
  <c r="J31" i="10" l="1"/>
  <c r="I30" i="10"/>
  <c r="I31" i="10" s="1"/>
  <c r="H200" i="23"/>
  <c r="C200" i="23" s="1"/>
  <c r="C379" i="23" s="1"/>
  <c r="C380" i="23" s="1"/>
  <c r="H199" i="23"/>
  <c r="H398" i="23"/>
  <c r="C398" i="23"/>
  <c r="H379" i="23" l="1"/>
  <c r="H380" i="23" s="1"/>
  <c r="N398" i="23" s="1"/>
  <c r="H528" i="23"/>
  <c r="F392" i="23"/>
  <c r="O28" i="23"/>
  <c r="C199" i="23"/>
  <c r="C390" i="23"/>
  <c r="C382" i="23" l="1"/>
  <c r="M393" i="23" s="1"/>
  <c r="Q7" i="23"/>
  <c r="O9" i="23" s="1"/>
  <c r="N60" i="23"/>
  <c r="C528" i="23"/>
  <c r="H541" i="23"/>
  <c r="E392" i="23"/>
  <c r="G392" i="23" s="1"/>
  <c r="E390" i="23"/>
  <c r="G390" i="23" s="1"/>
  <c r="Q9" i="23"/>
  <c r="Q15" i="23" s="1"/>
  <c r="S9" i="23"/>
  <c r="O41" i="23"/>
  <c r="P41" i="23" s="1"/>
  <c r="Q28" i="23"/>
  <c r="Q41" i="23" s="1"/>
  <c r="H542" i="23" l="1"/>
  <c r="C542" i="23" s="1"/>
  <c r="C541" i="23"/>
  <c r="C396" i="23"/>
  <c r="B399" i="23"/>
  <c r="N60" i="37"/>
  <c r="O60" i="37" s="1"/>
  <c r="AF72" i="37"/>
  <c r="E50" i="37"/>
  <c r="AE36" i="37"/>
  <c r="AG72" i="37" l="1"/>
  <c r="AF36" i="37"/>
  <c r="C36" i="37" l="1"/>
  <c r="AF75" i="37" l="1"/>
  <c r="E53" i="37"/>
  <c r="N63" i="37"/>
  <c r="AE39" i="37"/>
  <c r="AF39" i="37" s="1"/>
  <c r="C39" i="37" l="1"/>
  <c r="AG75" i="37"/>
  <c r="O63" i="37"/>
  <c r="C45" i="37" l="1"/>
  <c r="M51" i="37"/>
  <c r="D300" i="31" l="1"/>
  <c r="D29" i="37" s="1"/>
  <c r="AE37" i="37"/>
  <c r="AE40" i="37" s="1"/>
  <c r="N61" i="37"/>
  <c r="O61" i="37" s="1"/>
  <c r="O64" i="37" s="1"/>
  <c r="I300" i="31"/>
  <c r="E51" i="37"/>
  <c r="E54" i="37" s="1"/>
  <c r="AF73" i="37"/>
  <c r="H29" i="37" l="1"/>
  <c r="H301" i="31"/>
  <c r="D308" i="31"/>
  <c r="D303" i="31"/>
  <c r="I303" i="31"/>
  <c r="H30" i="37"/>
  <c r="I29" i="37"/>
  <c r="J29" i="37" s="1"/>
  <c r="D30" i="37"/>
  <c r="AF76" i="37"/>
  <c r="AG73" i="37"/>
  <c r="AG76" i="37" s="1"/>
  <c r="N64" i="37"/>
  <c r="AF37" i="37"/>
  <c r="D309" i="31" l="1"/>
  <c r="J304" i="31"/>
  <c r="AF40" i="37"/>
  <c r="C37" i="37"/>
  <c r="D31" i="37"/>
  <c r="I75" i="37"/>
  <c r="I76" i="37" s="1"/>
  <c r="D32" i="37" s="1"/>
  <c r="H31" i="37"/>
  <c r="I30" i="37"/>
  <c r="I31" i="37" s="1"/>
  <c r="J31" i="37" l="1"/>
  <c r="N31" i="37"/>
  <c r="AE59" i="37"/>
  <c r="K31" i="37"/>
  <c r="M50" i="37"/>
  <c r="M52" i="37" s="1"/>
  <c r="C40" i="37"/>
  <c r="I33" i="37" s="1"/>
  <c r="C44" i="37"/>
  <c r="C46" i="37" s="1"/>
  <c r="V46" i="6" l="1"/>
</calcChain>
</file>

<file path=xl/sharedStrings.xml><?xml version="1.0" encoding="utf-8"?>
<sst xmlns="http://schemas.openxmlformats.org/spreadsheetml/2006/main" count="16836" uniqueCount="920">
  <si>
    <t>PROVINCIAL ENGINEER'S OFFICE</t>
  </si>
  <si>
    <t>PROVINCIAL BRIDGES AND ITS STATUS &amp; CONDITION</t>
  </si>
  <si>
    <t>YEAR 2020</t>
  </si>
  <si>
    <t>MUNICIPALITY OF ABORLAN</t>
  </si>
  <si>
    <t>New</t>
  </si>
  <si>
    <t>BRIDGE NAME</t>
  </si>
  <si>
    <t>NAME OF BRIDGE/ LOCATION (KM POST)</t>
  </si>
  <si>
    <t>LENGTH                         (m)</t>
  </si>
  <si>
    <t>DESCRIPTION</t>
  </si>
  <si>
    <t xml:space="preserve">BRIDGE CONDITION </t>
  </si>
  <si>
    <t>Good</t>
  </si>
  <si>
    <t>BRIDGE TYPE</t>
  </si>
  <si>
    <t>Fair</t>
  </si>
  <si>
    <t>Iraan - Baraki Road</t>
  </si>
  <si>
    <t>64+950</t>
  </si>
  <si>
    <t>R.C Girder</t>
  </si>
  <si>
    <t>PNAC Road</t>
  </si>
  <si>
    <t>67+450</t>
  </si>
  <si>
    <t>Steel Truss</t>
  </si>
  <si>
    <t>Magbabadil - Cabigaan Road</t>
  </si>
  <si>
    <t>68+850</t>
  </si>
  <si>
    <t>69+950</t>
  </si>
  <si>
    <t>71+600</t>
  </si>
  <si>
    <t>Plaridel - Apis Cabigaan Road</t>
  </si>
  <si>
    <t>Cabigaan Bridge II</t>
  </si>
  <si>
    <t>Tigman - Caburian Road</t>
  </si>
  <si>
    <t>78+830</t>
  </si>
  <si>
    <t>Tigman - Rizal - Dumangueña Road</t>
  </si>
  <si>
    <t>ROAD NAME</t>
  </si>
  <si>
    <t>ROAD CONDITION</t>
  </si>
  <si>
    <t>Taritien Sea Road</t>
  </si>
  <si>
    <t>86+400</t>
  </si>
  <si>
    <t>Bailey</t>
  </si>
  <si>
    <t>Poor</t>
  </si>
  <si>
    <t>Malinao Feeder Road</t>
  </si>
  <si>
    <t>Presidential Bridge</t>
  </si>
  <si>
    <t>Teresa - Batang-Batang Road</t>
  </si>
  <si>
    <t>Batang-batang Bridge</t>
  </si>
  <si>
    <t>Abo-Abo - Isugod Road</t>
  </si>
  <si>
    <t>Maasin Bridge I</t>
  </si>
  <si>
    <t>Maasin Bridge II</t>
  </si>
  <si>
    <t>Bad</t>
  </si>
  <si>
    <t>Panitian Seashore Road</t>
  </si>
  <si>
    <t>Panitian Bridge</t>
  </si>
  <si>
    <t>Panitian - Abokayan Road</t>
  </si>
  <si>
    <t>Pulot Sea Road</t>
  </si>
  <si>
    <t>166+300</t>
  </si>
  <si>
    <t>Pulot I - Pulot III Road</t>
  </si>
  <si>
    <t>173+300</t>
  </si>
  <si>
    <t>173+200</t>
  </si>
  <si>
    <t>Pulot III-Tabud Road</t>
  </si>
  <si>
    <t>Aribungos Feeder Road</t>
  </si>
  <si>
    <t>Aribungos Bridge I</t>
  </si>
  <si>
    <t>Aribungos Bridge II</t>
  </si>
  <si>
    <t>Saraza - Tagbalogo</t>
  </si>
  <si>
    <t>203+400</t>
  </si>
  <si>
    <t>Salogon Feeder Road</t>
  </si>
  <si>
    <t>Salogon Bridge</t>
  </si>
  <si>
    <t>Sandoval Barak - Barakan Road</t>
  </si>
  <si>
    <t>215+360</t>
  </si>
  <si>
    <t>Timber</t>
  </si>
  <si>
    <t>Alternate Route</t>
  </si>
  <si>
    <t>Balabac-Catagupan Road</t>
  </si>
  <si>
    <t>11+911</t>
  </si>
  <si>
    <t>SUB-TOTAL SOUTH AREA</t>
  </si>
  <si>
    <t>Highway Junction Salvacion Road</t>
  </si>
  <si>
    <t>H-way Jct. Little Caramay-Caruray Rd.-B</t>
  </si>
  <si>
    <t>118+100</t>
  </si>
  <si>
    <t>119+025</t>
  </si>
  <si>
    <t>121+825</t>
  </si>
  <si>
    <t>123+500</t>
  </si>
  <si>
    <t>128+600</t>
  </si>
  <si>
    <t>129+950</t>
  </si>
  <si>
    <t>Highway Jct. Tagumpay-Maliko Rd.</t>
  </si>
  <si>
    <t>119+250</t>
  </si>
  <si>
    <t>Highway Jct. Talakaigan Road</t>
  </si>
  <si>
    <t>122+150</t>
  </si>
  <si>
    <t>San Jose Port Barton Road - A</t>
  </si>
  <si>
    <t>125+675</t>
  </si>
  <si>
    <t>Abaroan - Linapaoan Road</t>
  </si>
  <si>
    <t>128+725</t>
  </si>
  <si>
    <t>130+725</t>
  </si>
  <si>
    <t>134+100</t>
  </si>
  <si>
    <t>Highway Junction Malcampo Road</t>
  </si>
  <si>
    <t>150+475</t>
  </si>
  <si>
    <t>Highway Junction Tumarbong Road</t>
  </si>
  <si>
    <t>156+450</t>
  </si>
  <si>
    <t>Dumarao - Ilian - Ilian Road</t>
  </si>
  <si>
    <t>155+650</t>
  </si>
  <si>
    <t>155+950</t>
  </si>
  <si>
    <t>Dumarao - Subingao Road</t>
  </si>
  <si>
    <t>Tumarbong-Ilian Road</t>
  </si>
  <si>
    <t>163+950</t>
  </si>
  <si>
    <t>Canadcan - Alimanguan Road</t>
  </si>
  <si>
    <t>117+900</t>
  </si>
  <si>
    <t>Alimanguan - Kemdeng Road</t>
  </si>
  <si>
    <t>New Agutaya Bridge</t>
  </si>
  <si>
    <t>Alimanguan - Sto. Niño Road</t>
  </si>
  <si>
    <t>Alimanguan Bridge I</t>
  </si>
  <si>
    <t>San Jose - Port Barton Road -B</t>
  </si>
  <si>
    <t>183+850</t>
  </si>
  <si>
    <t>H-way Jct. Little Caramay-Caruray Rd.-A</t>
  </si>
  <si>
    <t>Caruray BB II (Pag-asaz)</t>
  </si>
  <si>
    <t>Kemdeng - Carabao Breeding Road</t>
  </si>
  <si>
    <t>Liminangcong-Cataban Road</t>
  </si>
  <si>
    <t>239+200</t>
  </si>
  <si>
    <t>240+200</t>
  </si>
  <si>
    <t>246+200</t>
  </si>
  <si>
    <t>252+000</t>
  </si>
  <si>
    <t>Cataban - Pularequin Road</t>
  </si>
  <si>
    <t xml:space="preserve">Paglaum - Itangil Road </t>
  </si>
  <si>
    <t>Ariman-an Bridge</t>
  </si>
  <si>
    <t>Impatian Bridge I</t>
  </si>
  <si>
    <t>Impatian Bridge II</t>
  </si>
  <si>
    <t>Itangil I</t>
  </si>
  <si>
    <t>Comalibongbong - Calawag Road</t>
  </si>
  <si>
    <t>New Ibajay - Lamoro Road</t>
  </si>
  <si>
    <t>356+500</t>
  </si>
  <si>
    <t>364+200</t>
  </si>
  <si>
    <t>364+850</t>
  </si>
  <si>
    <t>Bucana - Duli Road</t>
  </si>
  <si>
    <t>Itangil - Latongay Road</t>
  </si>
  <si>
    <t>Itangil Bridge II</t>
  </si>
  <si>
    <t>Villa Constancia Bridge</t>
  </si>
  <si>
    <t>Latungay Bridge</t>
  </si>
  <si>
    <t>Itangil - Layok Road</t>
  </si>
  <si>
    <t>205+080 (Layok)</t>
  </si>
  <si>
    <t>Catama - Tanatanaen Road</t>
  </si>
  <si>
    <t>Catama-Tanatanaen Bridge I</t>
  </si>
  <si>
    <t>Catama-Tanatanaen Bridge II</t>
  </si>
  <si>
    <t>Latongay - Sta. Teresita Road</t>
  </si>
  <si>
    <t>Ibalod Bridge</t>
  </si>
  <si>
    <t>Tagumpay Bridge I</t>
  </si>
  <si>
    <t>Tagumpay Bridge II</t>
  </si>
  <si>
    <t>Tagumpay Bridge III</t>
  </si>
  <si>
    <t>Sta. Maria Bridge I</t>
  </si>
  <si>
    <t>Sta. Maria Bridge II</t>
  </si>
  <si>
    <t>Salban Bridge</t>
  </si>
  <si>
    <t>Alimoto Bridge</t>
  </si>
  <si>
    <t>Tanatanaen - Maragok Road</t>
  </si>
  <si>
    <t>Maragok RCDG</t>
  </si>
  <si>
    <t>Cuyo-Suba-San Carlos Road</t>
  </si>
  <si>
    <t>SUB-TOTAL NORTH AREA</t>
  </si>
  <si>
    <t>TOTAL</t>
  </si>
  <si>
    <t>Prepared By:</t>
  </si>
  <si>
    <t>Submitted By:</t>
  </si>
  <si>
    <t>JIELYN ERIKA B. BAUTISTA</t>
  </si>
  <si>
    <t>CHARISMA WY A. BOLEN</t>
  </si>
  <si>
    <t>Project Development Officer II</t>
  </si>
  <si>
    <t>Engineer II</t>
  </si>
  <si>
    <t>CHEZARLENE M. TABULOD</t>
  </si>
  <si>
    <t>Reviewed By:</t>
  </si>
  <si>
    <t>Approved:</t>
  </si>
  <si>
    <t>ARLENE N. GAMO</t>
  </si>
  <si>
    <t>RANFORD T. VILLEGAS</t>
  </si>
  <si>
    <t>Engineer III</t>
  </si>
  <si>
    <t>OIC-Asst. Provincial Engineer</t>
  </si>
  <si>
    <t>SAYLITO M. PURISIMA</t>
  </si>
  <si>
    <t>Head Infra/OIC-PEO</t>
  </si>
  <si>
    <t xml:space="preserve"> - All paved roads</t>
  </si>
  <si>
    <t xml:space="preserve"> - Traffic range 25 - 75 ADT and unpaved</t>
  </si>
  <si>
    <t xml:space="preserve"> - Less than 25 ADT (gravel or earth)</t>
  </si>
  <si>
    <t xml:space="preserve"> - Non maintainable trails</t>
  </si>
  <si>
    <t xml:space="preserve"> - Sound, well shaped, even and waterproof, normal speed ok at 80-90 km/hr</t>
  </si>
  <si>
    <t xml:space="preserve"> - Uneven, bad shape but still waterproof, normal speed ok at 60-90 kph</t>
  </si>
  <si>
    <t xml:space="preserve"> - Very uneven and porous, normal speed 40-60 kph</t>
  </si>
  <si>
    <t xml:space="preserve"> - Very broken up, rough, can only travel very slowly, normal speed at 20-40 kph</t>
  </si>
  <si>
    <t xml:space="preserve"> - Good shape and surface, does not hold water, normal speed ok at 80-90 km/hr</t>
  </si>
  <si>
    <t xml:space="preserve"> - Surface ravelling and holding some ater, normal speed ok at 60-90 kph</t>
  </si>
  <si>
    <t xml:space="preserve"> - Breaking up, normal speed 40-60 kph</t>
  </si>
  <si>
    <t xml:space="preserve"> - Impassable when wet</t>
  </si>
  <si>
    <t xml:space="preserve"> - Adequate and well maintained</t>
  </si>
  <si>
    <t xml:space="preserve"> - Inadequate</t>
  </si>
  <si>
    <t xml:space="preserve"> - Inadequate and no maintenance</t>
  </si>
  <si>
    <t xml:space="preserve"> - No drainage installed</t>
  </si>
  <si>
    <t xml:space="preserve"> - No work required</t>
  </si>
  <si>
    <t xml:space="preserve"> - Routine repairs only required</t>
  </si>
  <si>
    <t xml:space="preserve"> - Some minor structural works required</t>
  </si>
  <si>
    <t xml:space="preserve"> - Major structural works or replacement required</t>
  </si>
  <si>
    <t>NAME OF MUNICIPALITY</t>
  </si>
  <si>
    <t>Total</t>
  </si>
  <si>
    <t>Length</t>
  </si>
  <si>
    <t>ABORLAN</t>
  </si>
  <si>
    <t>NARRA</t>
  </si>
  <si>
    <t>QUEZON</t>
  </si>
  <si>
    <t>RIZAL</t>
  </si>
  <si>
    <t>ESPAÑOLA</t>
  </si>
  <si>
    <t>BROOKE'S POINT</t>
  </si>
  <si>
    <t>BATARAZA</t>
  </si>
  <si>
    <t>BALABAC</t>
  </si>
  <si>
    <t>TOTAL SOUTH AREA</t>
  </si>
  <si>
    <t>ROXAS</t>
  </si>
  <si>
    <t>SAN VICENTE</t>
  </si>
  <si>
    <t>TAYTAY</t>
  </si>
  <si>
    <t>EL NIDO</t>
  </si>
  <si>
    <t>DUMARAN</t>
  </si>
  <si>
    <t>ARACELI</t>
  </si>
  <si>
    <t>CUYO</t>
  </si>
  <si>
    <t>MAGSAYSAY</t>
  </si>
  <si>
    <t>AGUTAYA</t>
  </si>
  <si>
    <t>CORON</t>
  </si>
  <si>
    <t>BUSUANGA</t>
  </si>
  <si>
    <t>CULION</t>
  </si>
  <si>
    <t>CAGAYANCILLO</t>
  </si>
  <si>
    <t>GRAND TOTAL (Provincial Roads)</t>
  </si>
  <si>
    <t>Aborlan - River Landing</t>
  </si>
  <si>
    <t>FAIR</t>
  </si>
  <si>
    <t>POOR</t>
  </si>
  <si>
    <t>Aporawan-Daan-Cabigaan Road</t>
  </si>
  <si>
    <t>GOOD</t>
  </si>
  <si>
    <t>BAD</t>
  </si>
  <si>
    <t>Iraan - Tubig Road</t>
  </si>
  <si>
    <t>Isaub - Marikit -Tubig Road</t>
  </si>
  <si>
    <t>Isaub - Sagpangan Road</t>
  </si>
  <si>
    <t>Junction - Isaub Road</t>
  </si>
  <si>
    <t>Junction - Tigman Road</t>
  </si>
  <si>
    <t>Magbabadil - Baraki Road</t>
  </si>
  <si>
    <t>Mailigan - Sagpangan Road</t>
  </si>
  <si>
    <t>New Bantayan - Apis Road</t>
  </si>
  <si>
    <t>Hi-way Jct. Plaridel-Tigman-Caburian Rd</t>
  </si>
  <si>
    <t>San Juan Road</t>
  </si>
  <si>
    <t>Tagbariri - Magsaysay Road</t>
  </si>
  <si>
    <t>Tagbariri Road</t>
  </si>
  <si>
    <t>Tagpait Feeder Road</t>
  </si>
  <si>
    <t>Antipuluan Sea Road</t>
  </si>
  <si>
    <t>Apo-Aporawan Section Road</t>
  </si>
  <si>
    <t>Aramaywan Parangue Road</t>
  </si>
  <si>
    <t>Aramaywan Sea Road</t>
  </si>
  <si>
    <t>Bato-Bato Feeder Road</t>
  </si>
  <si>
    <t>Burirao - Cabudlungan Road</t>
  </si>
  <si>
    <t>Calategas Dampsite Road</t>
  </si>
  <si>
    <t>Calategas Sea Road</t>
  </si>
  <si>
    <t>Guminubat Section Road</t>
  </si>
  <si>
    <t>Lapu-Lapu Section Road</t>
  </si>
  <si>
    <t>Linamen - Batang-Batang Feeder Road</t>
  </si>
  <si>
    <t>Linamen Feeder Road</t>
  </si>
  <si>
    <t>Malatgao Section Road</t>
  </si>
  <si>
    <t>Malatgao - Babanitan Road</t>
  </si>
  <si>
    <t>Narra Panacan Road</t>
  </si>
  <si>
    <t>Narra School Road</t>
  </si>
  <si>
    <t>Sandoval - Bagong Sikat Road</t>
  </si>
  <si>
    <t>Sandoval Feeder Road</t>
  </si>
  <si>
    <t>Tabon - Tagpapasi Road</t>
  </si>
  <si>
    <t>Punang Plain Road</t>
  </si>
  <si>
    <t>Barong-Barong Danadio Road</t>
  </si>
  <si>
    <t>Barong-Barong Feeder Road</t>
  </si>
  <si>
    <t>Calasaguen Abubakar Road</t>
  </si>
  <si>
    <t>Calasaguen Feeder Road</t>
  </si>
  <si>
    <t>Ipilan Feeder Road</t>
  </si>
  <si>
    <t>Ipilan Linao Road</t>
  </si>
  <si>
    <t>Ipilan - Mainit Road</t>
  </si>
  <si>
    <t>Ipilan Rizal Road</t>
  </si>
  <si>
    <t>Ipilan Sea Road</t>
  </si>
  <si>
    <t>Junction Mainit Road</t>
  </si>
  <si>
    <t>Maasin Airport Road</t>
  </si>
  <si>
    <t>Maasin Rancho Road</t>
  </si>
  <si>
    <t>Mainit-PSU Road</t>
  </si>
  <si>
    <t>Malis Feeder Road</t>
  </si>
  <si>
    <t>Malis - Pansur - Rabuk Road</t>
  </si>
  <si>
    <t>Mambalot - Abuan Road</t>
  </si>
  <si>
    <t>Mati Feder Road</t>
  </si>
  <si>
    <t>Oring - Oring Road</t>
  </si>
  <si>
    <t>Pintasan Feeder Road</t>
  </si>
  <si>
    <t>Samariniana Feeder Road</t>
  </si>
  <si>
    <t>Saraza Feeder Road</t>
  </si>
  <si>
    <t>Suring - Lada Road</t>
  </si>
  <si>
    <t>Tagpirara Feeder Road</t>
  </si>
  <si>
    <t>Tagpirara Sea Road</t>
  </si>
  <si>
    <t>Tagusao Feeder Road</t>
  </si>
  <si>
    <t>Tigaplan Feeder Road</t>
  </si>
  <si>
    <t>Tub - Tub - Amas Road</t>
  </si>
  <si>
    <t>Bataraza Poblacion Road</t>
  </si>
  <si>
    <t>Iniam - Bono-bono Road</t>
  </si>
  <si>
    <t xml:space="preserve">Brooke’s Pt.- Bataraza Friendship Fd. Rd </t>
  </si>
  <si>
    <t xml:space="preserve">Brooke’s Pt.- Bataraza Friendship Sea Rd </t>
  </si>
  <si>
    <t>Culandanum - Tarusan Road</t>
  </si>
  <si>
    <t>a. Inogbong Sea Road</t>
  </si>
  <si>
    <t>Marangas Feeder Road</t>
  </si>
  <si>
    <t>Marangas Sea Road</t>
  </si>
  <si>
    <t>Ocayan Road</t>
  </si>
  <si>
    <t>Ocayan Bukid-Bukid Road</t>
  </si>
  <si>
    <t>San Juan - Sarong Road</t>
  </si>
  <si>
    <t>Sandoval-Igang -Igang -Sarong Road</t>
  </si>
  <si>
    <t>Taratak Sea R oad</t>
  </si>
  <si>
    <t>Antonino - Maragok Road</t>
  </si>
  <si>
    <t>Highway Junction Caramay Road</t>
  </si>
  <si>
    <t>Abongan-Alacalian-Kawakayan-Binga Rd.</t>
  </si>
  <si>
    <t>Highway Junction - Calawag Road</t>
  </si>
  <si>
    <t>Highway Junction -New Guinlo Road</t>
  </si>
  <si>
    <t>Taytay - Sta. Cruz Road</t>
  </si>
  <si>
    <t>Sibaltan - Siwangwang Road</t>
  </si>
  <si>
    <t>Cuyo Catadman Road</t>
  </si>
  <si>
    <t>Igabas - Maringit-ringit - Lacaren Rd.</t>
  </si>
  <si>
    <t>Maringian - Danawan- Lucbuan Road</t>
  </si>
  <si>
    <t>Rizal Annex - Ensabitan Road</t>
  </si>
  <si>
    <t>Rizal Bonbon Road</t>
  </si>
  <si>
    <t xml:space="preserve">Tagumpay-Balisungan-Marcilla Road </t>
  </si>
  <si>
    <t>PROVINCIAL ROAD NETWORK AND ITS STATUS / CONDITION</t>
  </si>
  <si>
    <t>AS OF NOVEMBER 15, 2021</t>
  </si>
  <si>
    <t>SOUTH</t>
  </si>
  <si>
    <t>NORTH</t>
  </si>
  <si>
    <t>ISLANDS</t>
  </si>
  <si>
    <t>ROAD ID</t>
  </si>
  <si>
    <t>REVISED LENGTH                         (km/s.)</t>
  </si>
  <si>
    <t>OLD LENGTH</t>
  </si>
  <si>
    <t>SURFACE TYPE</t>
  </si>
  <si>
    <t>KILOMETER POST</t>
  </si>
  <si>
    <t>REMARKS</t>
  </si>
  <si>
    <t>CONCRETE</t>
  </si>
  <si>
    <t>ASPHALT</t>
  </si>
  <si>
    <t>EARTH</t>
  </si>
  <si>
    <t>GRAVEL</t>
  </si>
  <si>
    <t>MIXED</t>
  </si>
  <si>
    <t>km sta.57+800</t>
  </si>
  <si>
    <t>Sagpangan Road</t>
  </si>
  <si>
    <t>km sta.66+400</t>
  </si>
  <si>
    <t>km sta.58+000</t>
  </si>
  <si>
    <t xml:space="preserve">Fair </t>
  </si>
  <si>
    <t>km sta.62+400</t>
  </si>
  <si>
    <t>X</t>
  </si>
  <si>
    <t>km sta.64+900</t>
  </si>
  <si>
    <t>km sta.67+100</t>
  </si>
  <si>
    <t>GOOD TO FAIR (TOTAL LENGTH)</t>
  </si>
  <si>
    <t>ACTUAL</t>
  </si>
  <si>
    <t>Aborlan Poblacion Road</t>
  </si>
  <si>
    <t>km sta.66+950</t>
  </si>
  <si>
    <t>km sta.66+800</t>
  </si>
  <si>
    <t>km sta.75+650</t>
  </si>
  <si>
    <t>km sta.69+000</t>
  </si>
  <si>
    <t>km sta.69+200</t>
  </si>
  <si>
    <t>ESPANOLA</t>
  </si>
  <si>
    <t>km sta.69+100</t>
  </si>
  <si>
    <t>BROOKES POINT</t>
  </si>
  <si>
    <t>km sta.71+150</t>
  </si>
  <si>
    <t>Tigman - Rizal Road</t>
  </si>
  <si>
    <t>km sta.77+400</t>
  </si>
  <si>
    <t>NOT EXISTING</t>
  </si>
  <si>
    <t>km sta.78+150</t>
  </si>
  <si>
    <t>SANVICENTE</t>
  </si>
  <si>
    <t>km sta.73+400</t>
  </si>
  <si>
    <t>km sta.76+500</t>
  </si>
  <si>
    <t>SUB-TOTAL</t>
  </si>
  <si>
    <t>MUNICIPALITY OF NARRA</t>
  </si>
  <si>
    <t>LENGTH                         (km/s.)</t>
  </si>
  <si>
    <t>CAGAYAN CILLO</t>
  </si>
  <si>
    <t>km sta.79+500</t>
  </si>
  <si>
    <t>km sta.80+770</t>
  </si>
  <si>
    <t>km sta.83+580</t>
  </si>
  <si>
    <t>km sta.85+500</t>
  </si>
  <si>
    <t>**NOTE: THE ROAD IS NOT ACCESSIBLE DUE TO POOR CONDITION OF BRIDGE.</t>
  </si>
  <si>
    <t>Taritien Section Road</t>
  </si>
  <si>
    <t>km sta.88+045</t>
  </si>
  <si>
    <t>km sta.91+160</t>
  </si>
  <si>
    <t>km sta.92+250</t>
  </si>
  <si>
    <t>Rizal Avenue Section Road</t>
  </si>
  <si>
    <t>km sta.91+670</t>
  </si>
  <si>
    <t>MUNICIPAL ROAD</t>
  </si>
  <si>
    <t>Municipal road</t>
  </si>
  <si>
    <t>km sta.92+370</t>
  </si>
  <si>
    <t>Ipil Road / Quirino</t>
  </si>
  <si>
    <t>km sta.92+700</t>
  </si>
  <si>
    <t>km sta.94+650</t>
  </si>
  <si>
    <t>km sta.96+850</t>
  </si>
  <si>
    <t>km sta.100+150</t>
  </si>
  <si>
    <t>Caguisan Feeder Road</t>
  </si>
  <si>
    <t>km sta.99+200</t>
  </si>
  <si>
    <t>Batang-Batang Feeder Road</t>
  </si>
  <si>
    <t>km sta.101+950</t>
  </si>
  <si>
    <t>km sta.101+960</t>
  </si>
  <si>
    <t>km sta.105+550</t>
  </si>
  <si>
    <t>Teresa Feeder Road</t>
  </si>
  <si>
    <t>km sta.104+100</t>
  </si>
  <si>
    <t>km sta.105+950</t>
  </si>
  <si>
    <t>km sta.115+010</t>
  </si>
  <si>
    <t>km sta.116+100</t>
  </si>
  <si>
    <t>km sta.120+300</t>
  </si>
  <si>
    <t>km sta.120+750</t>
  </si>
  <si>
    <t>**NOTE: THE ROAD IS NOT ACCESSIBLE DUE TO POOR CONDITION OF CULVERT.</t>
  </si>
  <si>
    <t>km sta.124+800</t>
  </si>
  <si>
    <t>km sta.81+500</t>
  </si>
  <si>
    <t>MUNICIPALITY OF QUEZON</t>
  </si>
  <si>
    <t>Tabon - Pinaglabanan Road</t>
  </si>
  <si>
    <t>km sta.139+300</t>
  </si>
  <si>
    <t>km sta.143+700</t>
  </si>
  <si>
    <t>Magsaysay Road</t>
  </si>
  <si>
    <t>km sta.146+000</t>
  </si>
  <si>
    <t>Municipal Road</t>
  </si>
  <si>
    <t>km sta.156+500</t>
  </si>
  <si>
    <t>Maasin - Marintub Road</t>
  </si>
  <si>
    <t>km sta.157+800</t>
  </si>
  <si>
    <t>Malatgao Road</t>
  </si>
  <si>
    <t>km sta.134+500</t>
  </si>
  <si>
    <t>Panitian - Tabud Road</t>
  </si>
  <si>
    <t>km sta.151+000</t>
  </si>
  <si>
    <t>MUNICIPALITY OF RIZAL</t>
  </si>
  <si>
    <t>Rancho - Puntabaja - Malapandeg Road</t>
  </si>
  <si>
    <t>km sta.198+000</t>
  </si>
  <si>
    <t>MUNICIPALITY OF SOFRONIO ESPAÑOLA</t>
  </si>
  <si>
    <t>km sta.137+000</t>
  </si>
  <si>
    <t>km sta.137+900</t>
  </si>
  <si>
    <t>Labog Naltep Road</t>
  </si>
  <si>
    <t>km sta.143+800</t>
  </si>
  <si>
    <t>km sta.149+200</t>
  </si>
  <si>
    <t>Iraray School Road</t>
  </si>
  <si>
    <t>km sta.155+700</t>
  </si>
  <si>
    <t>km sta.162+800</t>
  </si>
  <si>
    <t>Pulot Bo. High School Road</t>
  </si>
  <si>
    <t>km sta.163+800</t>
  </si>
  <si>
    <t>Caramay Bulho Road</t>
  </si>
  <si>
    <t>km sta.165+600</t>
  </si>
  <si>
    <t>km sta.177+000</t>
  </si>
  <si>
    <t>MUNICIPALITY OF BROOKE'S POINT</t>
  </si>
  <si>
    <t>km sta.113+100</t>
  </si>
  <si>
    <t>km sta.174+800-</t>
  </si>
  <si>
    <t>km sta.182+050</t>
  </si>
  <si>
    <t>km sta.184+300</t>
  </si>
  <si>
    <t>km sta.180+150</t>
  </si>
  <si>
    <t>km sta.180+700</t>
  </si>
  <si>
    <t>km sta.182+700</t>
  </si>
  <si>
    <t>km sta.183+250</t>
  </si>
  <si>
    <t>km sta.183+500</t>
  </si>
  <si>
    <t>Pintasan Sea Road</t>
  </si>
  <si>
    <t>km sta.185+500</t>
  </si>
  <si>
    <t>km sta.186+100</t>
  </si>
  <si>
    <t>km sta.189+95</t>
  </si>
  <si>
    <t>km sta.192+850</t>
  </si>
  <si>
    <t>km sta.186+600</t>
  </si>
  <si>
    <t>km sta.187+450</t>
  </si>
  <si>
    <t>km sta.168+75</t>
  </si>
  <si>
    <t>km sta.170+750</t>
  </si>
  <si>
    <t>km sta.193+950</t>
  </si>
  <si>
    <t>km sta.195+500</t>
  </si>
  <si>
    <t>Amas Feeder Road</t>
  </si>
  <si>
    <t>km sta.195+700</t>
  </si>
  <si>
    <t>km sta.198+800</t>
  </si>
  <si>
    <t>km sta.201+200</t>
  </si>
  <si>
    <t>km sta.203+050</t>
  </si>
  <si>
    <t>km sta.201+900</t>
  </si>
  <si>
    <t>km sta.207+450</t>
  </si>
  <si>
    <t>km sta.210+050</t>
  </si>
  <si>
    <t>km sta.176+600</t>
  </si>
  <si>
    <t>MUNICIPALITY OF BATARAZA</t>
  </si>
  <si>
    <t>km sta.215+100</t>
  </si>
  <si>
    <t>km sta.216+720</t>
  </si>
  <si>
    <t>km sta.217+260</t>
  </si>
  <si>
    <t>km sta.218+400</t>
  </si>
  <si>
    <t>km sta.221+800</t>
  </si>
  <si>
    <t>km sta.238+500</t>
  </si>
  <si>
    <t>km sta.243+580</t>
  </si>
  <si>
    <t>km sta.256+200</t>
  </si>
  <si>
    <t>km sta.211+270</t>
  </si>
  <si>
    <t>km sta.242+020</t>
  </si>
  <si>
    <t>km sta.242+770</t>
  </si>
  <si>
    <t>baha</t>
  </si>
  <si>
    <t>km sta.247+390</t>
  </si>
  <si>
    <t>MUNICIPALITY OF BALABAC</t>
  </si>
  <si>
    <t>km sta.000-sta.12+900</t>
  </si>
  <si>
    <t>Catagupan - Agutayan Road</t>
  </si>
  <si>
    <t>O</t>
  </si>
  <si>
    <t>km sta.12+900-sta.18+500</t>
  </si>
  <si>
    <t>T O T A L   (SOUTH AREA)</t>
  </si>
  <si>
    <t>MUNICIPALITY OF ROXAS</t>
  </si>
  <si>
    <t>Highway Junction Tinitian Road</t>
  </si>
  <si>
    <t>km sta.107+900</t>
  </si>
  <si>
    <t>km sta.110+400</t>
  </si>
  <si>
    <t>km sta.115+000-</t>
  </si>
  <si>
    <t>km sta.118+650</t>
  </si>
  <si>
    <t>km sta.121+850</t>
  </si>
  <si>
    <t>Highway Jct. New Cuyo - Rizal Road</t>
  </si>
  <si>
    <t>km sta.123+040</t>
  </si>
  <si>
    <t>km sta.124+600</t>
  </si>
  <si>
    <t>km sta.128+700</t>
  </si>
  <si>
    <t>km sta.129+300</t>
  </si>
  <si>
    <t>km sta.150+400</t>
  </si>
  <si>
    <t>Tumarbong - Antonino Road</t>
  </si>
  <si>
    <t>km sta.163+500</t>
  </si>
  <si>
    <t>Ilian - Bagong Bayan Road</t>
  </si>
  <si>
    <t>km sta.182+600</t>
  </si>
  <si>
    <t>km sta.155+200</t>
  </si>
  <si>
    <t>MUNICIPALITY OF SAN VICENTE</t>
  </si>
  <si>
    <t>km sta.171+800</t>
  </si>
  <si>
    <t>km sta.183+100</t>
  </si>
  <si>
    <t>km sta.177+800</t>
  </si>
  <si>
    <t>km sta.135+400</t>
  </si>
  <si>
    <t>km sta.163+000</t>
  </si>
  <si>
    <t>Sto. Niño-New Canipo-Binga Road</t>
  </si>
  <si>
    <t>Binga - Cauban Road</t>
  </si>
  <si>
    <t>km sta.211+200</t>
  </si>
  <si>
    <t>MUNICIPALITY OF TAYTAY</t>
  </si>
  <si>
    <t>km sta.189+500</t>
  </si>
  <si>
    <t>km sta.195+000</t>
  </si>
  <si>
    <t>km sta.198+900</t>
  </si>
  <si>
    <t>km sta.238+700</t>
  </si>
  <si>
    <t>km sta.194+900</t>
  </si>
  <si>
    <t>MUNICIPALITY OF EL NIDO</t>
  </si>
  <si>
    <t>km sta.342+000-sta.345+000</t>
  </si>
  <si>
    <t>Bagong Bayan -Bebeladan Road</t>
  </si>
  <si>
    <t>km sta.241+080-sta.254+880</t>
  </si>
  <si>
    <t>km sta.356+000-sta.368+300</t>
  </si>
  <si>
    <t>Maranlaw - Demerawat Road</t>
  </si>
  <si>
    <t>km sta.229+400-sta.233+400</t>
  </si>
  <si>
    <t>MUNICIPALITY OF DUMARAN</t>
  </si>
  <si>
    <t>km sta.204+680</t>
  </si>
  <si>
    <t>km sta.213+470</t>
  </si>
  <si>
    <t>Junction Bantal - San Jose Road</t>
  </si>
  <si>
    <t>km sta.229+320</t>
  </si>
  <si>
    <t>may river</t>
  </si>
  <si>
    <t>Junction Salogon - Danleg Road</t>
  </si>
  <si>
    <t>km sta.230+070</t>
  </si>
  <si>
    <t>Junction Aleng - Aleng -Danleg Road</t>
  </si>
  <si>
    <t>km sta.233+120</t>
  </si>
  <si>
    <t>C</t>
  </si>
  <si>
    <t>Junction Swine Road</t>
  </si>
  <si>
    <t>km sta.234+770</t>
  </si>
  <si>
    <t>km sta.216+290</t>
  </si>
  <si>
    <t>Dumaran - San Juan Road</t>
  </si>
  <si>
    <t>Nno record</t>
  </si>
  <si>
    <t>Dumaran - Araceli Road (B)</t>
  </si>
  <si>
    <t>Dumaran Sto. Tomas Road</t>
  </si>
  <si>
    <t>Latongay - Bagumbayan Road</t>
  </si>
  <si>
    <t>km sta.214+870</t>
  </si>
  <si>
    <t>NOT PASSABLE, DEAD END @ 1+193, HANGING BRIDGE</t>
  </si>
  <si>
    <t>4.807/6.000kms unknown.</t>
  </si>
  <si>
    <t>Sta. Teresita - Capayas Road</t>
  </si>
  <si>
    <t>B</t>
  </si>
  <si>
    <t>km sta.220+520</t>
  </si>
  <si>
    <t>MUNICIPALITY OF ARACELI</t>
  </si>
  <si>
    <t>Araceli - Dumaran Road (A)</t>
  </si>
  <si>
    <t>km sta.0+000</t>
  </si>
  <si>
    <t>Araceli  Poblacion Road</t>
  </si>
  <si>
    <t>Araceli - Dalayawan Road</t>
  </si>
  <si>
    <t>km sta.6+585</t>
  </si>
  <si>
    <t>Lumacad Jct. Osmeña Road</t>
  </si>
  <si>
    <t>km sta.15+750</t>
  </si>
  <si>
    <t>Lumacad Feeder Road</t>
  </si>
  <si>
    <t>km sta.12+750</t>
  </si>
  <si>
    <t>Lumacad Jct. Dagman Road</t>
  </si>
  <si>
    <t>km sta.18+865</t>
  </si>
  <si>
    <t>Banglen - Taloto Road</t>
  </si>
  <si>
    <t>km sta.15+500</t>
  </si>
  <si>
    <t>Mauringen - Madoldolon Road</t>
  </si>
  <si>
    <t>km sta.23+075</t>
  </si>
  <si>
    <t>Mauringen - Balogo Road</t>
  </si>
  <si>
    <t>km sta.24+175</t>
  </si>
  <si>
    <t>Magabo - Biogutan Road</t>
  </si>
  <si>
    <t>Baeng - Balogo Road</t>
  </si>
  <si>
    <t>km sta.27+048</t>
  </si>
  <si>
    <t>MUNICIPALITY OF CUYO</t>
  </si>
  <si>
    <t>Cuyo Circumferential Road - A</t>
  </si>
  <si>
    <t>km sta.0+000  &amp;             Sta. 21+120</t>
  </si>
  <si>
    <t>Jct. Cuyo- Suba-Baayad Road</t>
  </si>
  <si>
    <t>km sta.26+530</t>
  </si>
  <si>
    <t>Angbad - San Carlos Road</t>
  </si>
  <si>
    <t>km sta.26+120</t>
  </si>
  <si>
    <t>km sta.0+320</t>
  </si>
  <si>
    <t>Lungsod Balaguen Road A</t>
  </si>
  <si>
    <t>km sta.1+000</t>
  </si>
  <si>
    <t>Lungsod - Igabas - Emilod Road-A</t>
  </si>
  <si>
    <t>Maringian - Danawan Road</t>
  </si>
  <si>
    <t>km sta.3+500</t>
  </si>
  <si>
    <t>MUNICIPALITY OF MAGSAYSAY</t>
  </si>
  <si>
    <t>Cuyo Circumferential Road - B</t>
  </si>
  <si>
    <t>km sta.5+250-</t>
  </si>
  <si>
    <t>Cuyo Airport Road</t>
  </si>
  <si>
    <t>km sta.8+300</t>
  </si>
  <si>
    <t>km sta.4+900</t>
  </si>
  <si>
    <t>km sta.9+750</t>
  </si>
  <si>
    <t>km sta.3+050</t>
  </si>
  <si>
    <t>Pengsed Maringit-ringit - Road</t>
  </si>
  <si>
    <t>km sta.2+150</t>
  </si>
  <si>
    <t>Lungsod - Igabas - Emilod Road -B</t>
  </si>
  <si>
    <t>km sta.4+300</t>
  </si>
  <si>
    <t>Lungsod - Balaguen Road B</t>
  </si>
  <si>
    <t>km sta.2+700</t>
  </si>
  <si>
    <t>km sta.8+250</t>
  </si>
  <si>
    <t>Emilod - Integban Road</t>
  </si>
  <si>
    <t>km sta.7+600</t>
  </si>
  <si>
    <t>Balaguen - San Carba Road</t>
  </si>
  <si>
    <t>km sta.20+870</t>
  </si>
  <si>
    <t>MUNICIPALITY OF AGUTAYA</t>
  </si>
  <si>
    <t>Agutaya - Villasol Road</t>
  </si>
  <si>
    <t>km sta.2+750</t>
  </si>
  <si>
    <t>Agutaya - Villa Fria Road</t>
  </si>
  <si>
    <t>MUNICIPALITY OF CORON</t>
  </si>
  <si>
    <t>Coron Poblacion Road</t>
  </si>
  <si>
    <t>Pale Road</t>
  </si>
  <si>
    <t>Guadalupe - San Nicolas Road</t>
  </si>
  <si>
    <t>San Nicolas - Borac Road</t>
  </si>
  <si>
    <t>YKR Busuanga Airport Road</t>
  </si>
  <si>
    <t>Bintuan Feeder Road</t>
  </si>
  <si>
    <t>Palasan - Borac Road</t>
  </si>
  <si>
    <t>Hospital - Mabentangen Road</t>
  </si>
  <si>
    <t>Jct. Mabentangan - Balisungan Road</t>
  </si>
  <si>
    <t>YKR Airport-Decalachao-San Jose Rd.</t>
  </si>
  <si>
    <t>Balisungan - Pale Road</t>
  </si>
  <si>
    <t>San Nicolas - Decabobo Road</t>
  </si>
  <si>
    <t>MUNICIPALITY OF BUSUANGA</t>
  </si>
  <si>
    <t>Conception Road</t>
  </si>
  <si>
    <t>Unida Street</t>
  </si>
  <si>
    <t>Rizal Street</t>
  </si>
  <si>
    <t>New Busuanga-New Quezon rd</t>
  </si>
  <si>
    <t>New Quezon - Cheey Road</t>
  </si>
  <si>
    <t>Cheey - San Jose Road</t>
  </si>
  <si>
    <t>Sinibayan-Patache Road</t>
  </si>
  <si>
    <t>Patache - Macalachao Road</t>
  </si>
  <si>
    <t>MUNICIPALITY OF CULION</t>
  </si>
  <si>
    <t>Balala-Malaking Patag Road</t>
  </si>
  <si>
    <t>High School-Jardin - Guitna Road</t>
  </si>
  <si>
    <t>Cabulihan - Malaking Patag Road</t>
  </si>
  <si>
    <t>Binudac-Botnogan-Malaking Patag Rd</t>
  </si>
  <si>
    <t>MUNICIPALITY OF CAGAYANCILLO</t>
  </si>
  <si>
    <t>Sta. Cruz-Talaga Road</t>
  </si>
  <si>
    <t>T O T A L   (NORTH AREA)</t>
  </si>
  <si>
    <t>length from ate arl</t>
  </si>
  <si>
    <t>Prepared by :</t>
  </si>
  <si>
    <t>Road Class</t>
  </si>
  <si>
    <t>Class 1</t>
  </si>
  <si>
    <t>Class 2</t>
  </si>
  <si>
    <t>Class 3</t>
  </si>
  <si>
    <t>Class 4</t>
  </si>
  <si>
    <t>Start and Finish Locations</t>
  </si>
  <si>
    <t>At a town, village, intersection with another road or prominent geographic point</t>
  </si>
  <si>
    <t>Pavement Condition                 Bitumen Surface</t>
  </si>
  <si>
    <t>Gravel Surface</t>
  </si>
  <si>
    <t>Drainage</t>
  </si>
  <si>
    <t>Shoulder</t>
  </si>
  <si>
    <t xml:space="preserve"> - Adequate and  maintained</t>
  </si>
  <si>
    <t xml:space="preserve"> - Adequate width but poor maintenance</t>
  </si>
  <si>
    <t xml:space="preserve"> - Inadequate width and no maintenance</t>
  </si>
  <si>
    <t>NIL</t>
  </si>
  <si>
    <t xml:space="preserve"> - No effective shoulders</t>
  </si>
  <si>
    <t>Bridges</t>
  </si>
  <si>
    <t>Culverts (pipe)</t>
  </si>
  <si>
    <t>Small</t>
  </si>
  <si>
    <t xml:space="preserve"> - Pipes with diameters 610mm and less</t>
  </si>
  <si>
    <t xml:space="preserve">Repair </t>
  </si>
  <si>
    <t>Medium</t>
  </si>
  <si>
    <t xml:space="preserve"> - Pipes with diameters from 610mm to 700mm</t>
  </si>
  <si>
    <t>Structural</t>
  </si>
  <si>
    <t>Large</t>
  </si>
  <si>
    <t>Unsafe</t>
  </si>
  <si>
    <t>Fair to Good Roads</t>
  </si>
  <si>
    <t>Concrete</t>
  </si>
  <si>
    <t>Asphalt</t>
  </si>
  <si>
    <t>Earth</t>
  </si>
  <si>
    <t>Gravel</t>
  </si>
  <si>
    <t>(Km.)</t>
  </si>
  <si>
    <t>Fair to Good Roads as of Sept 30, 2017</t>
  </si>
  <si>
    <t>L</t>
  </si>
  <si>
    <t>A</t>
  </si>
  <si>
    <t>E</t>
  </si>
  <si>
    <t>G</t>
  </si>
  <si>
    <t>M</t>
  </si>
  <si>
    <t>GOOD TO FAIR</t>
  </si>
  <si>
    <t>POOR TO BAD</t>
  </si>
  <si>
    <t>:</t>
  </si>
  <si>
    <t>TOTAL LENGTH</t>
  </si>
  <si>
    <t>R O A D   I N V E N T O R Y</t>
  </si>
  <si>
    <t>%</t>
  </si>
  <si>
    <t>B R I D G E  I N V E N T O R Y</t>
  </si>
  <si>
    <t>STEEL TRUSS</t>
  </si>
  <si>
    <t>BAILEY</t>
  </si>
  <si>
    <t>RC. GIRDER</t>
  </si>
  <si>
    <t>TIMBER</t>
  </si>
  <si>
    <t>not in use</t>
  </si>
  <si>
    <t>total</t>
  </si>
  <si>
    <t>south</t>
  </si>
  <si>
    <t>north</t>
  </si>
  <si>
    <t>no of bridges</t>
  </si>
  <si>
    <t>84</t>
  </si>
  <si>
    <t>Guadalupe Bridge 2</t>
  </si>
  <si>
    <t xml:space="preserve"> Balala - Malaking Patag Road</t>
  </si>
  <si>
    <t>Malaking Patag Bridge</t>
  </si>
  <si>
    <t xml:space="preserve"> Cabulihan Malaking Patag Road</t>
  </si>
  <si>
    <t>RC GIRDER</t>
  </si>
  <si>
    <t>Km. Sta. 0+100</t>
  </si>
  <si>
    <t>Km. Sta. 0+700</t>
  </si>
  <si>
    <t xml:space="preserve"> Araceli - Dumaran Road A</t>
  </si>
  <si>
    <t>Araceli Bridge I</t>
  </si>
  <si>
    <t>Araceli Bridge 2</t>
  </si>
  <si>
    <t>Araceli Bridge 3</t>
  </si>
  <si>
    <t xml:space="preserve"> YKR Busuanga Airport Road</t>
  </si>
  <si>
    <t>Guadalupe Bridge 1</t>
  </si>
  <si>
    <t xml:space="preserve"> New Busuanga - New Quezon Road</t>
  </si>
  <si>
    <t>New Busuanga Bridge 1</t>
  </si>
  <si>
    <t>New Busuanga Bridge 2</t>
  </si>
  <si>
    <t xml:space="preserve"> San Nicolas - Borac Road</t>
  </si>
  <si>
    <t>Borac Bridge</t>
  </si>
  <si>
    <t xml:space="preserve"> San Nicolas - Decabobo Road</t>
  </si>
  <si>
    <t>San Nicolas Bridge</t>
  </si>
  <si>
    <t xml:space="preserve"> New Quezon Cheey Road</t>
  </si>
  <si>
    <t>New Quezon Bridge</t>
  </si>
  <si>
    <t xml:space="preserve"> Cheey San Jose Road</t>
  </si>
  <si>
    <t>Cheey Bridge 1</t>
  </si>
  <si>
    <t>Cheey Bridge 2</t>
  </si>
  <si>
    <t>Cheey Bridge 3</t>
  </si>
  <si>
    <t xml:space="preserve"> Binudac - Botnogan - Malaking Patag Road</t>
  </si>
  <si>
    <t>Binudac Bridge</t>
  </si>
  <si>
    <t xml:space="preserve"> Mauringen - Balogo Road</t>
  </si>
  <si>
    <t>Mauringen Bridge</t>
  </si>
  <si>
    <t xml:space="preserve"> Baeng - Balogo Road</t>
  </si>
  <si>
    <t>Balogo Bridge</t>
  </si>
  <si>
    <t>ln.m</t>
  </si>
  <si>
    <t>Aborlan</t>
  </si>
  <si>
    <t>MUNICIPALITY</t>
  </si>
  <si>
    <t>Narra</t>
  </si>
  <si>
    <t>Quezon</t>
  </si>
  <si>
    <t>Rizal</t>
  </si>
  <si>
    <t>Sofronio Española</t>
  </si>
  <si>
    <t>Brooke's Point</t>
  </si>
  <si>
    <t>Bataraza</t>
  </si>
  <si>
    <t>Balabac</t>
  </si>
  <si>
    <t>Roxas</t>
  </si>
  <si>
    <t>San Vicente</t>
  </si>
  <si>
    <t>Taytay</t>
  </si>
  <si>
    <t>Dumaran</t>
  </si>
  <si>
    <t>Araceli</t>
  </si>
  <si>
    <t>Cuyo</t>
  </si>
  <si>
    <t>Magsaysay</t>
  </si>
  <si>
    <t>Agutaya</t>
  </si>
  <si>
    <t>Coron</t>
  </si>
  <si>
    <t>Culion</t>
  </si>
  <si>
    <t>Busuanga</t>
  </si>
  <si>
    <t>Cagayancillo</t>
  </si>
  <si>
    <t>NO. OF PROVINCIAL ROAD</t>
  </si>
  <si>
    <t>TOTAL LENGTH
(KM)</t>
  </si>
  <si>
    <t>km sta.000 -12+900</t>
  </si>
  <si>
    <t>km sta.12+900 -18+500</t>
  </si>
  <si>
    <t>SURFACE TYPE (KM)</t>
  </si>
  <si>
    <t xml:space="preserve"> LENGTH
(KM)</t>
  </si>
  <si>
    <t>NO</t>
  </si>
  <si>
    <t>SOUTH SUB-TOTAL</t>
  </si>
  <si>
    <t>NORTH SUB-TOTAL</t>
  </si>
  <si>
    <t>GRANT TOTAL (SOUTH &amp; NORTH)</t>
  </si>
  <si>
    <t>MUNICIPALITY OF CAGANYANCILLO</t>
  </si>
  <si>
    <t>km sta.342+000 to 345+000</t>
  </si>
  <si>
    <t>km sta.241+080 to 254+880</t>
  </si>
  <si>
    <t>km sta.356+000 to 368+300</t>
  </si>
  <si>
    <t>km sta.229+400 to 233+400</t>
  </si>
  <si>
    <t>CONCRETE
(KM)</t>
  </si>
  <si>
    <t>ASPHALT
(KM)</t>
  </si>
  <si>
    <t>EARTH
(KM)</t>
  </si>
  <si>
    <t>GRAVEL
(KM)</t>
  </si>
  <si>
    <t>SUMMARY OF ROAD SURFACE</t>
  </si>
  <si>
    <t>SUMMARY OF ROAD CONDITION</t>
  </si>
  <si>
    <t>***</t>
  </si>
  <si>
    <t>botnongan</t>
  </si>
  <si>
    <t>mag add ako from paglaum itangil na 9.95k, 9.6 lang nilagay sa paglaum itangil</t>
  </si>
  <si>
    <t>ilian - bagumbayan - latungay</t>
  </si>
  <si>
    <t>cmgp 2019, 2kms</t>
  </si>
  <si>
    <t>cmgp 2020, 2kms</t>
  </si>
  <si>
    <t>Burirao - Cabudlungan Road - Ordinance No. 2203-2019</t>
  </si>
  <si>
    <t>Junction Highway - Burirao Road</t>
  </si>
  <si>
    <t>municipal road</t>
  </si>
  <si>
    <t>GRAND TOTAL</t>
  </si>
  <si>
    <t>Prepared by:</t>
  </si>
  <si>
    <t>Submitted by:</t>
  </si>
  <si>
    <t>Reviewed by:</t>
  </si>
  <si>
    <t>Engineer III, OIC Asst. Provincial Engineer</t>
  </si>
  <si>
    <t>Recommending Approval:</t>
  </si>
  <si>
    <t>PGDH (PEPO )/OIC (PEO)</t>
  </si>
  <si>
    <t>Head, Infrastructure Division</t>
  </si>
  <si>
    <t>JOSE CH. ALVAREZ</t>
  </si>
  <si>
    <t>Governor</t>
  </si>
  <si>
    <t>SUMMARY OF GOOD TO FAIR / POOR TO BAD ROAD CONDITION</t>
  </si>
  <si>
    <t>El Nido</t>
  </si>
  <si>
    <t>aborlan</t>
  </si>
  <si>
    <t>balabac</t>
  </si>
  <si>
    <t>bataraza</t>
  </si>
  <si>
    <t>brookes point</t>
  </si>
  <si>
    <t>narra</t>
  </si>
  <si>
    <t>quezon</t>
  </si>
  <si>
    <t>rizal</t>
  </si>
  <si>
    <t>sofronio española</t>
  </si>
  <si>
    <t>agutaya</t>
  </si>
  <si>
    <t>araceli</t>
  </si>
  <si>
    <t>busuanga</t>
  </si>
  <si>
    <t>cagayancillo</t>
  </si>
  <si>
    <t>coron</t>
  </si>
  <si>
    <t>culion</t>
  </si>
  <si>
    <t>cuyo</t>
  </si>
  <si>
    <t>dumaran</t>
  </si>
  <si>
    <t>el nido</t>
  </si>
  <si>
    <t>magsaysay</t>
  </si>
  <si>
    <t>roxas</t>
  </si>
  <si>
    <t>san vicente</t>
  </si>
  <si>
    <t>taytay</t>
  </si>
  <si>
    <t>Capacity Element 3: Information and resources for local road management</t>
  </si>
  <si>
    <t>pw: lrmpat2020</t>
  </si>
  <si>
    <r>
      <rPr>
        <b/>
        <sz val="11"/>
        <color rgb="FF000000"/>
        <rFont val="Calibri"/>
        <family val="2"/>
      </rPr>
      <t>Indicator 5</t>
    </r>
    <r>
      <rPr>
        <sz val="11"/>
        <color rgb="FF000000"/>
        <rFont val="Calibri"/>
        <family val="2"/>
      </rPr>
      <t>: Annual budget for road rehabilitation</t>
    </r>
  </si>
  <si>
    <t>Please fill up the table that follows with information on length of local core roads for the last three years</t>
  </si>
  <si>
    <t>For Core Roads in Gravel</t>
  </si>
  <si>
    <t>Year</t>
  </si>
  <si>
    <t>Total Length of Core Roads (a)</t>
  </si>
  <si>
    <t>Thickness of Road in mm</t>
  </si>
  <si>
    <t>Cost of rehabilitation based on thickness</t>
  </si>
  <si>
    <t>Ideal (Required) Budget</t>
  </si>
  <si>
    <t>Actual Budget for Road Rehabilitation  based on Appropriation Ordinance</t>
  </si>
  <si>
    <t>% of Budget against Requirement</t>
  </si>
  <si>
    <t>Current Year</t>
  </si>
  <si>
    <t>Prior Year</t>
  </si>
  <si>
    <t>Two Years Prior</t>
  </si>
  <si>
    <t>Average</t>
  </si>
  <si>
    <t>Score for Gravel only</t>
  </si>
  <si>
    <t>For Core Roads in Asphalt</t>
  </si>
  <si>
    <t>Total Length of Core Roads</t>
  </si>
  <si>
    <t>Score for Asphalt only</t>
  </si>
  <si>
    <t>For Core Roads in PCCP</t>
  </si>
  <si>
    <t>Sore for PCCP only</t>
  </si>
  <si>
    <t>Average of all surfaces</t>
  </si>
  <si>
    <t>Surface</t>
  </si>
  <si>
    <t>Three-year average</t>
  </si>
  <si>
    <t>PCCP</t>
  </si>
  <si>
    <t>Score</t>
  </si>
  <si>
    <t>Notes/Annotations:</t>
  </si>
  <si>
    <t>Score is 4 if percentage is 100 or more.</t>
  </si>
  <si>
    <t>Score is 3 if percentage is at least 80.</t>
  </si>
  <si>
    <t>Score is 2 if percentage is at least 60.</t>
  </si>
  <si>
    <t>Score is 1 if percentage is at least 40.</t>
  </si>
  <si>
    <t>Score is 0 if percentage is at least 20.</t>
  </si>
  <si>
    <t>Pularaquen - Bagumbayan</t>
  </si>
  <si>
    <t>Barake - Sagpangan</t>
  </si>
  <si>
    <t>Taberna - Bucana - Duli - Dagmay Road</t>
  </si>
  <si>
    <t>Itangil - Magsaysay Road</t>
  </si>
  <si>
    <t>Salban - Culasian - Magsaysay Road</t>
  </si>
  <si>
    <t>Malaking Patag - Galoc Road</t>
  </si>
  <si>
    <t>Sandoval - Silanga Road</t>
  </si>
  <si>
    <t>San Juan - Bacao - Catep - Calasag Road</t>
  </si>
  <si>
    <t>Poblacion - Malaking Ilog - Indalawan</t>
  </si>
  <si>
    <t>**</t>
  </si>
  <si>
    <t>Please note:</t>
  </si>
  <si>
    <t>Roads with (**) are not in the masterlist of Provincial Roads.</t>
  </si>
  <si>
    <r>
      <t xml:space="preserve">Based on the list from </t>
    </r>
    <r>
      <rPr>
        <b/>
        <sz val="11"/>
        <color theme="1"/>
        <rFont val="Arial Narrow"/>
        <family val="2"/>
      </rPr>
      <t>SECTION 6: ROAD SECTOR INVESTMENT PROGRAM, Indicator 5 of LRMPA</t>
    </r>
    <r>
      <rPr>
        <sz val="11"/>
        <color theme="1"/>
        <rFont val="Arial Narrow"/>
        <family val="2"/>
      </rPr>
      <t xml:space="preserve">, some roads here are split for other roads listed in Section 6 are considered to be just one road network. i.e. </t>
    </r>
    <r>
      <rPr>
        <b/>
        <sz val="11"/>
        <color theme="1"/>
        <rFont val="Arial Narrow"/>
        <family val="2"/>
      </rPr>
      <t>SANDOVAL - IGANG IGANG SARONG - OCAYAN ROAD</t>
    </r>
    <r>
      <rPr>
        <sz val="11"/>
        <color theme="1"/>
        <rFont val="Arial Narrow"/>
        <family val="2"/>
      </rPr>
      <t xml:space="preserve">, in the table above, 2 road networks were combined; </t>
    </r>
    <r>
      <rPr>
        <b/>
        <sz val="11"/>
        <color theme="1"/>
        <rFont val="Arial Narrow"/>
        <family val="2"/>
      </rPr>
      <t>SANDOVAL - IGANG IGANG - SARONG ROAD &amp; OCAYAN ROAD</t>
    </r>
    <r>
      <rPr>
        <sz val="11"/>
        <color theme="1"/>
        <rFont val="Arial Narrow"/>
        <family val="2"/>
      </rPr>
      <t>.)</t>
    </r>
  </si>
  <si>
    <t>NOT ACCESSIBLE</t>
  </si>
  <si>
    <t>sira culvert</t>
  </si>
  <si>
    <t xml:space="preserve">Bad </t>
  </si>
  <si>
    <t xml:space="preserve"> Good</t>
  </si>
  <si>
    <t>NO RECORDED DATA</t>
  </si>
  <si>
    <t>FOR VERIFICATION</t>
  </si>
  <si>
    <t xml:space="preserve">Good </t>
  </si>
  <si>
    <t>New Busuanga-New Quezon Road</t>
  </si>
  <si>
    <t>Noted By:</t>
  </si>
  <si>
    <t>Asst. Provincial Engineer</t>
  </si>
  <si>
    <t>teh, yung nakahighlight na red, in most cases, inadopt ko yung latest, 2021. kasi mas mataas yung concrete value ng mga previous. Tapos update ko nalang dun sa 2019 &amp; 2020 inventory, para nakareflect. (pero utang ko muna ito the, pagoda nako for today's video). THANKS2!</t>
  </si>
  <si>
    <t>NILAGAY KO LANG YUNG 2019 &amp; 2020 TAB DITO, PARA DI NAKO HANAP PAG MAGUPDATE AKO. BUKAS KO NAMAN GABI THE GAWIN YUNG KULANG KO SA ROAD INVENTORY. PERO ITONG CORE, I SUGGEST ITO NALANG IADOPT NATEN, SINCE YUNG PIRMADO EH YUNG LATEST AT YUNG TOTAL LENGTH AY MAY BASIS TAYO NUNG MGA SINAUNANG DATA. THANKS!</t>
  </si>
  <si>
    <t>ISLAND</t>
  </si>
  <si>
    <t>TOTAL MAINLAND</t>
  </si>
  <si>
    <t>2022 LENGTH
(KM)</t>
  </si>
  <si>
    <t>NOT PASSABLE PRIVATE PROPERTY</t>
  </si>
  <si>
    <t>UPDATED ROAD AS OF NOW</t>
  </si>
  <si>
    <t>GRANT TOTAL (NORTH)</t>
  </si>
  <si>
    <t>ELMON RAY M. JURATIL</t>
  </si>
  <si>
    <t>AIREEN L. MARCAIDA</t>
  </si>
  <si>
    <t>Engineer IV</t>
  </si>
  <si>
    <t>OIC-Provincial Engineer's Office</t>
  </si>
  <si>
    <t>V. DENNIS M. SOCRATES</t>
  </si>
  <si>
    <t>Total Percentage %</t>
  </si>
  <si>
    <t>Executive Assistant I</t>
  </si>
  <si>
    <t>OIC - Provincial Engineer's Office</t>
  </si>
  <si>
    <t>Taratak Sea Road</t>
  </si>
  <si>
    <t>2023 LENGTH
(KM)</t>
  </si>
  <si>
    <t>b. Inogbong Feeder Road</t>
  </si>
  <si>
    <t>CARRIAGEWAY OKAY</t>
  </si>
  <si>
    <t xml:space="preserve"> </t>
  </si>
  <si>
    <t>Calategas Dumpsite Road</t>
  </si>
  <si>
    <t xml:space="preserve">   </t>
  </si>
  <si>
    <t>AS OF DECEMBER 2022</t>
  </si>
  <si>
    <t>AS OF APRIL 2023</t>
  </si>
  <si>
    <t>Elvita Feeder Road</t>
  </si>
  <si>
    <t>Ipilan - Balentik Road</t>
  </si>
  <si>
    <t>Ordinance No.</t>
  </si>
  <si>
    <t>ZELDA A. LILUDIN</t>
  </si>
  <si>
    <t>Maintenance Division</t>
  </si>
  <si>
    <t>ROSS ANN D. MAMINTA</t>
  </si>
  <si>
    <t>National Highway - Sitio Nanabu</t>
  </si>
  <si>
    <t>**Island Municipalities not yet updated.</t>
  </si>
  <si>
    <t xml:space="preserve">GRANT TOTAL </t>
  </si>
  <si>
    <t>Grand Total</t>
  </si>
  <si>
    <t>GRANT TOTAL</t>
  </si>
  <si>
    <t>YEAR 2022</t>
  </si>
  <si>
    <t>ilipat sa aborlan</t>
  </si>
  <si>
    <t>ok</t>
  </si>
  <si>
    <t>OK</t>
  </si>
  <si>
    <t>Calategas Damsite Road</t>
  </si>
  <si>
    <t>new concreted part</t>
  </si>
  <si>
    <t>unpassable</t>
  </si>
  <si>
    <t>NOTE</t>
  </si>
  <si>
    <t>*** unpassable</t>
  </si>
  <si>
    <t>**replace with sandoval feeder road (concreted na dapat)</t>
  </si>
  <si>
    <t>**excahne with sandoval bagong sikat road (gravel )</t>
  </si>
  <si>
    <t>**exchange with PNAC</t>
  </si>
  <si>
    <t>**exchange with San Juan Road</t>
  </si>
  <si>
    <t>**exchange with Mailigan - Sagpangan</t>
  </si>
  <si>
    <t>**exchange with Sagpangan Road</t>
  </si>
  <si>
    <t>2024LENGTH
(KM)</t>
  </si>
  <si>
    <t>g</t>
  </si>
  <si>
    <t>TOTAL LENGTH WITH AN ACTUAL INVENTORY OF MAINTENANCE INVENTORY</t>
  </si>
  <si>
    <t>TOTAL LENGTH WITHOUT AN ACTUAL INVENTORY OF MAINTENANCE INVENTORY</t>
  </si>
  <si>
    <t>with concreting</t>
  </si>
  <si>
    <t>NO.</t>
  </si>
  <si>
    <t>REPUBLIC OF THE PHILIPPINES</t>
  </si>
  <si>
    <t>PROVINCIAL GOVERNMENT OF PALAWAN</t>
  </si>
  <si>
    <t>PROVICIAL ENGINEEING OFFICE</t>
  </si>
  <si>
    <t>CAPITOL COMPLEX, PUERTO PRINCESA CITY</t>
  </si>
  <si>
    <t>PRIORITY OF THE SCHEDULE OF REHAB FROM JULY 2025 - DECEMBER 2025</t>
  </si>
  <si>
    <t>SOUTH MUNICIPALITY OF PALAWAN</t>
  </si>
  <si>
    <t>LIST OF PROVINCIAL ROAD NETWORK</t>
  </si>
  <si>
    <t>TOTAL KM OF PROVINCIAL ROAD NEED TO CONDUCT VEGETATION CONTROL(KM)</t>
  </si>
  <si>
    <t>TOTAL KM OF PROVINCIAL ROAD NEED TO REHAB(KM)</t>
  </si>
  <si>
    <t>PROVINCIAL ROAD REHABILATION</t>
  </si>
  <si>
    <t>RIVER QUARRY/MOUNTAIN QUARRY</t>
  </si>
  <si>
    <t>APPROXIAMATE VOLUME NEEDED TO EMBANK THE AND CONDUCT REHAB</t>
  </si>
  <si>
    <t>TOTAL LENGTH(KM)</t>
  </si>
  <si>
    <t>CU.M</t>
  </si>
  <si>
    <t>TOTAL AGGREGATES NEEDED FOR SOUTH MUNICIPALITY OF PALAWAN</t>
  </si>
  <si>
    <t>CUM</t>
  </si>
  <si>
    <t>TOTAL KM</t>
  </si>
  <si>
    <t>THICKNESS OF AGGREGATES NEEDED(M)</t>
  </si>
  <si>
    <t>WIDTH OF EMBANKMENT(M)</t>
  </si>
  <si>
    <t>LENGTH
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</si>
</sst>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1573&quot;000000000"/>
    <numFmt numFmtId="167" formatCode="#,##0.000"/>
    <numFmt numFmtId="168" formatCode="0.000"/>
    <numFmt numFmtId="169" formatCode="0.0000"/>
    <numFmt numFmtId="170" formatCode="0\ &quot;-&quot;\ 00"/>
    <numFmt numFmtId="171" formatCode="_-* #,##0.000_-;\-* #,##0.000_-;_-* &quot;-&quot;??_-;_-@_-"/>
    <numFmt numFmtId="172" formatCode="_(&quot;$&quot;* #,##0.000_);_(&quot;$&quot;* \(#,##0.000\);_(&quot;$&quot;* &quot;-&quot;??_);_(@_)"/>
    <numFmt numFmtId="173" formatCode="&quot;1753&quot;000000000"/>
    <numFmt numFmtId="174" formatCode="_-[$₱-3409]* #,##0.00_-;\-[$₱-3409]* #,##0.00_-;_-[$₱-3409]* &quot;-&quot;??_-;_-@_-"/>
    <numFmt numFmtId="175" formatCode="_-[$₱-3409]* #,##0.000_-;\-[$₱-3409]* #,##0.000_-;_-[$₱-3409]* &quot;-&quot;???_-;_-@_-"/>
  </numFmts>
  <fonts count="5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i/>
      <sz val="12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6"/>
      <name val="Arial Narrow"/>
      <family val="2"/>
    </font>
    <font>
      <b/>
      <sz val="11"/>
      <name val="Arial Narrow"/>
      <family val="2"/>
    </font>
    <font>
      <b/>
      <sz val="11"/>
      <color theme="0" tint="-0.249977111117893"/>
      <name val="Arial Narrow"/>
      <family val="2"/>
    </font>
    <font>
      <b/>
      <sz val="18"/>
      <color theme="0"/>
      <name val="Arial Narrow"/>
      <family val="2"/>
    </font>
    <font>
      <sz val="11"/>
      <color theme="0" tint="-0.249977111117893"/>
      <name val="Arial Narrow"/>
      <family val="2"/>
    </font>
    <font>
      <sz val="11"/>
      <color theme="1"/>
      <name val="Calibri"/>
      <family val="2"/>
      <scheme val="minor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sz val="8"/>
      <color rgb="FFFF0000"/>
      <name val="Arial Narrow"/>
      <family val="2"/>
    </font>
    <font>
      <b/>
      <sz val="11"/>
      <color rgb="FFFF0000"/>
      <name val="Arial Narrow"/>
      <family val="2"/>
    </font>
    <font>
      <b/>
      <sz val="11"/>
      <color theme="0" tint="-0.34998626667073579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4"/>
      <color rgb="FFFF0000"/>
      <name val="Arial Narrow"/>
      <family val="2"/>
    </font>
    <font>
      <sz val="14"/>
      <color rgb="FFFF0000"/>
      <name val="Arial Narrow"/>
      <family val="2"/>
    </font>
    <font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18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1"/>
      <color rgb="FF0D0D0D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sz val="11"/>
      <color rgb="FF595959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C00000"/>
      <name val="Calibri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b/>
      <sz val="11"/>
      <color rgb="FFC00000"/>
      <name val="Arial Narrow"/>
      <family val="2"/>
    </font>
    <font>
      <sz val="12"/>
      <color rgb="FFFF0000"/>
      <name val="Arial Narrow"/>
      <family val="2"/>
    </font>
    <font>
      <b/>
      <sz val="14"/>
      <color rgb="FFC00000"/>
      <name val="Arial Narrow"/>
      <family val="2"/>
    </font>
    <font>
      <b/>
      <sz val="12"/>
      <color rgb="FFFF0000"/>
      <name val="Arial Narrow"/>
      <family val="2"/>
    </font>
    <font>
      <sz val="11"/>
      <color theme="0"/>
      <name val="Arial Narrow"/>
      <family val="2"/>
    </font>
    <font>
      <sz val="14"/>
      <color theme="0"/>
      <name val="Arial Narrow"/>
      <family val="2"/>
    </font>
    <font>
      <b/>
      <sz val="14"/>
      <color theme="0"/>
      <name val="Arial Narrow"/>
      <family val="2"/>
    </font>
    <font>
      <b/>
      <i/>
      <sz val="12"/>
      <color theme="0"/>
      <name val="Arial Narrow"/>
      <family val="2"/>
    </font>
    <font>
      <b/>
      <sz val="20"/>
      <color theme="1"/>
      <name val="Arial Narrow"/>
      <family val="2"/>
    </font>
    <font>
      <sz val="16"/>
      <color theme="1"/>
      <name val="Arial Narrow"/>
      <family val="2"/>
    </font>
    <font>
      <sz val="16"/>
      <name val="Arial Narrow"/>
      <family val="2"/>
    </font>
    <font>
      <b/>
      <sz val="10"/>
      <color theme="1"/>
      <name val="Arial Narrow"/>
      <family val="2"/>
    </font>
    <font>
      <sz val="13.5"/>
      <color theme="1"/>
      <name val="Arial Narrow"/>
      <family val="2"/>
    </font>
    <font>
      <b/>
      <sz val="14"/>
      <color rgb="FF92D050"/>
      <name val="Arial Narrow"/>
      <family val="2"/>
    </font>
  </fonts>
  <fills count="2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7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8" fillId="0" borderId="0"/>
    <xf numFmtId="0" fontId="1" fillId="0" borderId="0"/>
    <xf numFmtId="9" fontId="15" fillId="0" borderId="0" applyFont="0" applyFill="0" applyBorder="0" applyAlignment="0" applyProtection="0"/>
  </cellStyleXfs>
  <cellXfs count="1308">
    <xf numFmtId="0" fontId="0" fillId="0" borderId="0" xfId="0"/>
    <xf numFmtId="0" fontId="2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2" fillId="3" borderId="0" xfId="1" applyFont="1" applyFill="1" applyAlignment="1" applyProtection="1">
      <alignment vertical="center"/>
      <protection locked="0"/>
    </xf>
    <xf numFmtId="165" fontId="3" fillId="0" borderId="0" xfId="2" applyFont="1" applyBorder="1" applyAlignment="1" applyProtection="1">
      <alignment horizontal="center" vertical="center"/>
      <protection locked="0"/>
    </xf>
    <xf numFmtId="165" fontId="2" fillId="5" borderId="5" xfId="2" applyFont="1" applyFill="1" applyBorder="1" applyAlignment="1" applyProtection="1">
      <alignment horizontal="center" vertical="center"/>
      <protection locked="0"/>
    </xf>
    <xf numFmtId="165" fontId="4" fillId="4" borderId="9" xfId="2" applyFont="1" applyFill="1" applyBorder="1" applyAlignment="1" applyProtection="1">
      <alignment horizontal="center" vertical="center"/>
      <protection locked="0"/>
    </xf>
    <xf numFmtId="167" fontId="3" fillId="0" borderId="11" xfId="1" applyNumberFormat="1" applyFont="1" applyBorder="1" applyAlignment="1" applyProtection="1">
      <alignment horizontal="center" vertical="center" wrapText="1"/>
      <protection locked="0"/>
    </xf>
    <xf numFmtId="167" fontId="3" fillId="0" borderId="12" xfId="1" applyNumberFormat="1" applyFont="1" applyBorder="1" applyAlignment="1" applyProtection="1">
      <alignment horizontal="center" vertical="center" wrapText="1"/>
      <protection locked="0"/>
    </xf>
    <xf numFmtId="167" fontId="3" fillId="0" borderId="13" xfId="1" applyNumberFormat="1" applyFont="1" applyBorder="1" applyAlignment="1" applyProtection="1">
      <alignment horizontal="center" vertical="center"/>
      <protection locked="0"/>
    </xf>
    <xf numFmtId="167" fontId="3" fillId="0" borderId="12" xfId="1" applyNumberFormat="1" applyFont="1" applyBorder="1" applyAlignment="1" applyProtection="1">
      <alignment horizontal="center" vertical="center"/>
      <protection locked="0"/>
    </xf>
    <xf numFmtId="0" fontId="3" fillId="0" borderId="14" xfId="1" applyFont="1" applyBorder="1" applyAlignment="1" applyProtection="1">
      <alignment horizontal="center" vertical="center"/>
      <protection locked="0"/>
    </xf>
    <xf numFmtId="167" fontId="3" fillId="6" borderId="11" xfId="1" applyNumberFormat="1" applyFont="1" applyFill="1" applyBorder="1" applyAlignment="1" applyProtection="1">
      <alignment horizontal="center" vertical="center" wrapText="1"/>
      <protection locked="0"/>
    </xf>
    <xf numFmtId="167" fontId="3" fillId="6" borderId="12" xfId="1" applyNumberFormat="1" applyFont="1" applyFill="1" applyBorder="1" applyAlignment="1" applyProtection="1">
      <alignment horizontal="center" vertical="center" wrapText="1"/>
      <protection locked="0"/>
    </xf>
    <xf numFmtId="167" fontId="3" fillId="6" borderId="13" xfId="1" applyNumberFormat="1" applyFont="1" applyFill="1" applyBorder="1" applyAlignment="1" applyProtection="1">
      <alignment horizontal="center" vertical="center"/>
      <protection locked="0"/>
    </xf>
    <xf numFmtId="0" fontId="3" fillId="6" borderId="0" xfId="1" applyFont="1" applyFill="1" applyAlignment="1" applyProtection="1">
      <alignment horizontal="center" vertical="center"/>
      <protection locked="0"/>
    </xf>
    <xf numFmtId="0" fontId="2" fillId="0" borderId="15" xfId="1" applyFont="1" applyBorder="1" applyAlignment="1" applyProtection="1">
      <alignment horizontal="center" vertical="center" wrapText="1"/>
      <protection locked="0"/>
    </xf>
    <xf numFmtId="0" fontId="2" fillId="0" borderId="16" xfId="1" applyFont="1" applyBorder="1" applyAlignment="1" applyProtection="1">
      <alignment horizontal="center" vertical="center" wrapText="1"/>
      <protection locked="0"/>
    </xf>
    <xf numFmtId="167" fontId="2" fillId="0" borderId="8" xfId="1" applyNumberFormat="1" applyFont="1" applyBorder="1" applyAlignment="1" applyProtection="1">
      <alignment horizontal="center" vertical="center"/>
      <protection locked="0"/>
    </xf>
    <xf numFmtId="0" fontId="2" fillId="0" borderId="10" xfId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167" fontId="2" fillId="0" borderId="0" xfId="1" applyNumberFormat="1" applyFont="1" applyAlignment="1" applyProtection="1">
      <alignment horizontal="center" vertical="center"/>
      <protection locked="0"/>
    </xf>
    <xf numFmtId="0" fontId="3" fillId="6" borderId="17" xfId="1" applyFont="1" applyFill="1" applyBorder="1" applyAlignment="1" applyProtection="1">
      <alignment horizontal="center" vertical="center" wrapText="1"/>
      <protection locked="0"/>
    </xf>
    <xf numFmtId="0" fontId="3" fillId="6" borderId="13" xfId="1" applyFont="1" applyFill="1" applyBorder="1" applyAlignment="1" applyProtection="1">
      <alignment horizontal="center" vertical="center" wrapText="1"/>
      <protection locked="0"/>
    </xf>
    <xf numFmtId="0" fontId="3" fillId="0" borderId="14" xfId="1" applyFont="1" applyBorder="1" applyAlignment="1" applyProtection="1">
      <alignment horizontal="center" vertical="center" wrapText="1"/>
      <protection locked="0"/>
    </xf>
    <xf numFmtId="0" fontId="2" fillId="6" borderId="0" xfId="1" applyFont="1" applyFill="1" applyAlignment="1" applyProtection="1">
      <alignment horizontal="center" vertical="center"/>
      <protection locked="0"/>
    </xf>
    <xf numFmtId="0" fontId="3" fillId="0" borderId="17" xfId="1" applyFont="1" applyBorder="1" applyAlignment="1" applyProtection="1">
      <alignment horizontal="center" vertical="center" wrapText="1"/>
      <protection locked="0"/>
    </xf>
    <xf numFmtId="0" fontId="3" fillId="0" borderId="13" xfId="1" applyFont="1" applyBorder="1" applyAlignment="1" applyProtection="1">
      <alignment horizontal="center" vertical="center" wrapText="1"/>
      <protection locked="0"/>
    </xf>
    <xf numFmtId="0" fontId="2" fillId="0" borderId="7" xfId="1" applyFont="1" applyBorder="1" applyAlignment="1" applyProtection="1">
      <alignment horizontal="center" vertical="center" wrapText="1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167" fontId="2" fillId="0" borderId="9" xfId="1" applyNumberFormat="1" applyFont="1" applyBorder="1" applyAlignment="1" applyProtection="1">
      <alignment horizontal="center" vertical="center"/>
      <protection locked="0"/>
    </xf>
    <xf numFmtId="0" fontId="3" fillId="6" borderId="14" xfId="1" applyFont="1" applyFill="1" applyBorder="1" applyAlignment="1" applyProtection="1">
      <alignment horizontal="center" vertical="center"/>
      <protection locked="0"/>
    </xf>
    <xf numFmtId="167" fontId="2" fillId="0" borderId="7" xfId="1" applyNumberFormat="1" applyFont="1" applyBorder="1" applyAlignment="1" applyProtection="1">
      <alignment horizontal="center" vertical="center" wrapText="1"/>
      <protection locked="0"/>
    </xf>
    <xf numFmtId="167" fontId="2" fillId="0" borderId="9" xfId="1" applyNumberFormat="1" applyFont="1" applyBorder="1" applyAlignment="1" applyProtection="1">
      <alignment horizontal="center" vertical="center" wrapText="1"/>
      <protection locked="0"/>
    </xf>
    <xf numFmtId="167" fontId="2" fillId="0" borderId="0" xfId="1" applyNumberFormat="1" applyFont="1" applyAlignment="1" applyProtection="1">
      <alignment horizontal="center" vertical="center" wrapText="1"/>
      <protection locked="0"/>
    </xf>
    <xf numFmtId="0" fontId="3" fillId="0" borderId="10" xfId="1" applyFont="1" applyBorder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horizontal="center" vertical="center" wrapText="1"/>
      <protection locked="0"/>
    </xf>
    <xf numFmtId="167" fontId="3" fillId="0" borderId="0" xfId="1" applyNumberFormat="1" applyFont="1" applyAlignment="1" applyProtection="1">
      <alignment horizontal="center" vertical="center"/>
      <protection locked="0"/>
    </xf>
    <xf numFmtId="0" fontId="3" fillId="0" borderId="18" xfId="1" applyFont="1" applyBorder="1" applyAlignment="1" applyProtection="1">
      <alignment horizontal="center" vertical="center" wrapText="1"/>
      <protection locked="0"/>
    </xf>
    <xf numFmtId="0" fontId="3" fillId="0" borderId="19" xfId="1" applyFont="1" applyBorder="1" applyAlignment="1" applyProtection="1">
      <alignment horizontal="center" vertical="center" wrapText="1"/>
      <protection locked="0"/>
    </xf>
    <xf numFmtId="167" fontId="3" fillId="0" borderId="19" xfId="1" applyNumberFormat="1" applyFont="1" applyBorder="1" applyAlignment="1" applyProtection="1">
      <alignment horizontal="center" vertical="center"/>
      <protection locked="0"/>
    </xf>
    <xf numFmtId="3" fontId="3" fillId="6" borderId="17" xfId="1" applyNumberFormat="1" applyFont="1" applyFill="1" applyBorder="1" applyAlignment="1" applyProtection="1">
      <alignment horizontal="center" vertical="center" wrapText="1"/>
      <protection locked="0"/>
    </xf>
    <xf numFmtId="3" fontId="3" fillId="6" borderId="13" xfId="1" applyNumberFormat="1" applyFont="1" applyFill="1" applyBorder="1" applyAlignment="1" applyProtection="1">
      <alignment horizontal="center" vertical="center" wrapText="1"/>
      <protection locked="0"/>
    </xf>
    <xf numFmtId="3" fontId="3" fillId="0" borderId="17" xfId="1" applyNumberFormat="1" applyFont="1" applyBorder="1" applyAlignment="1" applyProtection="1">
      <alignment horizontal="center" vertical="center" wrapText="1"/>
      <protection locked="0"/>
    </xf>
    <xf numFmtId="3" fontId="3" fillId="0" borderId="13" xfId="1" applyNumberFormat="1" applyFont="1" applyBorder="1" applyAlignment="1" applyProtection="1">
      <alignment horizontal="center" vertical="center" wrapText="1"/>
      <protection locked="0"/>
    </xf>
    <xf numFmtId="3" fontId="3" fillId="0" borderId="11" xfId="1" applyNumberFormat="1" applyFont="1" applyBorder="1" applyAlignment="1" applyProtection="1">
      <alignment horizontal="center" vertical="center" wrapText="1"/>
      <protection locked="0"/>
    </xf>
    <xf numFmtId="3" fontId="3" fillId="0" borderId="12" xfId="1" applyNumberFormat="1" applyFont="1" applyBorder="1" applyAlignment="1" applyProtection="1">
      <alignment horizontal="center" vertical="center" wrapText="1"/>
      <protection locked="0"/>
    </xf>
    <xf numFmtId="0" fontId="3" fillId="0" borderId="20" xfId="1" applyFont="1" applyBorder="1" applyAlignment="1" applyProtection="1">
      <alignment horizontal="center" vertical="center"/>
      <protection locked="0"/>
    </xf>
    <xf numFmtId="167" fontId="2" fillId="0" borderId="17" xfId="1" applyNumberFormat="1" applyFont="1" applyBorder="1" applyAlignment="1" applyProtection="1">
      <alignment horizontal="center" vertical="center" wrapText="1"/>
      <protection locked="0"/>
    </xf>
    <xf numFmtId="167" fontId="2" fillId="0" borderId="13" xfId="1" applyNumberFormat="1" applyFont="1" applyBorder="1" applyAlignment="1" applyProtection="1">
      <alignment horizontal="center" vertical="center" wrapText="1"/>
      <protection locked="0"/>
    </xf>
    <xf numFmtId="167" fontId="2" fillId="0" borderId="13" xfId="1" applyNumberFormat="1" applyFont="1" applyBorder="1" applyAlignment="1" applyProtection="1">
      <alignment horizontal="center" vertical="center"/>
      <protection locked="0"/>
    </xf>
    <xf numFmtId="0" fontId="2" fillId="0" borderId="14" xfId="1" applyFont="1" applyBorder="1" applyAlignment="1" applyProtection="1">
      <alignment horizontal="center" vertical="center"/>
      <protection locked="0"/>
    </xf>
    <xf numFmtId="166" fontId="2" fillId="0" borderId="7" xfId="1" applyNumberFormat="1" applyFont="1" applyBorder="1" applyAlignment="1" applyProtection="1">
      <alignment horizontal="center" vertical="center"/>
      <protection locked="0"/>
    </xf>
    <xf numFmtId="166" fontId="2" fillId="0" borderId="21" xfId="1" applyNumberFormat="1" applyFont="1" applyBorder="1" applyAlignment="1" applyProtection="1">
      <alignment horizontal="center" vertical="center"/>
      <protection locked="0"/>
    </xf>
    <xf numFmtId="166" fontId="2" fillId="0" borderId="22" xfId="1" applyNumberFormat="1" applyFont="1" applyBorder="1" applyAlignment="1" applyProtection="1">
      <alignment horizontal="center" vertical="center"/>
      <protection locked="0"/>
    </xf>
    <xf numFmtId="49" fontId="2" fillId="0" borderId="23" xfId="1" applyNumberFormat="1" applyFont="1" applyBorder="1" applyAlignment="1" applyProtection="1">
      <alignment horizontal="center" vertical="center"/>
      <protection locked="0"/>
    </xf>
    <xf numFmtId="167" fontId="2" fillId="0" borderId="23" xfId="1" applyNumberFormat="1" applyFont="1" applyBorder="1" applyAlignment="1" applyProtection="1">
      <alignment horizontal="center" vertical="center"/>
      <protection locked="0"/>
    </xf>
    <xf numFmtId="0" fontId="2" fillId="0" borderId="24" xfId="1" applyFont="1" applyBorder="1" applyAlignment="1" applyProtection="1">
      <alignment horizontal="center" vertical="center"/>
      <protection locked="0"/>
    </xf>
    <xf numFmtId="0" fontId="3" fillId="6" borderId="18" xfId="1" applyFont="1" applyFill="1" applyBorder="1" applyAlignment="1" applyProtection="1">
      <alignment horizontal="center" vertical="center" wrapText="1"/>
      <protection locked="0"/>
    </xf>
    <xf numFmtId="0" fontId="3" fillId="6" borderId="19" xfId="1" applyFont="1" applyFill="1" applyBorder="1" applyAlignment="1" applyProtection="1">
      <alignment horizontal="center" vertical="center" wrapText="1"/>
      <protection locked="0"/>
    </xf>
    <xf numFmtId="167" fontId="3" fillId="6" borderId="19" xfId="1" applyNumberFormat="1" applyFont="1" applyFill="1" applyBorder="1" applyAlignment="1" applyProtection="1">
      <alignment horizontal="center" vertical="center"/>
      <protection locked="0"/>
    </xf>
    <xf numFmtId="0" fontId="3" fillId="6" borderId="14" xfId="1" applyFont="1" applyFill="1" applyBorder="1" applyAlignment="1" applyProtection="1">
      <alignment horizontal="center" vertical="center" wrapText="1"/>
      <protection locked="0"/>
    </xf>
    <xf numFmtId="0" fontId="3" fillId="6" borderId="7" xfId="1" applyFont="1" applyFill="1" applyBorder="1" applyAlignment="1" applyProtection="1">
      <alignment horizontal="center" vertical="center" wrapText="1"/>
      <protection locked="0"/>
    </xf>
    <xf numFmtId="0" fontId="3" fillId="6" borderId="9" xfId="1" applyFont="1" applyFill="1" applyBorder="1" applyAlignment="1" applyProtection="1">
      <alignment horizontal="center" vertical="center" wrapText="1"/>
      <protection locked="0"/>
    </xf>
    <xf numFmtId="167" fontId="3" fillId="6" borderId="9" xfId="1" applyNumberFormat="1" applyFont="1" applyFill="1" applyBorder="1" applyAlignment="1" applyProtection="1">
      <alignment horizontal="center" vertical="center"/>
      <protection locked="0"/>
    </xf>
    <xf numFmtId="0" fontId="3" fillId="6" borderId="25" xfId="1" applyFont="1" applyFill="1" applyBorder="1" applyAlignment="1" applyProtection="1">
      <alignment horizontal="center" vertical="center"/>
      <protection locked="0"/>
    </xf>
    <xf numFmtId="1" fontId="3" fillId="6" borderId="17" xfId="1" applyNumberFormat="1" applyFont="1" applyFill="1" applyBorder="1" applyAlignment="1" applyProtection="1">
      <alignment horizontal="center" vertical="center" wrapText="1"/>
      <protection locked="0"/>
    </xf>
    <xf numFmtId="167" fontId="3" fillId="0" borderId="7" xfId="1" applyNumberFormat="1" applyFont="1" applyBorder="1" applyAlignment="1" applyProtection="1">
      <alignment horizontal="center" vertical="center" wrapText="1"/>
      <protection locked="0"/>
    </xf>
    <xf numFmtId="167" fontId="3" fillId="0" borderId="9" xfId="1" applyNumberFormat="1" applyFont="1" applyBorder="1" applyAlignment="1" applyProtection="1">
      <alignment horizontal="center" vertical="center" wrapText="1"/>
      <protection locked="0"/>
    </xf>
    <xf numFmtId="168" fontId="3" fillId="6" borderId="13" xfId="1" applyNumberFormat="1" applyFont="1" applyFill="1" applyBorder="1" applyAlignment="1" applyProtection="1">
      <alignment horizontal="center" vertical="center"/>
      <protection locked="0"/>
    </xf>
    <xf numFmtId="1" fontId="3" fillId="6" borderId="13" xfId="1" applyNumberFormat="1" applyFont="1" applyFill="1" applyBorder="1" applyAlignment="1" applyProtection="1">
      <alignment horizontal="center" vertical="center" wrapText="1"/>
      <protection locked="0"/>
    </xf>
    <xf numFmtId="168" fontId="2" fillId="0" borderId="9" xfId="1" applyNumberFormat="1" applyFont="1" applyBorder="1" applyAlignment="1" applyProtection="1">
      <alignment horizontal="center" vertical="center"/>
      <protection locked="0"/>
    </xf>
    <xf numFmtId="2" fontId="3" fillId="6" borderId="13" xfId="1" applyNumberFormat="1" applyFont="1" applyFill="1" applyBorder="1" applyAlignment="1" applyProtection="1">
      <alignment horizontal="center" vertical="center"/>
      <protection locked="0"/>
    </xf>
    <xf numFmtId="1" fontId="3" fillId="6" borderId="18" xfId="1" applyNumberFormat="1" applyFont="1" applyFill="1" applyBorder="1" applyAlignment="1" applyProtection="1">
      <alignment horizontal="center" vertical="center" wrapText="1"/>
      <protection locked="0"/>
    </xf>
    <xf numFmtId="2" fontId="3" fillId="6" borderId="19" xfId="1" applyNumberFormat="1" applyFont="1" applyFill="1" applyBorder="1" applyAlignment="1" applyProtection="1">
      <alignment horizontal="center" vertical="center"/>
      <protection locked="0"/>
    </xf>
    <xf numFmtId="0" fontId="3" fillId="6" borderId="25" xfId="1" applyFont="1" applyFill="1" applyBorder="1" applyAlignment="1" applyProtection="1">
      <alignment horizontal="center" vertical="center" wrapText="1"/>
      <protection locked="0"/>
    </xf>
    <xf numFmtId="1" fontId="3" fillId="6" borderId="7" xfId="1" applyNumberFormat="1" applyFont="1" applyFill="1" applyBorder="1" applyAlignment="1" applyProtection="1">
      <alignment horizontal="center" vertical="center" wrapText="1"/>
      <protection locked="0"/>
    </xf>
    <xf numFmtId="2" fontId="3" fillId="6" borderId="9" xfId="1" applyNumberFormat="1" applyFont="1" applyFill="1" applyBorder="1" applyAlignment="1" applyProtection="1">
      <alignment horizontal="center" vertical="center"/>
      <protection locked="0"/>
    </xf>
    <xf numFmtId="0" fontId="3" fillId="6" borderId="10" xfId="1" applyFont="1" applyFill="1" applyBorder="1" applyAlignment="1" applyProtection="1">
      <alignment horizontal="center" vertical="center" wrapText="1"/>
      <protection locked="0"/>
    </xf>
    <xf numFmtId="167" fontId="2" fillId="0" borderId="11" xfId="1" applyNumberFormat="1" applyFont="1" applyBorder="1" applyAlignment="1" applyProtection="1">
      <alignment horizontal="center" vertical="center" wrapText="1"/>
      <protection locked="0"/>
    </xf>
    <xf numFmtId="167" fontId="2" fillId="0" borderId="26" xfId="1" applyNumberFormat="1" applyFont="1" applyBorder="1" applyAlignment="1" applyProtection="1">
      <alignment horizontal="center" vertical="center" wrapText="1"/>
      <protection locked="0"/>
    </xf>
    <xf numFmtId="167" fontId="2" fillId="0" borderId="12" xfId="1" applyNumberFormat="1" applyFont="1" applyBorder="1" applyAlignment="1" applyProtection="1">
      <alignment horizontal="center" vertical="center"/>
      <protection locked="0"/>
    </xf>
    <xf numFmtId="0" fontId="3" fillId="0" borderId="11" xfId="1" applyFont="1" applyBorder="1" applyAlignment="1" applyProtection="1">
      <alignment horizontal="center" vertical="center" wrapText="1"/>
      <protection locked="0"/>
    </xf>
    <xf numFmtId="0" fontId="3" fillId="0" borderId="26" xfId="1" applyFont="1" applyBorder="1" applyAlignment="1" applyProtection="1">
      <alignment horizontal="center" vertical="center" wrapText="1"/>
      <protection locked="0"/>
    </xf>
    <xf numFmtId="0" fontId="2" fillId="7" borderId="22" xfId="1" applyFont="1" applyFill="1" applyBorder="1" applyAlignment="1" applyProtection="1">
      <alignment horizontal="left" vertical="center" wrapText="1"/>
      <protection locked="0"/>
    </xf>
    <xf numFmtId="0" fontId="2" fillId="7" borderId="27" xfId="1" applyFont="1" applyFill="1" applyBorder="1" applyAlignment="1" applyProtection="1">
      <alignment horizontal="left" vertical="center" wrapText="1"/>
      <protection locked="0"/>
    </xf>
    <xf numFmtId="167" fontId="2" fillId="7" borderId="23" xfId="1" applyNumberFormat="1" applyFont="1" applyFill="1" applyBorder="1" applyAlignment="1" applyProtection="1">
      <alignment horizontal="center" vertical="center"/>
      <protection locked="0"/>
    </xf>
    <xf numFmtId="0" fontId="2" fillId="7" borderId="28" xfId="1" applyFont="1" applyFill="1" applyBorder="1" applyAlignment="1" applyProtection="1">
      <alignment horizontal="center" vertical="center"/>
      <protection locked="0"/>
    </xf>
    <xf numFmtId="0" fontId="2" fillId="0" borderId="22" xfId="1" applyFont="1" applyBorder="1" applyAlignment="1" applyProtection="1">
      <alignment horizontal="center" vertical="center" wrapText="1"/>
      <protection locked="0"/>
    </xf>
    <xf numFmtId="49" fontId="2" fillId="0" borderId="23" xfId="1" applyNumberFormat="1" applyFont="1" applyBorder="1" applyAlignment="1" applyProtection="1">
      <alignment horizontal="center" vertical="center" wrapText="1"/>
      <protection locked="0"/>
    </xf>
    <xf numFmtId="0" fontId="3" fillId="0" borderId="23" xfId="1" applyFont="1" applyBorder="1" applyAlignment="1" applyProtection="1">
      <alignment horizontal="center" vertical="center"/>
      <protection locked="0"/>
    </xf>
    <xf numFmtId="0" fontId="3" fillId="0" borderId="24" xfId="1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/>
    <xf numFmtId="166" fontId="3" fillId="0" borderId="0" xfId="1" applyNumberFormat="1" applyFont="1" applyAlignment="1" applyProtection="1">
      <alignment horizontal="center" vertical="center"/>
      <protection locked="0"/>
    </xf>
    <xf numFmtId="165" fontId="3" fillId="0" borderId="0" xfId="2" applyFont="1" applyAlignment="1" applyProtection="1">
      <alignment horizontal="center" vertical="center"/>
      <protection locked="0"/>
    </xf>
    <xf numFmtId="0" fontId="2" fillId="0" borderId="19" xfId="1" applyFont="1" applyBorder="1" applyAlignment="1" applyProtection="1">
      <alignment horizontal="center" vertical="center" wrapText="1"/>
      <protection locked="0"/>
    </xf>
    <xf numFmtId="0" fontId="2" fillId="0" borderId="19" xfId="1" applyFont="1" applyBorder="1" applyAlignment="1" applyProtection="1">
      <alignment horizontal="center" vertical="center"/>
      <protection locked="0"/>
    </xf>
    <xf numFmtId="0" fontId="2" fillId="0" borderId="29" xfId="1" applyFont="1" applyBorder="1" applyAlignment="1" applyProtection="1">
      <alignment horizontal="center" vertical="center" wrapText="1"/>
      <protection locked="0"/>
    </xf>
    <xf numFmtId="0" fontId="2" fillId="0" borderId="29" xfId="1" applyFont="1" applyBorder="1" applyAlignment="1" applyProtection="1">
      <alignment horizontal="center" vertical="center"/>
      <protection locked="0"/>
    </xf>
    <xf numFmtId="0" fontId="2" fillId="0" borderId="12" xfId="1" applyFont="1" applyBorder="1" applyAlignment="1" applyProtection="1">
      <alignment horizontal="center" vertical="center"/>
      <protection locked="0"/>
    </xf>
    <xf numFmtId="0" fontId="2" fillId="0" borderId="13" xfId="1" applyFont="1" applyBorder="1" applyAlignment="1" applyProtection="1">
      <alignment horizontal="center" vertical="center"/>
      <protection locked="0"/>
    </xf>
    <xf numFmtId="0" fontId="3" fillId="0" borderId="13" xfId="1" applyFont="1" applyBorder="1" applyAlignment="1" applyProtection="1">
      <alignment horizontal="center" vertical="center"/>
      <protection locked="0"/>
    </xf>
    <xf numFmtId="167" fontId="3" fillId="0" borderId="26" xfId="1" applyNumberFormat="1" applyFont="1" applyBorder="1" applyAlignment="1" applyProtection="1">
      <alignment horizontal="center" vertical="center" wrapText="1"/>
      <protection locked="0"/>
    </xf>
    <xf numFmtId="0" fontId="2" fillId="0" borderId="26" xfId="1" applyFont="1" applyBorder="1" applyAlignment="1" applyProtection="1">
      <alignment horizontal="center" vertical="center" wrapText="1"/>
      <protection locked="0"/>
    </xf>
    <xf numFmtId="0" fontId="3" fillId="6" borderId="13" xfId="1" applyFont="1" applyFill="1" applyBorder="1" applyAlignment="1" applyProtection="1">
      <alignment horizontal="center" vertical="center"/>
      <protection locked="0"/>
    </xf>
    <xf numFmtId="0" fontId="3" fillId="3" borderId="13" xfId="1" applyFont="1" applyFill="1" applyBorder="1" applyAlignment="1" applyProtection="1">
      <alignment horizontal="center" vertical="center" wrapText="1"/>
      <protection locked="0"/>
    </xf>
    <xf numFmtId="0" fontId="3" fillId="3" borderId="19" xfId="1" applyFont="1" applyFill="1" applyBorder="1" applyAlignment="1" applyProtection="1">
      <alignment horizontal="center" vertical="center" wrapText="1"/>
      <protection locked="0"/>
    </xf>
    <xf numFmtId="0" fontId="3" fillId="0" borderId="19" xfId="1" applyFont="1" applyBorder="1" applyAlignment="1" applyProtection="1">
      <alignment horizontal="center" vertical="center"/>
      <protection locked="0"/>
    </xf>
    <xf numFmtId="167" fontId="3" fillId="6" borderId="13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12" xfId="1" applyFont="1" applyBorder="1" applyAlignment="1" applyProtection="1">
      <alignment horizontal="center" vertical="center"/>
      <protection locked="0"/>
    </xf>
    <xf numFmtId="0" fontId="3" fillId="0" borderId="12" xfId="1" applyFont="1" applyBorder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166" fontId="8" fillId="0" borderId="0" xfId="1" applyNumberFormat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166" fontId="9" fillId="0" borderId="0" xfId="1" applyNumberFormat="1" applyFont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left" vertical="center"/>
      <protection locked="0"/>
    </xf>
    <xf numFmtId="166" fontId="8" fillId="0" borderId="33" xfId="1" applyNumberFormat="1" applyFont="1" applyBorder="1" applyAlignment="1" applyProtection="1">
      <alignment horizontal="center" vertical="center"/>
      <protection locked="0"/>
    </xf>
    <xf numFmtId="0" fontId="9" fillId="0" borderId="33" xfId="1" applyFont="1" applyBorder="1" applyAlignment="1" applyProtection="1">
      <alignment horizontal="center" vertical="center" wrapText="1"/>
      <protection locked="0"/>
    </xf>
    <xf numFmtId="165" fontId="9" fillId="0" borderId="33" xfId="2" applyFont="1" applyFill="1" applyBorder="1" applyAlignment="1" applyProtection="1">
      <alignment horizontal="center" vertical="center"/>
      <protection locked="0"/>
    </xf>
    <xf numFmtId="0" fontId="9" fillId="0" borderId="33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167" fontId="8" fillId="0" borderId="0" xfId="1" applyNumberFormat="1" applyFont="1" applyAlignment="1" applyProtection="1">
      <alignment horizontal="center" vertical="center"/>
      <protection locked="0"/>
    </xf>
    <xf numFmtId="165" fontId="8" fillId="9" borderId="19" xfId="2" applyFont="1" applyFill="1" applyBorder="1" applyAlignment="1" applyProtection="1">
      <alignment horizontal="center" vertical="center"/>
      <protection locked="0"/>
    </xf>
    <xf numFmtId="166" fontId="9" fillId="0" borderId="3" xfId="1" applyNumberFormat="1" applyFont="1" applyBorder="1" applyAlignment="1" applyProtection="1">
      <alignment horizontal="center" vertical="center"/>
      <protection locked="0"/>
    </xf>
    <xf numFmtId="167" fontId="9" fillId="0" borderId="5" xfId="1" applyNumberFormat="1" applyFont="1" applyBorder="1" applyAlignment="1" applyProtection="1">
      <alignment horizontal="center" vertical="center" wrapText="1"/>
      <protection locked="0"/>
    </xf>
    <xf numFmtId="167" fontId="9" fillId="0" borderId="5" xfId="1" applyNumberFormat="1" applyFont="1" applyBorder="1" applyAlignment="1" applyProtection="1">
      <alignment horizontal="center" vertical="center"/>
      <protection locked="0"/>
    </xf>
    <xf numFmtId="0" fontId="9" fillId="0" borderId="5" xfId="1" applyFont="1" applyBorder="1" applyAlignment="1" applyProtection="1">
      <alignment horizontal="center" vertical="center"/>
      <protection locked="0"/>
    </xf>
    <xf numFmtId="0" fontId="9" fillId="0" borderId="5" xfId="1" applyFont="1" applyBorder="1" applyAlignment="1" applyProtection="1">
      <alignment horizontal="center" vertical="center" wrapText="1"/>
      <protection locked="0"/>
    </xf>
    <xf numFmtId="0" fontId="9" fillId="0" borderId="6" xfId="1" applyFont="1" applyBorder="1" applyAlignment="1" applyProtection="1">
      <alignment horizontal="center" vertical="center" wrapText="1"/>
      <protection locked="0"/>
    </xf>
    <xf numFmtId="167" fontId="9" fillId="0" borderId="0" xfId="1" applyNumberFormat="1" applyFont="1" applyAlignment="1" applyProtection="1">
      <alignment horizontal="center" vertical="center" wrapText="1"/>
      <protection locked="0"/>
    </xf>
    <xf numFmtId="166" fontId="9" fillId="0" borderId="17" xfId="1" applyNumberFormat="1" applyFont="1" applyBorder="1" applyAlignment="1" applyProtection="1">
      <alignment horizontal="center" vertical="center"/>
      <protection locked="0"/>
    </xf>
    <xf numFmtId="167" fontId="9" fillId="0" borderId="13" xfId="1" applyNumberFormat="1" applyFont="1" applyBorder="1" applyAlignment="1" applyProtection="1">
      <alignment horizontal="center" vertical="center" wrapText="1"/>
      <protection locked="0"/>
    </xf>
    <xf numFmtId="167" fontId="9" fillId="0" borderId="13" xfId="1" applyNumberFormat="1" applyFont="1" applyBorder="1" applyAlignment="1" applyProtection="1">
      <alignment horizontal="center" vertical="center"/>
      <protection locked="0"/>
    </xf>
    <xf numFmtId="0" fontId="9" fillId="0" borderId="13" xfId="1" applyFont="1" applyBorder="1" applyAlignment="1" applyProtection="1">
      <alignment horizontal="center" vertical="center" wrapText="1"/>
      <protection locked="0"/>
    </xf>
    <xf numFmtId="0" fontId="9" fillId="0" borderId="14" xfId="1" applyFont="1" applyBorder="1" applyAlignment="1" applyProtection="1">
      <alignment horizontal="center" vertical="center" wrapText="1"/>
      <protection locked="0"/>
    </xf>
    <xf numFmtId="167" fontId="9" fillId="0" borderId="0" xfId="1" applyNumberFormat="1" applyFont="1" applyAlignment="1" applyProtection="1">
      <alignment horizontal="center" vertical="center"/>
      <protection locked="0"/>
    </xf>
    <xf numFmtId="0" fontId="9" fillId="0" borderId="13" xfId="1" applyFont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right" vertical="center"/>
      <protection locked="0"/>
    </xf>
    <xf numFmtId="4" fontId="9" fillId="0" borderId="0" xfId="1" applyNumberFormat="1" applyFont="1" applyAlignment="1" applyProtection="1">
      <alignment horizontal="center" vertical="center"/>
      <protection locked="0"/>
    </xf>
    <xf numFmtId="0" fontId="8" fillId="10" borderId="0" xfId="1" applyFont="1" applyFill="1" applyAlignment="1" applyProtection="1">
      <alignment horizontal="center" vertical="center"/>
      <protection locked="0"/>
    </xf>
    <xf numFmtId="166" fontId="8" fillId="10" borderId="7" xfId="1" applyNumberFormat="1" applyFont="1" applyFill="1" applyBorder="1" applyAlignment="1" applyProtection="1">
      <alignment horizontal="center" vertical="center"/>
      <protection locked="0"/>
    </xf>
    <xf numFmtId="0" fontId="8" fillId="10" borderId="9" xfId="1" applyFont="1" applyFill="1" applyBorder="1" applyAlignment="1" applyProtection="1">
      <alignment horizontal="center" vertical="center" wrapText="1"/>
      <protection locked="0"/>
    </xf>
    <xf numFmtId="167" fontId="8" fillId="10" borderId="9" xfId="1" applyNumberFormat="1" applyFont="1" applyFill="1" applyBorder="1" applyAlignment="1" applyProtection="1">
      <alignment horizontal="center" vertical="center"/>
      <protection locked="0"/>
    </xf>
    <xf numFmtId="0" fontId="8" fillId="10" borderId="9" xfId="1" applyFont="1" applyFill="1" applyBorder="1" applyAlignment="1" applyProtection="1">
      <alignment horizontal="center" vertical="center"/>
      <protection locked="0"/>
    </xf>
    <xf numFmtId="0" fontId="8" fillId="10" borderId="10" xfId="1" applyFont="1" applyFill="1" applyBorder="1" applyAlignment="1" applyProtection="1">
      <alignment horizontal="center" vertical="center" wrapText="1"/>
      <protection locked="0"/>
    </xf>
    <xf numFmtId="0" fontId="8" fillId="10" borderId="0" xfId="1" applyFont="1" applyFill="1" applyAlignment="1" applyProtection="1">
      <alignment horizontal="center" vertical="center" wrapText="1"/>
      <protection locked="0"/>
    </xf>
    <xf numFmtId="0" fontId="8" fillId="10" borderId="0" xfId="1" applyFont="1" applyFill="1" applyAlignment="1" applyProtection="1">
      <alignment horizontal="left" vertical="center"/>
      <protection locked="0"/>
    </xf>
    <xf numFmtId="167" fontId="8" fillId="10" borderId="0" xfId="1" applyNumberFormat="1" applyFont="1" applyFill="1" applyAlignment="1" applyProtection="1">
      <alignment horizontal="center" vertical="center"/>
      <protection locked="0"/>
    </xf>
    <xf numFmtId="166" fontId="8" fillId="0" borderId="2" xfId="1" applyNumberFormat="1" applyFont="1" applyBorder="1" applyAlignment="1" applyProtection="1">
      <alignment horizontal="center" vertical="center"/>
      <protection locked="0"/>
    </xf>
    <xf numFmtId="0" fontId="8" fillId="0" borderId="2" xfId="1" applyFont="1" applyBorder="1" applyAlignment="1" applyProtection="1">
      <alignment horizontal="center" vertical="center" wrapText="1"/>
      <protection locked="0"/>
    </xf>
    <xf numFmtId="167" fontId="8" fillId="0" borderId="2" xfId="1" applyNumberFormat="1" applyFont="1" applyBorder="1" applyAlignment="1" applyProtection="1">
      <alignment horizontal="center" vertical="center"/>
      <protection locked="0"/>
    </xf>
    <xf numFmtId="0" fontId="8" fillId="0" borderId="2" xfId="1" applyFont="1" applyBorder="1" applyAlignment="1" applyProtection="1">
      <alignment horizontal="center" vertical="center"/>
      <protection locked="0"/>
    </xf>
    <xf numFmtId="167" fontId="8" fillId="0" borderId="33" xfId="1" applyNumberFormat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166" fontId="8" fillId="0" borderId="42" xfId="1" applyNumberFormat="1" applyFont="1" applyBorder="1" applyAlignment="1" applyProtection="1">
      <alignment horizontal="center" vertical="center"/>
      <protection locked="0"/>
    </xf>
    <xf numFmtId="0" fontId="9" fillId="0" borderId="42" xfId="1" applyFont="1" applyBorder="1" applyAlignment="1" applyProtection="1">
      <alignment horizontal="center" vertical="center" wrapText="1"/>
      <protection locked="0"/>
    </xf>
    <xf numFmtId="165" fontId="9" fillId="0" borderId="42" xfId="2" applyFont="1" applyFill="1" applyBorder="1" applyAlignment="1" applyProtection="1">
      <alignment horizontal="center" vertical="center"/>
      <protection locked="0"/>
    </xf>
    <xf numFmtId="0" fontId="9" fillId="0" borderId="42" xfId="1" applyFont="1" applyBorder="1" applyAlignment="1" applyProtection="1">
      <alignment horizontal="center" vertical="center"/>
      <protection locked="0"/>
    </xf>
    <xf numFmtId="0" fontId="8" fillId="0" borderId="42" xfId="1" applyFont="1" applyBorder="1" applyAlignment="1" applyProtection="1">
      <alignment horizontal="center" vertical="center" wrapText="1"/>
      <protection locked="0"/>
    </xf>
    <xf numFmtId="2" fontId="8" fillId="0" borderId="0" xfId="1" applyNumberFormat="1" applyFont="1" applyAlignment="1" applyProtection="1">
      <alignment horizontal="center" vertical="center"/>
      <protection locked="0"/>
    </xf>
    <xf numFmtId="165" fontId="8" fillId="9" borderId="5" xfId="2" applyFont="1" applyFill="1" applyBorder="1" applyAlignment="1" applyProtection="1">
      <alignment horizontal="center" vertical="center" wrapText="1"/>
      <protection locked="0"/>
    </xf>
    <xf numFmtId="165" fontId="8" fillId="9" borderId="19" xfId="2" applyFont="1" applyFill="1" applyBorder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right" vertical="center"/>
      <protection locked="0"/>
    </xf>
    <xf numFmtId="167" fontId="9" fillId="10" borderId="0" xfId="1" applyNumberFormat="1" applyFont="1" applyFill="1" applyAlignment="1" applyProtection="1">
      <alignment horizontal="center" vertical="center" wrapText="1"/>
      <protection locked="0"/>
    </xf>
    <xf numFmtId="165" fontId="8" fillId="9" borderId="9" xfId="2" applyFont="1" applyFill="1" applyBorder="1" applyAlignment="1" applyProtection="1">
      <alignment horizontal="center" vertical="center" wrapText="1"/>
      <protection locked="0"/>
    </xf>
    <xf numFmtId="165" fontId="8" fillId="9" borderId="9" xfId="2" applyFont="1" applyFill="1" applyBorder="1" applyAlignment="1" applyProtection="1">
      <alignment horizontal="center" vertical="center"/>
      <protection locked="0"/>
    </xf>
    <xf numFmtId="166" fontId="9" fillId="0" borderId="11" xfId="1" applyNumberFormat="1" applyFont="1" applyBorder="1" applyAlignment="1" applyProtection="1">
      <alignment horizontal="center" vertical="center"/>
      <protection locked="0"/>
    </xf>
    <xf numFmtId="0" fontId="9" fillId="0" borderId="12" xfId="1" applyFont="1" applyBorder="1" applyAlignment="1" applyProtection="1">
      <alignment horizontal="center" vertical="center" wrapText="1"/>
      <protection locked="0"/>
    </xf>
    <xf numFmtId="167" fontId="9" fillId="0" borderId="12" xfId="1" applyNumberFormat="1" applyFont="1" applyBorder="1" applyAlignment="1" applyProtection="1">
      <alignment horizontal="center" vertical="center"/>
      <protection locked="0"/>
    </xf>
    <xf numFmtId="4" fontId="9" fillId="0" borderId="12" xfId="1" applyNumberFormat="1" applyFont="1" applyBorder="1" applyAlignment="1" applyProtection="1">
      <alignment horizontal="center" vertical="center"/>
      <protection locked="0"/>
    </xf>
    <xf numFmtId="0" fontId="9" fillId="0" borderId="12" xfId="1" applyFont="1" applyBorder="1" applyAlignment="1" applyProtection="1">
      <alignment horizontal="center" vertical="center"/>
      <protection locked="0"/>
    </xf>
    <xf numFmtId="0" fontId="9" fillId="0" borderId="20" xfId="1" applyFont="1" applyBorder="1" applyAlignment="1" applyProtection="1">
      <alignment horizontal="center" vertical="center" wrapText="1"/>
      <protection locked="0"/>
    </xf>
    <xf numFmtId="4" fontId="9" fillId="0" borderId="13" xfId="1" applyNumberFormat="1" applyFont="1" applyBorder="1" applyAlignment="1" applyProtection="1">
      <alignment horizontal="center" vertical="center"/>
      <protection locked="0"/>
    </xf>
    <xf numFmtId="167" fontId="8" fillId="10" borderId="9" xfId="1" applyNumberFormat="1" applyFont="1" applyFill="1" applyBorder="1" applyAlignment="1" applyProtection="1">
      <alignment horizontal="center" vertical="center" wrapText="1"/>
      <protection locked="0"/>
    </xf>
    <xf numFmtId="167" fontId="8" fillId="0" borderId="42" xfId="1" applyNumberFormat="1" applyFont="1" applyBorder="1" applyAlignment="1" applyProtection="1">
      <alignment horizontal="center" vertical="center" wrapText="1"/>
      <protection locked="0"/>
    </xf>
    <xf numFmtId="167" fontId="8" fillId="0" borderId="42" xfId="1" applyNumberFormat="1" applyFont="1" applyBorder="1" applyAlignment="1" applyProtection="1">
      <alignment horizontal="center" vertical="center"/>
      <protection locked="0"/>
    </xf>
    <xf numFmtId="0" fontId="8" fillId="0" borderId="42" xfId="1" applyFont="1" applyBorder="1" applyAlignment="1" applyProtection="1">
      <alignment horizontal="center" vertical="center"/>
      <protection locked="0"/>
    </xf>
    <xf numFmtId="166" fontId="9" fillId="0" borderId="3" xfId="1" applyNumberFormat="1" applyFont="1" applyBorder="1" applyAlignment="1" applyProtection="1">
      <alignment horizontal="center" vertical="center" wrapText="1"/>
      <protection locked="0"/>
    </xf>
    <xf numFmtId="4" fontId="9" fillId="0" borderId="5" xfId="1" applyNumberFormat="1" applyFont="1" applyBorder="1" applyAlignment="1" applyProtection="1">
      <alignment horizontal="center" vertical="center" wrapText="1"/>
      <protection locked="0"/>
    </xf>
    <xf numFmtId="4" fontId="9" fillId="0" borderId="0" xfId="1" applyNumberFormat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left" vertical="center" wrapText="1"/>
      <protection locked="0"/>
    </xf>
    <xf numFmtId="0" fontId="9" fillId="10" borderId="9" xfId="1" applyFont="1" applyFill="1" applyBorder="1" applyAlignment="1" applyProtection="1">
      <alignment horizontal="center" vertical="center"/>
      <protection locked="0"/>
    </xf>
    <xf numFmtId="0" fontId="9" fillId="10" borderId="9" xfId="1" applyFont="1" applyFill="1" applyBorder="1" applyAlignment="1" applyProtection="1">
      <alignment horizontal="center" vertical="center" wrapText="1"/>
      <protection locked="0"/>
    </xf>
    <xf numFmtId="0" fontId="9" fillId="10" borderId="10" xfId="1" applyFont="1" applyFill="1" applyBorder="1" applyAlignment="1" applyProtection="1">
      <alignment horizontal="center" vertical="center" wrapText="1"/>
      <protection locked="0"/>
    </xf>
    <xf numFmtId="0" fontId="9" fillId="10" borderId="0" xfId="1" applyFont="1" applyFill="1" applyAlignment="1" applyProtection="1">
      <alignment horizontal="center" vertical="center" wrapText="1"/>
      <protection locked="0"/>
    </xf>
    <xf numFmtId="4" fontId="9" fillId="10" borderId="0" xfId="1" applyNumberFormat="1" applyFont="1" applyFill="1" applyAlignment="1" applyProtection="1">
      <alignment horizontal="center" vertical="center" wrapText="1"/>
      <protection locked="0"/>
    </xf>
    <xf numFmtId="166" fontId="9" fillId="0" borderId="42" xfId="1" applyNumberFormat="1" applyFont="1" applyBorder="1" applyAlignment="1" applyProtection="1">
      <alignment horizontal="center" vertical="center"/>
      <protection locked="0"/>
    </xf>
    <xf numFmtId="167" fontId="9" fillId="0" borderId="42" xfId="1" applyNumberFormat="1" applyFont="1" applyBorder="1" applyAlignment="1" applyProtection="1">
      <alignment horizontal="center" vertical="center" wrapText="1"/>
      <protection locked="0"/>
    </xf>
    <xf numFmtId="167" fontId="9" fillId="0" borderId="42" xfId="1" applyNumberFormat="1" applyFont="1" applyBorder="1" applyAlignment="1" applyProtection="1">
      <alignment horizontal="center" vertical="center"/>
      <protection locked="0"/>
    </xf>
    <xf numFmtId="167" fontId="8" fillId="10" borderId="0" xfId="1" applyNumberFormat="1" applyFont="1" applyFill="1" applyAlignment="1" applyProtection="1">
      <alignment horizontal="center" vertical="center" wrapText="1"/>
      <protection locked="0"/>
    </xf>
    <xf numFmtId="167" fontId="8" fillId="0" borderId="2" xfId="1" applyNumberFormat="1" applyFont="1" applyBorder="1" applyAlignment="1" applyProtection="1">
      <alignment horizontal="center" vertical="center" wrapText="1"/>
      <protection locked="0"/>
    </xf>
    <xf numFmtId="167" fontId="8" fillId="0" borderId="0" xfId="1" applyNumberFormat="1" applyFont="1" applyAlignment="1" applyProtection="1">
      <alignment horizontal="center" vertical="center" wrapText="1"/>
      <protection locked="0"/>
    </xf>
    <xf numFmtId="3" fontId="9" fillId="0" borderId="5" xfId="1" applyNumberFormat="1" applyFont="1" applyBorder="1" applyAlignment="1" applyProtection="1">
      <alignment horizontal="center" vertical="center" wrapText="1"/>
      <protection locked="0"/>
    </xf>
    <xf numFmtId="3" fontId="9" fillId="0" borderId="13" xfId="1" applyNumberFormat="1" applyFont="1" applyBorder="1" applyAlignment="1" applyProtection="1">
      <alignment horizontal="center" vertical="center" wrapText="1"/>
      <protection locked="0"/>
    </xf>
    <xf numFmtId="165" fontId="8" fillId="0" borderId="13" xfId="2" applyFont="1" applyFill="1" applyBorder="1" applyAlignment="1" applyProtection="1">
      <alignment horizontal="center" vertical="center" wrapText="1"/>
      <protection locked="0"/>
    </xf>
    <xf numFmtId="165" fontId="8" fillId="0" borderId="13" xfId="2" applyFont="1" applyFill="1" applyBorder="1" applyAlignment="1" applyProtection="1">
      <alignment horizontal="center" vertical="center"/>
      <protection locked="0"/>
    </xf>
    <xf numFmtId="166" fontId="8" fillId="10" borderId="2" xfId="1" applyNumberFormat="1" applyFont="1" applyFill="1" applyBorder="1" applyAlignment="1" applyProtection="1">
      <alignment horizontal="center" vertical="center"/>
      <protection locked="0"/>
    </xf>
    <xf numFmtId="167" fontId="8" fillId="10" borderId="2" xfId="1" applyNumberFormat="1" applyFont="1" applyFill="1" applyBorder="1" applyAlignment="1" applyProtection="1">
      <alignment horizontal="center" vertical="center" wrapText="1"/>
      <protection locked="0"/>
    </xf>
    <xf numFmtId="167" fontId="8" fillId="10" borderId="2" xfId="1" applyNumberFormat="1" applyFont="1" applyFill="1" applyBorder="1" applyAlignment="1" applyProtection="1">
      <alignment horizontal="center" vertical="center"/>
      <protection locked="0"/>
    </xf>
    <xf numFmtId="0" fontId="8" fillId="10" borderId="2" xfId="1" applyFont="1" applyFill="1" applyBorder="1" applyAlignment="1" applyProtection="1">
      <alignment horizontal="center" vertical="center"/>
      <protection locked="0"/>
    </xf>
    <xf numFmtId="0" fontId="8" fillId="10" borderId="2" xfId="1" applyFont="1" applyFill="1" applyBorder="1" applyAlignment="1" applyProtection="1">
      <alignment horizontal="center" vertical="center" wrapText="1"/>
      <protection locked="0"/>
    </xf>
    <xf numFmtId="167" fontId="8" fillId="0" borderId="33" xfId="1" applyNumberFormat="1" applyFont="1" applyBorder="1" applyAlignment="1" applyProtection="1">
      <alignment horizontal="center" vertical="center" wrapText="1"/>
      <protection locked="0"/>
    </xf>
    <xf numFmtId="0" fontId="9" fillId="10" borderId="0" xfId="1" applyFont="1" applyFill="1" applyAlignment="1" applyProtection="1">
      <alignment horizontal="center" vertical="center"/>
      <protection locked="0"/>
    </xf>
    <xf numFmtId="0" fontId="9" fillId="10" borderId="0" xfId="1" applyFont="1" applyFill="1" applyAlignment="1" applyProtection="1">
      <alignment horizontal="left" vertical="center"/>
      <protection locked="0"/>
    </xf>
    <xf numFmtId="166" fontId="9" fillId="0" borderId="45" xfId="1" applyNumberFormat="1" applyFont="1" applyBorder="1" applyAlignment="1" applyProtection="1">
      <alignment horizontal="center" vertical="center"/>
      <protection locked="0"/>
    </xf>
    <xf numFmtId="3" fontId="9" fillId="0" borderId="35" xfId="1" applyNumberFormat="1" applyFont="1" applyBorder="1" applyAlignment="1" applyProtection="1">
      <alignment horizontal="center" vertical="center" wrapText="1"/>
      <protection locked="0"/>
    </xf>
    <xf numFmtId="167" fontId="9" fillId="0" borderId="35" xfId="1" applyNumberFormat="1" applyFont="1" applyBorder="1" applyAlignment="1" applyProtection="1">
      <alignment horizontal="center" vertical="center"/>
      <protection locked="0"/>
    </xf>
    <xf numFmtId="0" fontId="9" fillId="0" borderId="35" xfId="1" applyFont="1" applyBorder="1" applyAlignment="1" applyProtection="1">
      <alignment horizontal="center" vertical="center"/>
      <protection locked="0"/>
    </xf>
    <xf numFmtId="0" fontId="9" fillId="0" borderId="35" xfId="1" applyFont="1" applyBorder="1" applyAlignment="1" applyProtection="1">
      <alignment horizontal="center" vertical="center" wrapText="1"/>
      <protection locked="0"/>
    </xf>
    <xf numFmtId="0" fontId="9" fillId="0" borderId="46" xfId="1" applyFont="1" applyBorder="1" applyAlignment="1" applyProtection="1">
      <alignment horizontal="center" vertical="center" wrapText="1"/>
      <protection locked="0"/>
    </xf>
    <xf numFmtId="167" fontId="8" fillId="0" borderId="9" xfId="1" applyNumberFormat="1" applyFont="1" applyBorder="1" applyAlignment="1" applyProtection="1">
      <alignment horizontal="center" vertical="center"/>
      <protection locked="0"/>
    </xf>
    <xf numFmtId="0" fontId="8" fillId="0" borderId="9" xfId="1" applyFont="1" applyBorder="1" applyAlignment="1" applyProtection="1">
      <alignment horizontal="center" vertical="center"/>
      <protection locked="0"/>
    </xf>
    <xf numFmtId="0" fontId="8" fillId="0" borderId="48" xfId="1" applyFont="1" applyBorder="1" applyAlignment="1" applyProtection="1">
      <alignment horizontal="center" vertical="center" wrapText="1"/>
      <protection locked="0"/>
    </xf>
    <xf numFmtId="0" fontId="8" fillId="0" borderId="10" xfId="1" applyFont="1" applyBorder="1" applyAlignment="1" applyProtection="1">
      <alignment horizontal="center" vertical="center" wrapText="1"/>
      <protection locked="0"/>
    </xf>
    <xf numFmtId="166" fontId="9" fillId="0" borderId="2" xfId="1" applyNumberFormat="1" applyFont="1" applyBorder="1" applyAlignment="1" applyProtection="1">
      <alignment horizontal="center" vertical="center"/>
      <protection locked="0"/>
    </xf>
    <xf numFmtId="0" fontId="9" fillId="0" borderId="2" xfId="1" applyFont="1" applyBorder="1" applyAlignment="1" applyProtection="1">
      <alignment horizontal="center" vertical="center" wrapText="1"/>
      <protection locked="0"/>
    </xf>
    <xf numFmtId="0" fontId="9" fillId="0" borderId="2" xfId="1" applyFont="1" applyBorder="1" applyAlignment="1" applyProtection="1">
      <alignment horizontal="center" vertical="center"/>
      <protection locked="0"/>
    </xf>
    <xf numFmtId="166" fontId="9" fillId="0" borderId="33" xfId="1" applyNumberFormat="1" applyFont="1" applyBorder="1" applyAlignment="1" applyProtection="1">
      <alignment horizontal="center" vertical="center"/>
      <protection locked="0"/>
    </xf>
    <xf numFmtId="168" fontId="9" fillId="0" borderId="5" xfId="1" applyNumberFormat="1" applyFont="1" applyBorder="1" applyAlignment="1" applyProtection="1">
      <alignment horizontal="center" vertical="center"/>
      <protection locked="0"/>
    </xf>
    <xf numFmtId="168" fontId="9" fillId="0" borderId="13" xfId="1" applyNumberFormat="1" applyFont="1" applyBorder="1" applyAlignment="1" applyProtection="1">
      <alignment horizontal="center" vertical="center"/>
      <protection locked="0"/>
    </xf>
    <xf numFmtId="0" fontId="9" fillId="0" borderId="49" xfId="1" applyFont="1" applyBorder="1" applyAlignment="1" applyProtection="1">
      <alignment horizontal="left" vertical="center"/>
      <protection locked="0"/>
    </xf>
    <xf numFmtId="0" fontId="9" fillId="0" borderId="49" xfId="1" quotePrefix="1" applyFont="1" applyBorder="1" applyAlignment="1" applyProtection="1">
      <alignment horizontal="left" vertical="center"/>
      <protection locked="0"/>
    </xf>
    <xf numFmtId="0" fontId="9" fillId="0" borderId="49" xfId="1" applyFont="1" applyBorder="1" applyAlignment="1" applyProtection="1">
      <alignment horizontal="center" vertical="center"/>
      <protection locked="0"/>
    </xf>
    <xf numFmtId="167" fontId="9" fillId="10" borderId="0" xfId="1" applyNumberFormat="1" applyFont="1" applyFill="1" applyAlignment="1" applyProtection="1">
      <alignment horizontal="left" vertical="center"/>
      <protection locked="0"/>
    </xf>
    <xf numFmtId="166" fontId="8" fillId="0" borderId="50" xfId="1" applyNumberFormat="1" applyFont="1" applyBorder="1" applyAlignment="1" applyProtection="1">
      <alignment horizontal="center" vertical="center"/>
      <protection locked="0"/>
    </xf>
    <xf numFmtId="165" fontId="9" fillId="0" borderId="0" xfId="2" applyFont="1" applyFill="1" applyBorder="1" applyAlignment="1" applyProtection="1">
      <alignment horizontal="center" vertical="center"/>
      <protection locked="0"/>
    </xf>
    <xf numFmtId="0" fontId="8" fillId="0" borderId="29" xfId="1" applyFont="1" applyBorder="1" applyAlignment="1" applyProtection="1">
      <alignment horizontal="center" vertical="center" wrapText="1"/>
      <protection locked="0"/>
    </xf>
    <xf numFmtId="4" fontId="9" fillId="0" borderId="5" xfId="1" applyNumberFormat="1" applyFont="1" applyBorder="1" applyAlignment="1" applyProtection="1">
      <alignment horizontal="center" vertical="center"/>
      <protection locked="0"/>
    </xf>
    <xf numFmtId="167" fontId="9" fillId="10" borderId="9" xfId="1" applyNumberFormat="1" applyFont="1" applyFill="1" applyBorder="1" applyAlignment="1" applyProtection="1">
      <alignment horizontal="center" vertical="center" wrapText="1"/>
      <protection locked="0"/>
    </xf>
    <xf numFmtId="2" fontId="9" fillId="0" borderId="13" xfId="1" applyNumberFormat="1" applyFont="1" applyBorder="1" applyAlignment="1" applyProtection="1">
      <alignment horizontal="center" vertical="center"/>
      <protection locked="0"/>
    </xf>
    <xf numFmtId="2" fontId="9" fillId="0" borderId="5" xfId="1" applyNumberFormat="1" applyFont="1" applyBorder="1" applyAlignment="1" applyProtection="1">
      <alignment horizontal="center" vertical="center"/>
      <protection locked="0"/>
    </xf>
    <xf numFmtId="2" fontId="9" fillId="0" borderId="0" xfId="1" applyNumberFormat="1" applyFont="1" applyAlignment="1" applyProtection="1">
      <alignment horizontal="center" vertical="center" wrapText="1"/>
      <protection locked="0"/>
    </xf>
    <xf numFmtId="2" fontId="8" fillId="10" borderId="0" xfId="1" applyNumberFormat="1" applyFont="1" applyFill="1" applyAlignment="1" applyProtection="1">
      <alignment horizontal="center" vertical="center" wrapText="1"/>
      <protection locked="0"/>
    </xf>
    <xf numFmtId="167" fontId="9" fillId="0" borderId="0" xfId="1" applyNumberFormat="1" applyFont="1" applyAlignment="1" applyProtection="1">
      <alignment horizontal="left" vertical="center"/>
      <protection locked="0"/>
    </xf>
    <xf numFmtId="0" fontId="8" fillId="0" borderId="13" xfId="1" applyFont="1" applyBorder="1" applyAlignment="1" applyProtection="1">
      <alignment horizontal="center" vertical="center"/>
      <protection locked="0"/>
    </xf>
    <xf numFmtId="0" fontId="8" fillId="0" borderId="13" xfId="1" applyFont="1" applyBorder="1" applyAlignment="1" applyProtection="1">
      <alignment horizontal="center" vertical="center" wrapText="1"/>
      <protection locked="0"/>
    </xf>
    <xf numFmtId="0" fontId="8" fillId="0" borderId="14" xfId="1" applyFont="1" applyBorder="1" applyAlignment="1" applyProtection="1">
      <alignment horizontal="center" vertical="center" wrapText="1"/>
      <protection locked="0"/>
    </xf>
    <xf numFmtId="166" fontId="8" fillId="10" borderId="17" xfId="1" applyNumberFormat="1" applyFont="1" applyFill="1" applyBorder="1" applyAlignment="1" applyProtection="1">
      <alignment horizontal="center" vertical="center"/>
      <protection locked="0"/>
    </xf>
    <xf numFmtId="167" fontId="8" fillId="10" borderId="13" xfId="1" applyNumberFormat="1" applyFont="1" applyFill="1" applyBorder="1" applyAlignment="1" applyProtection="1">
      <alignment horizontal="center" vertical="center" wrapText="1"/>
      <protection locked="0"/>
    </xf>
    <xf numFmtId="167" fontId="8" fillId="10" borderId="13" xfId="1" applyNumberFormat="1" applyFont="1" applyFill="1" applyBorder="1" applyAlignment="1" applyProtection="1">
      <alignment horizontal="center" vertical="center"/>
      <protection locked="0"/>
    </xf>
    <xf numFmtId="0" fontId="8" fillId="10" borderId="13" xfId="1" applyFont="1" applyFill="1" applyBorder="1" applyAlignment="1" applyProtection="1">
      <alignment horizontal="center" vertical="center"/>
      <protection locked="0"/>
    </xf>
    <xf numFmtId="0" fontId="8" fillId="10" borderId="13" xfId="1" applyFont="1" applyFill="1" applyBorder="1" applyAlignment="1" applyProtection="1">
      <alignment horizontal="center" vertical="center" wrapText="1"/>
      <protection locked="0"/>
    </xf>
    <xf numFmtId="0" fontId="8" fillId="10" borderId="14" xfId="1" applyFont="1" applyFill="1" applyBorder="1" applyAlignment="1" applyProtection="1">
      <alignment horizontal="center" vertical="center" wrapText="1"/>
      <protection locked="0"/>
    </xf>
    <xf numFmtId="167" fontId="8" fillId="0" borderId="13" xfId="1" applyNumberFormat="1" applyFont="1" applyBorder="1" applyAlignment="1" applyProtection="1">
      <alignment horizontal="center" vertical="center"/>
      <protection locked="0"/>
    </xf>
    <xf numFmtId="167" fontId="8" fillId="11" borderId="9" xfId="1" applyNumberFormat="1" applyFont="1" applyFill="1" applyBorder="1" applyAlignment="1" applyProtection="1">
      <alignment horizontal="center" vertical="center"/>
      <protection locked="0"/>
    </xf>
    <xf numFmtId="0" fontId="8" fillId="11" borderId="9" xfId="1" applyFont="1" applyFill="1" applyBorder="1" applyAlignment="1" applyProtection="1">
      <alignment horizontal="center" vertical="center"/>
      <protection locked="0"/>
    </xf>
    <xf numFmtId="0" fontId="8" fillId="11" borderId="9" xfId="1" applyFont="1" applyFill="1" applyBorder="1" applyAlignment="1" applyProtection="1">
      <alignment horizontal="center" vertical="center" wrapText="1"/>
      <protection locked="0"/>
    </xf>
    <xf numFmtId="0" fontId="8" fillId="11" borderId="10" xfId="1" applyFont="1" applyFill="1" applyBorder="1" applyAlignment="1" applyProtection="1">
      <alignment horizontal="center" vertical="center" wrapText="1"/>
      <protection locked="0"/>
    </xf>
    <xf numFmtId="168" fontId="10" fillId="0" borderId="0" xfId="1" applyNumberFormat="1" applyFont="1" applyAlignment="1" applyProtection="1">
      <alignment horizontal="center" vertical="center" wrapText="1"/>
      <protection locked="0"/>
    </xf>
    <xf numFmtId="167" fontId="8" fillId="0" borderId="51" xfId="1" applyNumberFormat="1" applyFont="1" applyBorder="1" applyAlignment="1" applyProtection="1">
      <alignment horizontal="center" vertical="center"/>
      <protection locked="0"/>
    </xf>
    <xf numFmtId="166" fontId="9" fillId="0" borderId="0" xfId="1" applyNumberFormat="1" applyFont="1" applyAlignment="1" applyProtection="1">
      <alignment horizontal="left" vertical="center"/>
      <protection locked="0"/>
    </xf>
    <xf numFmtId="165" fontId="9" fillId="0" borderId="0" xfId="2" applyFont="1" applyFill="1" applyAlignment="1" applyProtection="1">
      <alignment horizontal="center" vertical="center"/>
      <protection locked="0"/>
    </xf>
    <xf numFmtId="166" fontId="8" fillId="0" borderId="19" xfId="1" applyNumberFormat="1" applyFont="1" applyBorder="1" applyAlignment="1" applyProtection="1">
      <alignment horizontal="center" vertical="center"/>
      <protection locked="0"/>
    </xf>
    <xf numFmtId="0" fontId="8" fillId="0" borderId="19" xfId="1" applyFont="1" applyBorder="1" applyAlignment="1" applyProtection="1">
      <alignment horizontal="center" vertical="center" wrapText="1"/>
      <protection locked="0"/>
    </xf>
    <xf numFmtId="0" fontId="8" fillId="0" borderId="19" xfId="1" applyFont="1" applyBorder="1" applyAlignment="1" applyProtection="1">
      <alignment horizontal="center" vertical="center"/>
      <protection locked="0"/>
    </xf>
    <xf numFmtId="166" fontId="8" fillId="0" borderId="29" xfId="1" applyNumberFormat="1" applyFont="1" applyBorder="1" applyAlignment="1" applyProtection="1">
      <alignment horizontal="center" vertical="center"/>
      <protection locked="0"/>
    </xf>
    <xf numFmtId="0" fontId="8" fillId="0" borderId="29" xfId="1" applyFont="1" applyBorder="1" applyAlignment="1" applyProtection="1">
      <alignment horizontal="center" vertical="center"/>
      <protection locked="0"/>
    </xf>
    <xf numFmtId="0" fontId="8" fillId="0" borderId="12" xfId="1" applyFont="1" applyBorder="1" applyAlignment="1" applyProtection="1">
      <alignment horizontal="center" vertical="center"/>
      <protection locked="0"/>
    </xf>
    <xf numFmtId="0" fontId="8" fillId="0" borderId="12" xfId="1" applyFont="1" applyBorder="1" applyAlignment="1" applyProtection="1">
      <alignment horizontal="center" vertical="center" wrapText="1"/>
      <protection locked="0"/>
    </xf>
    <xf numFmtId="166" fontId="9" fillId="0" borderId="13" xfId="1" applyNumberFormat="1" applyFont="1" applyBorder="1" applyAlignment="1" applyProtection="1">
      <alignment horizontal="center" vertical="center"/>
      <protection locked="0"/>
    </xf>
    <xf numFmtId="166" fontId="8" fillId="0" borderId="13" xfId="1" applyNumberFormat="1" applyFont="1" applyBorder="1" applyAlignment="1" applyProtection="1">
      <alignment horizontal="center" vertical="center"/>
      <protection locked="0"/>
    </xf>
    <xf numFmtId="167" fontId="9" fillId="0" borderId="26" xfId="1" applyNumberFormat="1" applyFont="1" applyBorder="1" applyAlignment="1" applyProtection="1">
      <alignment horizontal="center" vertical="center" wrapText="1"/>
      <protection locked="0"/>
    </xf>
    <xf numFmtId="167" fontId="8" fillId="0" borderId="26" xfId="1" applyNumberFormat="1" applyFont="1" applyBorder="1" applyAlignment="1" applyProtection="1">
      <alignment horizontal="center" vertical="center" wrapText="1"/>
      <protection locked="0"/>
    </xf>
    <xf numFmtId="167" fontId="8" fillId="0" borderId="12" xfId="1" applyNumberFormat="1" applyFont="1" applyBorder="1" applyAlignment="1" applyProtection="1">
      <alignment horizontal="center" vertical="center"/>
      <protection locked="0"/>
    </xf>
    <xf numFmtId="0" fontId="8" fillId="0" borderId="26" xfId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12" fillId="0" borderId="0" xfId="0" applyFont="1"/>
    <xf numFmtId="169" fontId="12" fillId="0" borderId="0" xfId="0" applyNumberFormat="1" applyFont="1"/>
    <xf numFmtId="0" fontId="5" fillId="14" borderId="1" xfId="0" applyFont="1" applyFill="1" applyBorder="1"/>
    <xf numFmtId="165" fontId="11" fillId="9" borderId="4" xfId="2" applyFont="1" applyFill="1" applyBorder="1" applyAlignment="1" applyProtection="1">
      <alignment horizontal="center" vertical="center"/>
      <protection locked="0"/>
    </xf>
    <xf numFmtId="165" fontId="11" fillId="9" borderId="37" xfId="2" applyFont="1" applyFill="1" applyBorder="1" applyAlignment="1" applyProtection="1">
      <alignment horizontal="center" vertical="center"/>
      <protection locked="0"/>
    </xf>
    <xf numFmtId="0" fontId="11" fillId="13" borderId="17" xfId="0" applyFont="1" applyFill="1" applyBorder="1" applyAlignment="1">
      <alignment horizontal="center"/>
    </xf>
    <xf numFmtId="0" fontId="5" fillId="14" borderId="52" xfId="0" applyFont="1" applyFill="1" applyBorder="1"/>
    <xf numFmtId="0" fontId="14" fillId="0" borderId="0" xfId="0" applyFont="1"/>
    <xf numFmtId="166" fontId="2" fillId="0" borderId="0" xfId="1" applyNumberFormat="1" applyFont="1" applyAlignment="1" applyProtection="1">
      <alignment vertical="center"/>
      <protection locked="0"/>
    </xf>
    <xf numFmtId="0" fontId="16" fillId="0" borderId="0" xfId="0" applyFont="1" applyAlignment="1">
      <alignment horizontal="center"/>
    </xf>
    <xf numFmtId="0" fontId="16" fillId="11" borderId="0" xfId="0" applyFont="1" applyFill="1" applyAlignment="1">
      <alignment horizontal="center"/>
    </xf>
    <xf numFmtId="168" fontId="3" fillId="0" borderId="0" xfId="1" applyNumberFormat="1" applyFont="1" applyAlignment="1" applyProtection="1">
      <alignment horizontal="center" vertical="center"/>
      <protection locked="0"/>
    </xf>
    <xf numFmtId="2" fontId="3" fillId="0" borderId="0" xfId="1" applyNumberFormat="1" applyFont="1" applyAlignment="1" applyProtection="1">
      <alignment horizontal="center" vertical="center"/>
      <protection locked="0"/>
    </xf>
    <xf numFmtId="169" fontId="3" fillId="0" borderId="0" xfId="1" applyNumberFormat="1" applyFont="1" applyAlignment="1" applyProtection="1">
      <alignment horizontal="center" vertical="center"/>
      <protection locked="0"/>
    </xf>
    <xf numFmtId="166" fontId="3" fillId="0" borderId="0" xfId="1" applyNumberFormat="1" applyFont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/>
    </xf>
    <xf numFmtId="0" fontId="5" fillId="11" borderId="0" xfId="0" applyFont="1" applyFill="1"/>
    <xf numFmtId="0" fontId="18" fillId="0" borderId="0" xfId="0" applyFont="1" applyAlignment="1">
      <alignment horizontal="center"/>
    </xf>
    <xf numFmtId="0" fontId="19" fillId="0" borderId="0" xfId="0" applyFont="1"/>
    <xf numFmtId="0" fontId="17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20" fillId="0" borderId="0" xfId="0" applyFont="1"/>
    <xf numFmtId="169" fontId="20" fillId="0" borderId="0" xfId="0" applyNumberFormat="1" applyFont="1"/>
    <xf numFmtId="2" fontId="5" fillId="0" borderId="13" xfId="3" applyNumberFormat="1" applyFont="1" applyBorder="1" applyAlignment="1">
      <alignment horizontal="center"/>
    </xf>
    <xf numFmtId="2" fontId="5" fillId="12" borderId="9" xfId="3" applyNumberFormat="1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170" fontId="3" fillId="0" borderId="0" xfId="1" applyNumberFormat="1" applyFont="1" applyAlignment="1" applyProtection="1">
      <alignment horizontal="center" vertical="center"/>
      <protection locked="0"/>
    </xf>
    <xf numFmtId="44" fontId="5" fillId="0" borderId="0" xfId="0" applyNumberFormat="1" applyFont="1"/>
    <xf numFmtId="44" fontId="5" fillId="0" borderId="0" xfId="0" applyNumberFormat="1" applyFont="1" applyAlignment="1">
      <alignment horizontal="center"/>
    </xf>
    <xf numFmtId="44" fontId="12" fillId="0" borderId="0" xfId="0" applyNumberFormat="1" applyFont="1" applyAlignment="1">
      <alignment horizontal="center"/>
    </xf>
    <xf numFmtId="44" fontId="20" fillId="0" borderId="0" xfId="0" applyNumberFormat="1" applyFont="1" applyAlignment="1">
      <alignment horizontal="center"/>
    </xf>
    <xf numFmtId="166" fontId="8" fillId="0" borderId="0" xfId="1" applyNumberFormat="1" applyFont="1" applyAlignment="1" applyProtection="1">
      <alignment vertical="center"/>
      <protection locked="0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vertical="top"/>
    </xf>
    <xf numFmtId="0" fontId="22" fillId="0" borderId="53" xfId="0" applyFont="1" applyBorder="1"/>
    <xf numFmtId="0" fontId="22" fillId="0" borderId="53" xfId="0" applyFont="1" applyBorder="1" applyAlignment="1">
      <alignment horizontal="center"/>
    </xf>
    <xf numFmtId="168" fontId="22" fillId="0" borderId="53" xfId="0" applyNumberFormat="1" applyFont="1" applyBorder="1" applyAlignment="1">
      <alignment horizontal="center"/>
    </xf>
    <xf numFmtId="168" fontId="22" fillId="0" borderId="53" xfId="0" applyNumberFormat="1" applyFont="1" applyBorder="1"/>
    <xf numFmtId="168" fontId="22" fillId="0" borderId="0" xfId="0" applyNumberFormat="1" applyFont="1"/>
    <xf numFmtId="168" fontId="22" fillId="0" borderId="53" xfId="0" applyNumberFormat="1" applyFont="1" applyBorder="1" applyAlignment="1">
      <alignment horizontal="right"/>
    </xf>
    <xf numFmtId="0" fontId="22" fillId="0" borderId="0" xfId="0" applyFont="1" applyAlignment="1">
      <alignment horizontal="center" vertical="top"/>
    </xf>
    <xf numFmtId="43" fontId="24" fillId="0" borderId="0" xfId="3" applyFont="1" applyAlignment="1">
      <alignment horizontal="center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horizontal="left" vertical="center"/>
      <protection locked="0"/>
    </xf>
    <xf numFmtId="0" fontId="21" fillId="0" borderId="0" xfId="1" applyFont="1" applyAlignment="1" applyProtection="1">
      <alignment horizontal="center" vertical="center" wrapText="1"/>
      <protection locked="0"/>
    </xf>
    <xf numFmtId="167" fontId="21" fillId="0" borderId="0" xfId="1" applyNumberFormat="1" applyFont="1" applyAlignment="1" applyProtection="1">
      <alignment horizontal="center" vertical="center"/>
      <protection locked="0"/>
    </xf>
    <xf numFmtId="166" fontId="22" fillId="0" borderId="53" xfId="1" applyNumberFormat="1" applyFont="1" applyBorder="1" applyAlignment="1" applyProtection="1">
      <alignment horizontal="center" vertical="center"/>
      <protection locked="0"/>
    </xf>
    <xf numFmtId="167" fontId="21" fillId="0" borderId="53" xfId="1" applyNumberFormat="1" applyFont="1" applyBorder="1" applyAlignment="1" applyProtection="1">
      <alignment horizontal="left" vertical="center" wrapText="1"/>
      <protection locked="0"/>
    </xf>
    <xf numFmtId="167" fontId="22" fillId="0" borderId="53" xfId="1" applyNumberFormat="1" applyFont="1" applyBorder="1" applyAlignment="1" applyProtection="1">
      <alignment horizontal="center" vertical="center"/>
      <protection locked="0"/>
    </xf>
    <xf numFmtId="167" fontId="21" fillId="0" borderId="53" xfId="1" applyNumberFormat="1" applyFont="1" applyBorder="1" applyAlignment="1" applyProtection="1">
      <alignment horizontal="center" vertical="center"/>
      <protection locked="0"/>
    </xf>
    <xf numFmtId="0" fontId="22" fillId="0" borderId="53" xfId="1" applyFont="1" applyBorder="1" applyAlignment="1" applyProtection="1">
      <alignment horizontal="center" vertical="center"/>
      <protection locked="0"/>
    </xf>
    <xf numFmtId="0" fontId="22" fillId="0" borderId="53" xfId="1" applyFont="1" applyBorder="1" applyAlignment="1" applyProtection="1">
      <alignment horizontal="center" vertical="center" wrapText="1"/>
      <protection locked="0"/>
    </xf>
    <xf numFmtId="0" fontId="22" fillId="0" borderId="0" xfId="1" applyFont="1" applyAlignment="1" applyProtection="1">
      <alignment horizontal="center" vertical="center" wrapText="1"/>
      <protection locked="0"/>
    </xf>
    <xf numFmtId="167" fontId="22" fillId="0" borderId="0" xfId="1" applyNumberFormat="1" applyFont="1" applyAlignment="1" applyProtection="1">
      <alignment horizontal="center" vertical="center" wrapText="1"/>
      <protection locked="0"/>
    </xf>
    <xf numFmtId="0" fontId="22" fillId="0" borderId="0" xfId="1" applyFont="1" applyAlignment="1" applyProtection="1">
      <alignment horizontal="center" vertical="center"/>
      <protection locked="0"/>
    </xf>
    <xf numFmtId="167" fontId="22" fillId="0" borderId="53" xfId="1" applyNumberFormat="1" applyFont="1" applyBorder="1" applyAlignment="1" applyProtection="1">
      <alignment horizontal="left" vertical="center" wrapText="1"/>
      <protection locked="0"/>
    </xf>
    <xf numFmtId="167" fontId="22" fillId="0" borderId="0" xfId="1" applyNumberFormat="1" applyFont="1" applyAlignment="1" applyProtection="1">
      <alignment horizontal="center" vertical="center"/>
      <protection locked="0"/>
    </xf>
    <xf numFmtId="0" fontId="22" fillId="0" borderId="0" xfId="1" applyFont="1" applyAlignment="1" applyProtection="1">
      <alignment horizontal="left" vertical="center"/>
      <protection locked="0"/>
    </xf>
    <xf numFmtId="4" fontId="22" fillId="0" borderId="0" xfId="1" applyNumberFormat="1" applyFont="1" applyAlignment="1" applyProtection="1">
      <alignment horizontal="center" vertical="center"/>
      <protection locked="0"/>
    </xf>
    <xf numFmtId="167" fontId="21" fillId="0" borderId="0" xfId="1" applyNumberFormat="1" applyFont="1" applyAlignment="1" applyProtection="1">
      <alignment horizontal="center" vertical="center" wrapText="1"/>
      <protection locked="0"/>
    </xf>
    <xf numFmtId="3" fontId="22" fillId="0" borderId="53" xfId="1" applyNumberFormat="1" applyFont="1" applyBorder="1" applyAlignment="1" applyProtection="1">
      <alignment horizontal="left" vertical="center" wrapText="1"/>
      <protection locked="0"/>
    </xf>
    <xf numFmtId="0" fontId="22" fillId="0" borderId="53" xfId="1" applyFont="1" applyBorder="1" applyAlignment="1" applyProtection="1">
      <alignment horizontal="left" vertical="center" wrapText="1"/>
      <protection locked="0"/>
    </xf>
    <xf numFmtId="4" fontId="22" fillId="0" borderId="53" xfId="1" applyNumberFormat="1" applyFont="1" applyBorder="1" applyAlignment="1" applyProtection="1">
      <alignment horizontal="center" vertical="center"/>
      <protection locked="0"/>
    </xf>
    <xf numFmtId="166" fontId="22" fillId="0" borderId="53" xfId="1" applyNumberFormat="1" applyFont="1" applyBorder="1" applyAlignment="1" applyProtection="1">
      <alignment horizontal="center" vertical="center" wrapText="1"/>
      <protection locked="0"/>
    </xf>
    <xf numFmtId="167" fontId="22" fillId="0" borderId="53" xfId="1" applyNumberFormat="1" applyFont="1" applyBorder="1" applyAlignment="1" applyProtection="1">
      <alignment horizontal="center" vertical="center" wrapText="1"/>
      <protection locked="0"/>
    </xf>
    <xf numFmtId="4" fontId="22" fillId="0" borderId="53" xfId="1" applyNumberFormat="1" applyFont="1" applyBorder="1" applyAlignment="1" applyProtection="1">
      <alignment horizontal="center" vertical="center" wrapText="1"/>
      <protection locked="0"/>
    </xf>
    <xf numFmtId="4" fontId="22" fillId="0" borderId="0" xfId="1" applyNumberFormat="1" applyFont="1" applyAlignment="1" applyProtection="1">
      <alignment horizontal="center" vertical="center" wrapText="1"/>
      <protection locked="0"/>
    </xf>
    <xf numFmtId="2" fontId="22" fillId="0" borderId="53" xfId="1" applyNumberFormat="1" applyFont="1" applyBorder="1" applyAlignment="1" applyProtection="1">
      <alignment horizontal="center" vertical="center"/>
      <protection locked="0"/>
    </xf>
    <xf numFmtId="2" fontId="22" fillId="0" borderId="0" xfId="1" applyNumberFormat="1" applyFont="1" applyAlignment="1" applyProtection="1">
      <alignment horizontal="center" vertical="center" wrapText="1"/>
      <protection locked="0"/>
    </xf>
    <xf numFmtId="166" fontId="22" fillId="0" borderId="53" xfId="1" applyNumberFormat="1" applyFont="1" applyBorder="1" applyAlignment="1" applyProtection="1">
      <alignment horizontal="center" vertical="top"/>
      <protection locked="0"/>
    </xf>
    <xf numFmtId="167" fontId="22" fillId="0" borderId="53" xfId="1" applyNumberFormat="1" applyFont="1" applyBorder="1" applyAlignment="1" applyProtection="1">
      <alignment horizontal="center" vertical="top"/>
      <protection locked="0"/>
    </xf>
    <xf numFmtId="0" fontId="22" fillId="0" borderId="53" xfId="1" applyFont="1" applyBorder="1" applyAlignment="1" applyProtection="1">
      <alignment horizontal="center" vertical="top"/>
      <protection locked="0"/>
    </xf>
    <xf numFmtId="0" fontId="22" fillId="0" borderId="53" xfId="1" applyFont="1" applyBorder="1" applyAlignment="1" applyProtection="1">
      <alignment horizontal="center" vertical="top" wrapText="1"/>
      <protection locked="0"/>
    </xf>
    <xf numFmtId="0" fontId="22" fillId="0" borderId="53" xfId="1" applyFont="1" applyBorder="1" applyAlignment="1" applyProtection="1">
      <alignment horizontal="left" vertical="top" wrapText="1"/>
      <protection locked="0"/>
    </xf>
    <xf numFmtId="168" fontId="22" fillId="0" borderId="53" xfId="1" applyNumberFormat="1" applyFont="1" applyBorder="1" applyAlignment="1" applyProtection="1">
      <alignment horizontal="center" vertical="center"/>
      <protection locked="0"/>
    </xf>
    <xf numFmtId="167" fontId="22" fillId="0" borderId="0" xfId="1" applyNumberFormat="1" applyFont="1" applyAlignment="1" applyProtection="1">
      <alignment horizontal="left" vertical="center"/>
      <protection locked="0"/>
    </xf>
    <xf numFmtId="0" fontId="22" fillId="0" borderId="49" xfId="1" quotePrefix="1" applyFont="1" applyBorder="1" applyAlignment="1" applyProtection="1">
      <alignment horizontal="left" vertical="center"/>
      <protection locked="0"/>
    </xf>
    <xf numFmtId="0" fontId="22" fillId="0" borderId="49" xfId="1" applyFont="1" applyBorder="1" applyAlignment="1" applyProtection="1">
      <alignment horizontal="center" vertical="center"/>
      <protection locked="0"/>
    </xf>
    <xf numFmtId="0" fontId="25" fillId="0" borderId="53" xfId="1" applyFont="1" applyBorder="1" applyAlignment="1" applyProtection="1">
      <alignment horizontal="left" vertical="center" wrapText="1"/>
      <protection locked="0"/>
    </xf>
    <xf numFmtId="166" fontId="22" fillId="0" borderId="0" xfId="1" applyNumberFormat="1" applyFont="1" applyAlignment="1" applyProtection="1">
      <alignment horizontal="center" vertical="center"/>
      <protection locked="0"/>
    </xf>
    <xf numFmtId="166" fontId="22" fillId="0" borderId="0" xfId="1" applyNumberFormat="1" applyFont="1" applyAlignment="1" applyProtection="1">
      <alignment horizontal="left" vertical="center"/>
      <protection locked="0"/>
    </xf>
    <xf numFmtId="166" fontId="21" fillId="0" borderId="0" xfId="1" applyNumberFormat="1" applyFont="1" applyAlignment="1" applyProtection="1">
      <alignment horizontal="left" vertical="center"/>
      <protection locked="0"/>
    </xf>
    <xf numFmtId="166" fontId="21" fillId="0" borderId="53" xfId="1" applyNumberFormat="1" applyFont="1" applyBorder="1" applyAlignment="1" applyProtection="1">
      <alignment horizontal="center" vertical="center"/>
      <protection locked="0"/>
    </xf>
    <xf numFmtId="0" fontId="21" fillId="0" borderId="53" xfId="1" applyFont="1" applyBorder="1" applyAlignment="1" applyProtection="1">
      <alignment horizontal="center" vertical="center"/>
      <protection locked="0"/>
    </xf>
    <xf numFmtId="0" fontId="21" fillId="0" borderId="53" xfId="1" applyFont="1" applyBorder="1" applyAlignment="1" applyProtection="1">
      <alignment horizontal="center" vertical="center" wrapText="1"/>
      <protection locked="0"/>
    </xf>
    <xf numFmtId="167" fontId="21" fillId="0" borderId="0" xfId="1" applyNumberFormat="1" applyFont="1" applyAlignment="1" applyProtection="1">
      <alignment horizontal="left" vertical="center"/>
      <protection locked="0"/>
    </xf>
    <xf numFmtId="166" fontId="22" fillId="0" borderId="0" xfId="1" applyNumberFormat="1" applyFont="1" applyAlignment="1" applyProtection="1">
      <alignment vertical="center"/>
      <protection locked="0"/>
    </xf>
    <xf numFmtId="43" fontId="22" fillId="0" borderId="0" xfId="3" applyFont="1" applyFill="1" applyBorder="1" applyAlignment="1" applyProtection="1">
      <alignment horizontal="center" vertical="center"/>
      <protection locked="0"/>
    </xf>
    <xf numFmtId="167" fontId="22" fillId="0" borderId="0" xfId="1" applyNumberFormat="1" applyFont="1" applyAlignment="1" applyProtection="1">
      <alignment horizontal="left" vertical="center" wrapText="1"/>
      <protection locked="0"/>
    </xf>
    <xf numFmtId="165" fontId="21" fillId="0" borderId="53" xfId="2" applyFont="1" applyFill="1" applyBorder="1" applyAlignment="1" applyProtection="1">
      <alignment vertical="top" wrapText="1"/>
      <protection locked="0"/>
    </xf>
    <xf numFmtId="0" fontId="21" fillId="4" borderId="55" xfId="1" applyFont="1" applyFill="1" applyBorder="1" applyAlignment="1" applyProtection="1">
      <alignment horizontal="center" vertical="top" wrapText="1"/>
      <protection locked="0"/>
    </xf>
    <xf numFmtId="166" fontId="21" fillId="4" borderId="55" xfId="1" applyNumberFormat="1" applyFont="1" applyFill="1" applyBorder="1" applyAlignment="1" applyProtection="1">
      <alignment horizontal="center" vertical="top"/>
      <protection locked="0"/>
    </xf>
    <xf numFmtId="0" fontId="21" fillId="4" borderId="54" xfId="1" applyFont="1" applyFill="1" applyBorder="1" applyAlignment="1" applyProtection="1">
      <alignment horizontal="center" vertical="top" wrapText="1"/>
      <protection locked="0"/>
    </xf>
    <xf numFmtId="166" fontId="21" fillId="4" borderId="54" xfId="1" applyNumberFormat="1" applyFont="1" applyFill="1" applyBorder="1" applyAlignment="1" applyProtection="1">
      <alignment vertical="top"/>
      <protection locked="0"/>
    </xf>
    <xf numFmtId="0" fontId="21" fillId="4" borderId="54" xfId="1" applyFont="1" applyFill="1" applyBorder="1" applyAlignment="1" applyProtection="1">
      <alignment vertical="top" wrapText="1"/>
      <protection locked="0"/>
    </xf>
    <xf numFmtId="165" fontId="21" fillId="4" borderId="53" xfId="2" applyFont="1" applyFill="1" applyBorder="1" applyAlignment="1" applyProtection="1">
      <alignment horizontal="center" vertical="top"/>
      <protection locked="0"/>
    </xf>
    <xf numFmtId="1" fontId="21" fillId="0" borderId="0" xfId="1" applyNumberFormat="1" applyFont="1" applyAlignment="1" applyProtection="1">
      <alignment horizontal="center" vertical="center"/>
      <protection locked="0"/>
    </xf>
    <xf numFmtId="0" fontId="21" fillId="12" borderId="53" xfId="1" applyFont="1" applyFill="1" applyBorder="1" applyAlignment="1" applyProtection="1">
      <alignment horizontal="center" vertical="center" wrapText="1"/>
      <protection locked="0"/>
    </xf>
    <xf numFmtId="166" fontId="21" fillId="12" borderId="53" xfId="1" applyNumberFormat="1" applyFont="1" applyFill="1" applyBorder="1" applyAlignment="1" applyProtection="1">
      <alignment horizontal="center" vertical="center"/>
      <protection locked="0"/>
    </xf>
    <xf numFmtId="167" fontId="21" fillId="12" borderId="53" xfId="1" applyNumberFormat="1" applyFont="1" applyFill="1" applyBorder="1" applyAlignment="1" applyProtection="1">
      <alignment horizontal="left" vertical="center" wrapText="1"/>
      <protection locked="0"/>
    </xf>
    <xf numFmtId="167" fontId="21" fillId="12" borderId="53" xfId="1" applyNumberFormat="1" applyFont="1" applyFill="1" applyBorder="1" applyAlignment="1" applyProtection="1">
      <alignment horizontal="center" vertical="center"/>
      <protection locked="0"/>
    </xf>
    <xf numFmtId="0" fontId="21" fillId="12" borderId="53" xfId="1" applyFont="1" applyFill="1" applyBorder="1" applyAlignment="1" applyProtection="1">
      <alignment horizontal="center" vertical="center"/>
      <protection locked="0"/>
    </xf>
    <xf numFmtId="167" fontId="21" fillId="12" borderId="0" xfId="1" applyNumberFormat="1" applyFont="1" applyFill="1" applyAlignment="1" applyProtection="1">
      <alignment horizontal="center" vertical="center" wrapText="1"/>
      <protection locked="0"/>
    </xf>
    <xf numFmtId="0" fontId="21" fillId="12" borderId="0" xfId="1" applyFont="1" applyFill="1" applyAlignment="1" applyProtection="1">
      <alignment horizontal="center" vertical="center"/>
      <protection locked="0"/>
    </xf>
    <xf numFmtId="0" fontId="21" fillId="12" borderId="57" xfId="1" applyFont="1" applyFill="1" applyBorder="1" applyAlignment="1" applyProtection="1">
      <alignment vertical="center" wrapText="1"/>
      <protection locked="0"/>
    </xf>
    <xf numFmtId="0" fontId="21" fillId="12" borderId="58" xfId="1" applyFont="1" applyFill="1" applyBorder="1" applyAlignment="1" applyProtection="1">
      <alignment vertical="center" wrapText="1"/>
      <protection locked="0"/>
    </xf>
    <xf numFmtId="0" fontId="21" fillId="12" borderId="56" xfId="1" applyFont="1" applyFill="1" applyBorder="1" applyAlignment="1" applyProtection="1">
      <alignment vertical="center"/>
      <protection locked="0"/>
    </xf>
    <xf numFmtId="167" fontId="21" fillId="12" borderId="57" xfId="1" applyNumberFormat="1" applyFont="1" applyFill="1" applyBorder="1" applyAlignment="1" applyProtection="1">
      <alignment vertical="center" wrapText="1"/>
      <protection locked="0"/>
    </xf>
    <xf numFmtId="167" fontId="21" fillId="12" borderId="58" xfId="1" applyNumberFormat="1" applyFont="1" applyFill="1" applyBorder="1" applyAlignment="1" applyProtection="1">
      <alignment vertical="center" wrapText="1"/>
      <protection locked="0"/>
    </xf>
    <xf numFmtId="167" fontId="21" fillId="12" borderId="56" xfId="1" applyNumberFormat="1" applyFont="1" applyFill="1" applyBorder="1" applyAlignment="1" applyProtection="1">
      <alignment vertical="center"/>
      <protection locked="0"/>
    </xf>
    <xf numFmtId="167" fontId="22" fillId="12" borderId="53" xfId="1" applyNumberFormat="1" applyFont="1" applyFill="1" applyBorder="1" applyAlignment="1" applyProtection="1">
      <alignment horizontal="center" vertical="center"/>
      <protection locked="0"/>
    </xf>
    <xf numFmtId="0" fontId="22" fillId="12" borderId="53" xfId="1" applyFont="1" applyFill="1" applyBorder="1" applyAlignment="1" applyProtection="1">
      <alignment horizontal="center" vertical="center"/>
      <protection locked="0"/>
    </xf>
    <xf numFmtId="167" fontId="22" fillId="12" borderId="0" xfId="1" applyNumberFormat="1" applyFont="1" applyFill="1" applyAlignment="1" applyProtection="1">
      <alignment horizontal="center" vertical="center" wrapText="1"/>
      <protection locked="0"/>
    </xf>
    <xf numFmtId="0" fontId="22" fillId="12" borderId="0" xfId="1" applyFont="1" applyFill="1" applyAlignment="1" applyProtection="1">
      <alignment horizontal="center" vertical="center"/>
      <protection locked="0"/>
    </xf>
    <xf numFmtId="3" fontId="21" fillId="12" borderId="53" xfId="1" applyNumberFormat="1" applyFont="1" applyFill="1" applyBorder="1" applyAlignment="1" applyProtection="1">
      <alignment horizontal="left" vertical="center"/>
      <protection locked="0"/>
    </xf>
    <xf numFmtId="0" fontId="21" fillId="12" borderId="53" xfId="1" applyFont="1" applyFill="1" applyBorder="1" applyAlignment="1" applyProtection="1">
      <alignment horizontal="left" vertical="center"/>
      <protection locked="0"/>
    </xf>
    <xf numFmtId="167" fontId="21" fillId="12" borderId="53" xfId="1" applyNumberFormat="1" applyFont="1" applyFill="1" applyBorder="1" applyAlignment="1" applyProtection="1">
      <alignment horizontal="left" vertical="center"/>
      <protection locked="0"/>
    </xf>
    <xf numFmtId="4" fontId="21" fillId="12" borderId="53" xfId="1" applyNumberFormat="1" applyFont="1" applyFill="1" applyBorder="1" applyAlignment="1" applyProtection="1">
      <alignment horizontal="center" vertical="center"/>
      <protection locked="0"/>
    </xf>
    <xf numFmtId="0" fontId="21" fillId="15" borderId="53" xfId="1" applyFont="1" applyFill="1" applyBorder="1" applyAlignment="1" applyProtection="1">
      <alignment horizontal="center" vertical="center" wrapText="1"/>
      <protection locked="0"/>
    </xf>
    <xf numFmtId="166" fontId="21" fillId="15" borderId="53" xfId="1" applyNumberFormat="1" applyFont="1" applyFill="1" applyBorder="1" applyAlignment="1" applyProtection="1">
      <alignment horizontal="center" vertical="center"/>
      <protection locked="0"/>
    </xf>
    <xf numFmtId="167" fontId="21" fillId="15" borderId="53" xfId="1" applyNumberFormat="1" applyFont="1" applyFill="1" applyBorder="1" applyAlignment="1" applyProtection="1">
      <alignment horizontal="left" vertical="center" wrapText="1"/>
      <protection locked="0"/>
    </xf>
    <xf numFmtId="167" fontId="21" fillId="15" borderId="53" xfId="1" applyNumberFormat="1" applyFont="1" applyFill="1" applyBorder="1" applyAlignment="1" applyProtection="1">
      <alignment horizontal="center" vertical="center"/>
      <protection locked="0"/>
    </xf>
    <xf numFmtId="0" fontId="21" fillId="15" borderId="53" xfId="1" applyFont="1" applyFill="1" applyBorder="1" applyAlignment="1" applyProtection="1">
      <alignment horizontal="center" vertical="center"/>
      <protection locked="0"/>
    </xf>
    <xf numFmtId="0" fontId="21" fillId="15" borderId="0" xfId="1" applyFont="1" applyFill="1" applyAlignment="1" applyProtection="1">
      <alignment horizontal="center" vertical="center" wrapText="1"/>
      <protection locked="0"/>
    </xf>
    <xf numFmtId="0" fontId="22" fillId="12" borderId="53" xfId="1" applyFont="1" applyFill="1" applyBorder="1" applyAlignment="1" applyProtection="1">
      <alignment horizontal="left" vertical="center" wrapText="1"/>
      <protection locked="0"/>
    </xf>
    <xf numFmtId="0" fontId="21" fillId="12" borderId="53" xfId="1" applyFont="1" applyFill="1" applyBorder="1" applyAlignment="1" applyProtection="1">
      <alignment horizontal="left" vertical="center" wrapText="1"/>
      <protection locked="0"/>
    </xf>
    <xf numFmtId="0" fontId="21" fillId="12" borderId="0" xfId="1" applyFont="1" applyFill="1" applyAlignment="1" applyProtection="1">
      <alignment horizontal="center" vertical="center" wrapText="1"/>
      <protection locked="0"/>
    </xf>
    <xf numFmtId="0" fontId="21" fillId="12" borderId="53" xfId="1" applyFont="1" applyFill="1" applyBorder="1" applyAlignment="1" applyProtection="1">
      <alignment horizontal="left" vertical="top" wrapText="1"/>
      <protection locked="0"/>
    </xf>
    <xf numFmtId="0" fontId="21" fillId="12" borderId="53" xfId="1" applyFont="1" applyFill="1" applyBorder="1" applyAlignment="1" applyProtection="1">
      <alignment horizontal="left" vertical="top"/>
      <protection locked="0"/>
    </xf>
    <xf numFmtId="167" fontId="21" fillId="12" borderId="53" xfId="1" applyNumberFormat="1" applyFont="1" applyFill="1" applyBorder="1" applyAlignment="1" applyProtection="1">
      <alignment horizontal="center" vertical="top"/>
      <protection locked="0"/>
    </xf>
    <xf numFmtId="0" fontId="21" fillId="12" borderId="53" xfId="1" applyFont="1" applyFill="1" applyBorder="1" applyAlignment="1" applyProtection="1">
      <alignment horizontal="center" vertical="top"/>
      <protection locked="0"/>
    </xf>
    <xf numFmtId="168" fontId="21" fillId="12" borderId="53" xfId="1" applyNumberFormat="1" applyFont="1" applyFill="1" applyBorder="1" applyAlignment="1" applyProtection="1">
      <alignment horizontal="center" vertical="center"/>
      <protection locked="0"/>
    </xf>
    <xf numFmtId="167" fontId="21" fillId="12" borderId="53" xfId="1" applyNumberFormat="1" applyFont="1" applyFill="1" applyBorder="1" applyAlignment="1" applyProtection="1">
      <alignment horizontal="center" vertical="center" wrapText="1"/>
      <protection locked="0"/>
    </xf>
    <xf numFmtId="4" fontId="21" fillId="12" borderId="53" xfId="1" applyNumberFormat="1" applyFont="1" applyFill="1" applyBorder="1" applyAlignment="1" applyProtection="1">
      <alignment horizontal="center" vertical="center" wrapText="1"/>
      <protection locked="0"/>
    </xf>
    <xf numFmtId="4" fontId="21" fillId="12" borderId="0" xfId="1" applyNumberFormat="1" applyFont="1" applyFill="1" applyAlignment="1" applyProtection="1">
      <alignment horizontal="center" vertical="center" wrapText="1"/>
      <protection locked="0"/>
    </xf>
    <xf numFmtId="168" fontId="26" fillId="12" borderId="0" xfId="1" applyNumberFormat="1" applyFont="1" applyFill="1" applyAlignment="1" applyProtection="1">
      <alignment horizontal="center" vertical="center" wrapText="1"/>
      <protection locked="0"/>
    </xf>
    <xf numFmtId="0" fontId="21" fillId="7" borderId="53" xfId="0" applyFont="1" applyFill="1" applyBorder="1" applyAlignment="1">
      <alignment horizontal="center" vertical="center"/>
    </xf>
    <xf numFmtId="0" fontId="21" fillId="7" borderId="53" xfId="0" applyFont="1" applyFill="1" applyBorder="1" applyAlignment="1">
      <alignment horizontal="center" vertical="center" wrapText="1"/>
    </xf>
    <xf numFmtId="0" fontId="21" fillId="12" borderId="53" xfId="0" applyFont="1" applyFill="1" applyBorder="1"/>
    <xf numFmtId="0" fontId="21" fillId="12" borderId="53" xfId="0" applyFont="1" applyFill="1" applyBorder="1" applyAlignment="1">
      <alignment horizontal="center"/>
    </xf>
    <xf numFmtId="168" fontId="21" fillId="12" borderId="53" xfId="0" applyNumberFormat="1" applyFont="1" applyFill="1" applyBorder="1" applyAlignment="1">
      <alignment horizontal="center"/>
    </xf>
    <xf numFmtId="168" fontId="21" fillId="12" borderId="53" xfId="0" applyNumberFormat="1" applyFont="1" applyFill="1" applyBorder="1" applyAlignment="1">
      <alignment horizontal="right"/>
    </xf>
    <xf numFmtId="0" fontId="22" fillId="12" borderId="0" xfId="0" applyFont="1" applyFill="1"/>
    <xf numFmtId="0" fontId="21" fillId="8" borderId="53" xfId="0" applyFont="1" applyFill="1" applyBorder="1"/>
    <xf numFmtId="0" fontId="21" fillId="8" borderId="53" xfId="0" applyFont="1" applyFill="1" applyBorder="1" applyAlignment="1">
      <alignment horizontal="center"/>
    </xf>
    <xf numFmtId="167" fontId="21" fillId="8" borderId="53" xfId="0" applyNumberFormat="1" applyFont="1" applyFill="1" applyBorder="1" applyAlignment="1">
      <alignment horizontal="center"/>
    </xf>
    <xf numFmtId="168" fontId="21" fillId="8" borderId="53" xfId="0" applyNumberFormat="1" applyFont="1" applyFill="1" applyBorder="1" applyAlignment="1">
      <alignment horizontal="right"/>
    </xf>
    <xf numFmtId="0" fontId="22" fillId="8" borderId="0" xfId="0" applyFont="1" applyFill="1"/>
    <xf numFmtId="0" fontId="21" fillId="0" borderId="0" xfId="0" applyFont="1" applyAlignment="1">
      <alignment horizontal="center" vertical="top" wrapText="1"/>
    </xf>
    <xf numFmtId="168" fontId="22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1" fillId="7" borderId="13" xfId="0" applyFont="1" applyFill="1" applyBorder="1" applyAlignment="1">
      <alignment horizontal="center" vertical="center"/>
    </xf>
    <xf numFmtId="0" fontId="21" fillId="7" borderId="13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/>
    </xf>
    <xf numFmtId="171" fontId="22" fillId="0" borderId="13" xfId="3" applyNumberFormat="1" applyFont="1" applyBorder="1" applyAlignment="1">
      <alignment horizontal="center"/>
    </xf>
    <xf numFmtId="171" fontId="21" fillId="8" borderId="13" xfId="3" applyNumberFormat="1" applyFont="1" applyFill="1" applyBorder="1" applyAlignment="1">
      <alignment horizontal="center"/>
    </xf>
    <xf numFmtId="43" fontId="22" fillId="0" borderId="13" xfId="3" applyFont="1" applyBorder="1" applyAlignment="1">
      <alignment horizontal="center"/>
    </xf>
    <xf numFmtId="168" fontId="21" fillId="8" borderId="0" xfId="0" applyNumberFormat="1" applyFont="1" applyFill="1"/>
    <xf numFmtId="168" fontId="23" fillId="8" borderId="0" xfId="0" applyNumberFormat="1" applyFont="1" applyFill="1"/>
    <xf numFmtId="0" fontId="22" fillId="0" borderId="49" xfId="0" applyFont="1" applyBorder="1" applyAlignment="1">
      <alignment horizontal="center" vertical="top"/>
    </xf>
    <xf numFmtId="171" fontId="8" fillId="0" borderId="0" xfId="3" applyNumberFormat="1" applyFont="1" applyFill="1" applyAlignment="1" applyProtection="1">
      <alignment horizontal="center" vertical="center"/>
      <protection locked="0"/>
    </xf>
    <xf numFmtId="171" fontId="22" fillId="0" borderId="0" xfId="3" applyNumberFormat="1" applyFont="1"/>
    <xf numFmtId="171" fontId="22" fillId="0" borderId="0" xfId="3" applyNumberFormat="1" applyFont="1" applyFill="1"/>
    <xf numFmtId="171" fontId="22" fillId="0" borderId="0" xfId="3" applyNumberFormat="1" applyFont="1" applyAlignment="1">
      <alignment vertical="top"/>
    </xf>
    <xf numFmtId="171" fontId="22" fillId="12" borderId="0" xfId="3" applyNumberFormat="1" applyFont="1" applyFill="1"/>
    <xf numFmtId="171" fontId="22" fillId="8" borderId="0" xfId="3" applyNumberFormat="1" applyFont="1" applyFill="1"/>
    <xf numFmtId="171" fontId="22" fillId="0" borderId="0" xfId="3" applyNumberFormat="1" applyFont="1" applyAlignment="1">
      <alignment horizontal="center" vertical="center"/>
    </xf>
    <xf numFmtId="171" fontId="22" fillId="0" borderId="0" xfId="3" applyNumberFormat="1" applyFont="1" applyFill="1" applyBorder="1" applyAlignment="1" applyProtection="1">
      <alignment horizontal="center" vertical="center"/>
      <protection locked="0"/>
    </xf>
    <xf numFmtId="171" fontId="22" fillId="0" borderId="0" xfId="3" applyNumberFormat="1" applyFont="1" applyFill="1" applyAlignment="1" applyProtection="1">
      <alignment horizontal="center" vertical="center"/>
      <protection locked="0"/>
    </xf>
    <xf numFmtId="171" fontId="22" fillId="0" borderId="49" xfId="3" applyNumberFormat="1" applyFont="1" applyBorder="1" applyAlignment="1">
      <alignment horizontal="center" vertical="center"/>
    </xf>
    <xf numFmtId="171" fontId="22" fillId="0" borderId="49" xfId="3" applyNumberFormat="1" applyFont="1" applyBorder="1" applyAlignment="1">
      <alignment horizontal="center" vertical="center" wrapText="1"/>
    </xf>
    <xf numFmtId="171" fontId="22" fillId="0" borderId="13" xfId="3" applyNumberFormat="1" applyFont="1" applyBorder="1"/>
    <xf numFmtId="171" fontId="22" fillId="0" borderId="49" xfId="3" applyNumberFormat="1" applyFont="1" applyBorder="1" applyAlignment="1">
      <alignment horizontal="center" vertical="center" textRotation="90"/>
    </xf>
    <xf numFmtId="0" fontId="23" fillId="0" borderId="13" xfId="0" applyFont="1" applyBorder="1"/>
    <xf numFmtId="171" fontId="23" fillId="0" borderId="13" xfId="3" applyNumberFormat="1" applyFont="1" applyBorder="1"/>
    <xf numFmtId="171" fontId="21" fillId="8" borderId="13" xfId="3" applyNumberFormat="1" applyFont="1" applyFill="1" applyBorder="1"/>
    <xf numFmtId="0" fontId="21" fillId="0" borderId="0" xfId="1" applyFont="1" applyAlignment="1" applyProtection="1">
      <alignment horizontal="left" vertical="center" wrapText="1"/>
      <protection locked="0"/>
    </xf>
    <xf numFmtId="0" fontId="22" fillId="0" borderId="0" xfId="1" applyFont="1" applyAlignment="1" applyProtection="1">
      <alignment horizontal="left" vertical="center" wrapText="1"/>
      <protection locked="0"/>
    </xf>
    <xf numFmtId="167" fontId="21" fillId="12" borderId="0" xfId="1" applyNumberFormat="1" applyFont="1" applyFill="1" applyAlignment="1" applyProtection="1">
      <alignment horizontal="left" vertical="center" wrapText="1"/>
      <protection locked="0"/>
    </xf>
    <xf numFmtId="167" fontId="22" fillId="12" borderId="0" xfId="1" applyNumberFormat="1" applyFont="1" applyFill="1" applyAlignment="1" applyProtection="1">
      <alignment horizontal="left" vertical="center" wrapText="1"/>
      <protection locked="0"/>
    </xf>
    <xf numFmtId="4" fontId="22" fillId="0" borderId="0" xfId="1" applyNumberFormat="1" applyFont="1" applyAlignment="1" applyProtection="1">
      <alignment horizontal="left" vertical="center" wrapText="1"/>
      <protection locked="0"/>
    </xf>
    <xf numFmtId="167" fontId="21" fillId="0" borderId="0" xfId="1" applyNumberFormat="1" applyFont="1" applyAlignment="1" applyProtection="1">
      <alignment horizontal="left" vertical="center" wrapText="1"/>
      <protection locked="0"/>
    </xf>
    <xf numFmtId="0" fontId="21" fillId="12" borderId="0" xfId="1" applyFont="1" applyFill="1" applyAlignment="1" applyProtection="1">
      <alignment horizontal="left" vertical="center" wrapText="1"/>
      <protection locked="0"/>
    </xf>
    <xf numFmtId="2" fontId="22" fillId="0" borderId="0" xfId="1" applyNumberFormat="1" applyFont="1" applyAlignment="1" applyProtection="1">
      <alignment horizontal="left" vertical="center" wrapText="1"/>
      <protection locked="0"/>
    </xf>
    <xf numFmtId="4" fontId="21" fillId="12" borderId="0" xfId="1" applyNumberFormat="1" applyFont="1" applyFill="1" applyAlignment="1" applyProtection="1">
      <alignment horizontal="left" vertical="center" wrapText="1"/>
      <protection locked="0"/>
    </xf>
    <xf numFmtId="168" fontId="26" fillId="12" borderId="0" xfId="1" applyNumberFormat="1" applyFont="1" applyFill="1" applyAlignment="1" applyProtection="1">
      <alignment horizontal="left" vertical="center" wrapText="1"/>
      <protection locked="0"/>
    </xf>
    <xf numFmtId="0" fontId="21" fillId="15" borderId="0" xfId="1" applyFont="1" applyFill="1" applyAlignment="1" applyProtection="1">
      <alignment horizontal="left" vertical="center" wrapText="1"/>
      <protection locked="0"/>
    </xf>
    <xf numFmtId="171" fontId="22" fillId="0" borderId="0" xfId="3" applyNumberFormat="1" applyFont="1" applyAlignment="1">
      <alignment horizontal="center"/>
    </xf>
    <xf numFmtId="171" fontId="22" fillId="0" borderId="0" xfId="3" applyNumberFormat="1" applyFont="1" applyFill="1" applyAlignment="1">
      <alignment horizontal="center"/>
    </xf>
    <xf numFmtId="171" fontId="22" fillId="0" borderId="0" xfId="3" applyNumberFormat="1" applyFont="1" applyAlignment="1">
      <alignment horizontal="center" vertical="top"/>
    </xf>
    <xf numFmtId="171" fontId="22" fillId="12" borderId="0" xfId="3" applyNumberFormat="1" applyFont="1" applyFill="1" applyAlignment="1">
      <alignment horizontal="center"/>
    </xf>
    <xf numFmtId="171" fontId="22" fillId="8" borderId="0" xfId="3" applyNumberFormat="1" applyFont="1" applyFill="1" applyAlignment="1">
      <alignment horizontal="center"/>
    </xf>
    <xf numFmtId="171" fontId="23" fillId="0" borderId="13" xfId="3" applyNumberFormat="1" applyFont="1" applyBorder="1" applyAlignment="1">
      <alignment horizontal="center"/>
    </xf>
    <xf numFmtId="171" fontId="22" fillId="0" borderId="13" xfId="3" applyNumberFormat="1" applyFont="1" applyFill="1" applyBorder="1" applyAlignment="1" applyProtection="1">
      <alignment horizontal="center" vertical="center"/>
      <protection locked="0"/>
    </xf>
    <xf numFmtId="167" fontId="22" fillId="0" borderId="13" xfId="1" applyNumberFormat="1" applyFont="1" applyBorder="1" applyAlignment="1" applyProtection="1">
      <alignment horizontal="center" vertical="center" wrapText="1"/>
      <protection locked="0"/>
    </xf>
    <xf numFmtId="171" fontId="23" fillId="0" borderId="0" xfId="3" applyNumberFormat="1" applyFont="1" applyFill="1" applyBorder="1" applyAlignment="1" applyProtection="1">
      <alignment horizontal="center" vertical="center"/>
      <protection locked="0"/>
    </xf>
    <xf numFmtId="0" fontId="11" fillId="13" borderId="59" xfId="0" applyFont="1" applyFill="1" applyBorder="1" applyAlignment="1">
      <alignment horizontal="center"/>
    </xf>
    <xf numFmtId="165" fontId="11" fillId="9" borderId="30" xfId="2" applyFont="1" applyFill="1" applyBorder="1" applyAlignment="1" applyProtection="1">
      <alignment horizontal="center" vertical="center"/>
      <protection locked="0"/>
    </xf>
    <xf numFmtId="2" fontId="5" fillId="0" borderId="17" xfId="0" applyNumberFormat="1" applyFont="1" applyBorder="1" applyAlignment="1">
      <alignment horizontal="center"/>
    </xf>
    <xf numFmtId="2" fontId="19" fillId="12" borderId="7" xfId="0" applyNumberFormat="1" applyFont="1" applyFill="1" applyBorder="1" applyAlignment="1">
      <alignment horizontal="center"/>
    </xf>
    <xf numFmtId="2" fontId="19" fillId="12" borderId="9" xfId="0" applyNumberFormat="1" applyFont="1" applyFill="1" applyBorder="1" applyAlignment="1">
      <alignment horizontal="center"/>
    </xf>
    <xf numFmtId="168" fontId="19" fillId="12" borderId="10" xfId="0" applyNumberFormat="1" applyFont="1" applyFill="1" applyBorder="1" applyAlignment="1">
      <alignment horizontal="center"/>
    </xf>
    <xf numFmtId="0" fontId="31" fillId="0" borderId="0" xfId="4" applyFont="1"/>
    <xf numFmtId="0" fontId="28" fillId="0" borderId="0" xfId="4"/>
    <xf numFmtId="0" fontId="32" fillId="0" borderId="60" xfId="4" applyFont="1" applyBorder="1" applyAlignment="1">
      <alignment horizontal="left" vertical="center"/>
    </xf>
    <xf numFmtId="0" fontId="32" fillId="0" borderId="0" xfId="4" applyFont="1" applyAlignment="1">
      <alignment horizontal="left" vertical="center"/>
    </xf>
    <xf numFmtId="0" fontId="34" fillId="0" borderId="0" xfId="4" applyFont="1"/>
    <xf numFmtId="0" fontId="35" fillId="0" borderId="60" xfId="4" applyFont="1" applyBorder="1" applyAlignment="1">
      <alignment horizontal="center" vertical="center"/>
    </xf>
    <xf numFmtId="0" fontId="35" fillId="0" borderId="60" xfId="4" applyFont="1" applyBorder="1" applyAlignment="1">
      <alignment horizontal="center" vertical="center" wrapText="1"/>
    </xf>
    <xf numFmtId="0" fontId="36" fillId="0" borderId="60" xfId="4" applyFont="1" applyBorder="1" applyAlignment="1">
      <alignment horizontal="left"/>
    </xf>
    <xf numFmtId="165" fontId="36" fillId="0" borderId="60" xfId="4" applyNumberFormat="1" applyFont="1" applyBorder="1" applyAlignment="1">
      <alignment horizontal="left" vertical="top"/>
    </xf>
    <xf numFmtId="165" fontId="37" fillId="0" borderId="60" xfId="4" applyNumberFormat="1" applyFont="1" applyBorder="1" applyAlignment="1">
      <alignment horizontal="left" vertical="top"/>
    </xf>
    <xf numFmtId="2" fontId="37" fillId="0" borderId="60" xfId="4" applyNumberFormat="1" applyFont="1" applyBorder="1" applyAlignment="1">
      <alignment horizontal="right" vertical="top"/>
    </xf>
    <xf numFmtId="0" fontId="37" fillId="0" borderId="60" xfId="4" applyFont="1" applyBorder="1" applyAlignment="1">
      <alignment horizontal="left"/>
    </xf>
    <xf numFmtId="0" fontId="37" fillId="0" borderId="60" xfId="4" applyFont="1" applyBorder="1" applyAlignment="1">
      <alignment horizontal="left" vertical="top"/>
    </xf>
    <xf numFmtId="0" fontId="37" fillId="17" borderId="60" xfId="4" applyFont="1" applyFill="1" applyBorder="1" applyAlignment="1">
      <alignment horizontal="right" vertical="top"/>
    </xf>
    <xf numFmtId="2" fontId="37" fillId="17" borderId="60" xfId="4" applyNumberFormat="1" applyFont="1" applyFill="1" applyBorder="1" applyAlignment="1">
      <alignment horizontal="right" vertical="top"/>
    </xf>
    <xf numFmtId="0" fontId="37" fillId="0" borderId="0" xfId="4" applyFont="1" applyAlignment="1">
      <alignment horizontal="left"/>
    </xf>
    <xf numFmtId="0" fontId="37" fillId="0" borderId="0" xfId="4" applyFont="1" applyAlignment="1">
      <alignment horizontal="left" vertical="top"/>
    </xf>
    <xf numFmtId="0" fontId="37" fillId="0" borderId="0" xfId="4" applyFont="1" applyAlignment="1">
      <alignment horizontal="right" vertical="top"/>
    </xf>
    <xf numFmtId="2" fontId="37" fillId="0" borderId="0" xfId="4" applyNumberFormat="1" applyFont="1" applyAlignment="1">
      <alignment horizontal="right" vertical="top"/>
    </xf>
    <xf numFmtId="0" fontId="38" fillId="0" borderId="60" xfId="4" applyFont="1" applyBorder="1" applyAlignment="1">
      <alignment horizontal="right" vertical="top"/>
    </xf>
    <xf numFmtId="0" fontId="38" fillId="0" borderId="0" xfId="4" applyFont="1" applyAlignment="1">
      <alignment horizontal="right" vertical="top"/>
    </xf>
    <xf numFmtId="0" fontId="37" fillId="17" borderId="0" xfId="4" applyFont="1" applyFill="1" applyAlignment="1">
      <alignment horizontal="right" vertical="top"/>
    </xf>
    <xf numFmtId="2" fontId="37" fillId="17" borderId="0" xfId="4" applyNumberFormat="1" applyFont="1" applyFill="1" applyAlignment="1">
      <alignment horizontal="right" vertical="top"/>
    </xf>
    <xf numFmtId="0" fontId="38" fillId="17" borderId="60" xfId="4" applyFont="1" applyFill="1" applyBorder="1" applyAlignment="1">
      <alignment horizontal="right" vertical="top"/>
    </xf>
    <xf numFmtId="0" fontId="39" fillId="0" borderId="0" xfId="4" applyFont="1" applyAlignment="1">
      <alignment horizontal="left"/>
    </xf>
    <xf numFmtId="0" fontId="38" fillId="17" borderId="0" xfId="4" applyFont="1" applyFill="1" applyAlignment="1">
      <alignment horizontal="right" vertical="top"/>
    </xf>
    <xf numFmtId="0" fontId="31" fillId="17" borderId="0" xfId="4" applyFont="1" applyFill="1"/>
    <xf numFmtId="0" fontId="35" fillId="17" borderId="60" xfId="4" applyFont="1" applyFill="1" applyBorder="1" applyAlignment="1">
      <alignment horizontal="center" vertical="center" wrapText="1"/>
    </xf>
    <xf numFmtId="165" fontId="37" fillId="17" borderId="60" xfId="4" applyNumberFormat="1" applyFont="1" applyFill="1" applyBorder="1" applyAlignment="1">
      <alignment horizontal="left" vertical="top"/>
    </xf>
    <xf numFmtId="0" fontId="40" fillId="18" borderId="60" xfId="4" applyFont="1" applyFill="1" applyBorder="1" applyAlignment="1">
      <alignment horizontal="center"/>
    </xf>
    <xf numFmtId="0" fontId="40" fillId="18" borderId="60" xfId="4" applyFont="1" applyFill="1" applyBorder="1" applyAlignment="1">
      <alignment horizontal="center" vertical="top"/>
    </xf>
    <xf numFmtId="2" fontId="36" fillId="0" borderId="60" xfId="4" applyNumberFormat="1" applyFont="1" applyBorder="1" applyAlignment="1">
      <alignment horizontal="right" vertical="top"/>
    </xf>
    <xf numFmtId="0" fontId="36" fillId="18" borderId="60" xfId="4" applyFont="1" applyFill="1" applyBorder="1"/>
    <xf numFmtId="0" fontId="36" fillId="17" borderId="60" xfId="4" applyFont="1" applyFill="1" applyBorder="1" applyAlignment="1">
      <alignment horizontal="right"/>
    </xf>
    <xf numFmtId="0" fontId="36" fillId="0" borderId="0" xfId="4" applyFont="1"/>
    <xf numFmtId="0" fontId="36" fillId="0" borderId="0" xfId="4" applyFont="1" applyAlignment="1">
      <alignment horizontal="right"/>
    </xf>
    <xf numFmtId="0" fontId="40" fillId="18" borderId="60" xfId="4" applyFont="1" applyFill="1" applyBorder="1"/>
    <xf numFmtId="0" fontId="38" fillId="18" borderId="60" xfId="4" applyFont="1" applyFill="1" applyBorder="1" applyAlignment="1">
      <alignment horizontal="right" vertical="top"/>
    </xf>
    <xf numFmtId="0" fontId="40" fillId="0" borderId="0" xfId="4" applyFont="1"/>
    <xf numFmtId="0" fontId="41" fillId="0" borderId="0" xfId="4" applyFont="1"/>
    <xf numFmtId="0" fontId="6" fillId="0" borderId="0" xfId="0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6" fillId="21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6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2" fontId="6" fillId="12" borderId="13" xfId="3" applyNumberFormat="1" applyFont="1" applyFill="1" applyBorder="1" applyAlignment="1">
      <alignment horizontal="center" vertical="center"/>
    </xf>
    <xf numFmtId="2" fontId="6" fillId="24" borderId="13" xfId="3" applyNumberFormat="1" applyFont="1" applyFill="1" applyBorder="1" applyAlignment="1">
      <alignment horizontal="center" vertical="center"/>
    </xf>
    <xf numFmtId="2" fontId="6" fillId="0" borderId="0" xfId="3" applyNumberFormat="1" applyFont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2" fillId="22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20" borderId="0" xfId="0" applyFont="1" applyFill="1" applyAlignment="1">
      <alignment horizontal="center" vertical="center"/>
    </xf>
    <xf numFmtId="166" fontId="42" fillId="0" borderId="13" xfId="0" applyNumberFormat="1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 wrapText="1"/>
    </xf>
    <xf numFmtId="2" fontId="42" fillId="0" borderId="13" xfId="0" applyNumberFormat="1" applyFont="1" applyBorder="1" applyAlignment="1">
      <alignment horizontal="center" vertical="center"/>
    </xf>
    <xf numFmtId="2" fontId="42" fillId="7" borderId="13" xfId="3" applyNumberFormat="1" applyFont="1" applyFill="1" applyBorder="1" applyAlignment="1">
      <alignment horizontal="center" vertical="center"/>
    </xf>
    <xf numFmtId="2" fontId="42" fillId="12" borderId="13" xfId="3" applyNumberFormat="1" applyFont="1" applyFill="1" applyBorder="1" applyAlignment="1">
      <alignment horizontal="center" vertical="center"/>
    </xf>
    <xf numFmtId="2" fontId="42" fillId="24" borderId="13" xfId="3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 wrapText="1"/>
    </xf>
    <xf numFmtId="166" fontId="2" fillId="0" borderId="0" xfId="1" applyNumberFormat="1" applyFont="1" applyAlignment="1" applyProtection="1">
      <alignment horizontal="center" vertical="center"/>
      <protection locked="0"/>
    </xf>
    <xf numFmtId="2" fontId="19" fillId="7" borderId="13" xfId="3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19" fillId="0" borderId="13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2" fontId="19" fillId="0" borderId="13" xfId="0" applyNumberFormat="1" applyFont="1" applyBorder="1" applyAlignment="1">
      <alignment horizontal="center" vertical="center"/>
    </xf>
    <xf numFmtId="2" fontId="19" fillId="24" borderId="13" xfId="3" applyNumberFormat="1" applyFont="1" applyFill="1" applyBorder="1" applyAlignment="1">
      <alignment horizontal="center" vertical="center"/>
    </xf>
    <xf numFmtId="2" fontId="11" fillId="25" borderId="13" xfId="3" applyNumberFormat="1" applyFont="1" applyFill="1" applyBorder="1" applyAlignment="1" applyProtection="1">
      <alignment horizontal="center" vertical="center"/>
      <protection locked="0"/>
    </xf>
    <xf numFmtId="2" fontId="11" fillId="25" borderId="13" xfId="3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1" applyFont="1" applyAlignment="1" applyProtection="1">
      <alignment horizontal="center" vertical="center" wrapText="1"/>
      <protection locked="0"/>
    </xf>
    <xf numFmtId="167" fontId="19" fillId="6" borderId="13" xfId="1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166" fontId="11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2" fontId="11" fillId="0" borderId="13" xfId="0" applyNumberFormat="1" applyFont="1" applyBorder="1" applyAlignment="1">
      <alignment horizontal="center" vertical="center"/>
    </xf>
    <xf numFmtId="2" fontId="11" fillId="7" borderId="13" xfId="3" applyNumberFormat="1" applyFont="1" applyFill="1" applyBorder="1" applyAlignment="1">
      <alignment horizontal="center" vertical="center"/>
    </xf>
    <xf numFmtId="2" fontId="11" fillId="12" borderId="13" xfId="3" applyNumberFormat="1" applyFont="1" applyFill="1" applyBorder="1" applyAlignment="1">
      <alignment horizontal="center" vertical="center"/>
    </xf>
    <xf numFmtId="2" fontId="11" fillId="24" borderId="13" xfId="3" applyNumberFormat="1" applyFont="1" applyFill="1" applyBorder="1" applyAlignment="1">
      <alignment horizontal="center" vertical="center"/>
    </xf>
    <xf numFmtId="2" fontId="19" fillId="12" borderId="13" xfId="3" applyNumberFormat="1" applyFont="1" applyFill="1" applyBorder="1" applyAlignment="1">
      <alignment horizontal="center" vertical="center"/>
    </xf>
    <xf numFmtId="2" fontId="6" fillId="7" borderId="13" xfId="3" applyNumberFormat="1" applyFont="1" applyFill="1" applyBorder="1" applyAlignment="1">
      <alignment horizontal="center" vertical="center"/>
    </xf>
    <xf numFmtId="43" fontId="6" fillId="0" borderId="0" xfId="3" applyFont="1" applyAlignment="1">
      <alignment horizontal="center" vertical="center" wrapText="1"/>
    </xf>
    <xf numFmtId="43" fontId="6" fillId="0" borderId="0" xfId="3" applyFont="1" applyFill="1" applyAlignment="1" applyProtection="1">
      <alignment horizontal="center" vertical="center" wrapText="1"/>
      <protection locked="0"/>
    </xf>
    <xf numFmtId="43" fontId="19" fillId="0" borderId="0" xfId="3" applyFont="1" applyAlignment="1">
      <alignment horizontal="center" vertical="center"/>
    </xf>
    <xf numFmtId="43" fontId="43" fillId="0" borderId="0" xfId="3" applyFont="1" applyAlignment="1">
      <alignment horizontal="center" vertical="center"/>
    </xf>
    <xf numFmtId="43" fontId="11" fillId="0" borderId="0" xfId="3" applyFont="1" applyAlignment="1">
      <alignment horizontal="center" vertical="center"/>
    </xf>
    <xf numFmtId="43" fontId="6" fillId="0" borderId="0" xfId="3" applyFont="1" applyAlignment="1">
      <alignment horizontal="center" vertical="center"/>
    </xf>
    <xf numFmtId="2" fontId="44" fillId="7" borderId="13" xfId="3" applyNumberFormat="1" applyFont="1" applyFill="1" applyBorder="1" applyAlignment="1">
      <alignment horizontal="center" vertical="center"/>
    </xf>
    <xf numFmtId="2" fontId="44" fillId="12" borderId="13" xfId="3" applyNumberFormat="1" applyFont="1" applyFill="1" applyBorder="1" applyAlignment="1">
      <alignment horizontal="center" vertical="center"/>
    </xf>
    <xf numFmtId="43" fontId="44" fillId="0" borderId="0" xfId="3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66" fontId="44" fillId="0" borderId="13" xfId="0" applyNumberFormat="1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 wrapText="1"/>
    </xf>
    <xf numFmtId="2" fontId="44" fillId="0" borderId="13" xfId="0" applyNumberFormat="1" applyFont="1" applyBorder="1" applyAlignment="1">
      <alignment horizontal="center" vertical="center"/>
    </xf>
    <xf numFmtId="2" fontId="44" fillId="24" borderId="13" xfId="3" applyNumberFormat="1" applyFont="1" applyFill="1" applyBorder="1" applyAlignment="1">
      <alignment horizontal="center" vertical="center"/>
    </xf>
    <xf numFmtId="43" fontId="42" fillId="0" borderId="0" xfId="3" applyFont="1" applyAlignment="1">
      <alignment horizontal="center" vertical="center"/>
    </xf>
    <xf numFmtId="0" fontId="44" fillId="23" borderId="0" xfId="0" applyFont="1" applyFill="1" applyAlignment="1">
      <alignment horizontal="center" vertical="center"/>
    </xf>
    <xf numFmtId="1" fontId="5" fillId="0" borderId="0" xfId="3" applyNumberFormat="1" applyFont="1" applyAlignment="1">
      <alignment horizontal="center" vertical="center" wrapText="1"/>
    </xf>
    <xf numFmtId="0" fontId="2" fillId="0" borderId="0" xfId="1" applyFont="1" applyAlignment="1" applyProtection="1">
      <alignment horizontal="left" vertical="center"/>
      <protection locked="0"/>
    </xf>
    <xf numFmtId="0" fontId="45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left" vertical="center"/>
      <protection locked="0"/>
    </xf>
    <xf numFmtId="0" fontId="2" fillId="2" borderId="0" xfId="1" applyFont="1" applyFill="1" applyAlignment="1" applyProtection="1">
      <alignment horizontal="center" vertical="center"/>
      <protection locked="0"/>
    </xf>
    <xf numFmtId="166" fontId="2" fillId="0" borderId="50" xfId="1" applyNumberFormat="1" applyFont="1" applyBorder="1" applyAlignment="1" applyProtection="1">
      <alignment horizontal="center" vertical="center"/>
      <protection locked="0"/>
    </xf>
    <xf numFmtId="165" fontId="45" fillId="0" borderId="0" xfId="2" applyFont="1" applyBorder="1" applyAlignment="1" applyProtection="1">
      <alignment horizontal="center" vertical="center"/>
      <protection locked="0"/>
    </xf>
    <xf numFmtId="0" fontId="2" fillId="0" borderId="63" xfId="1" applyFont="1" applyBorder="1" applyAlignment="1" applyProtection="1">
      <alignment horizontal="center" vertical="center" wrapText="1"/>
      <protection locked="0"/>
    </xf>
    <xf numFmtId="0" fontId="2" fillId="4" borderId="0" xfId="1" applyFont="1" applyFill="1" applyAlignment="1" applyProtection="1">
      <alignment horizontal="center" vertical="center" wrapText="1"/>
      <protection locked="0"/>
    </xf>
    <xf numFmtId="166" fontId="3" fillId="6" borderId="17" xfId="1" applyNumberFormat="1" applyFont="1" applyFill="1" applyBorder="1" applyAlignment="1" applyProtection="1">
      <alignment horizontal="center" vertical="center"/>
      <protection locked="0"/>
    </xf>
    <xf numFmtId="167" fontId="45" fillId="6" borderId="13" xfId="1" applyNumberFormat="1" applyFont="1" applyFill="1" applyBorder="1" applyAlignment="1" applyProtection="1">
      <alignment horizontal="center" vertical="center"/>
      <protection locked="0"/>
    </xf>
    <xf numFmtId="0" fontId="3" fillId="6" borderId="61" xfId="1" applyFont="1" applyFill="1" applyBorder="1" applyAlignment="1" applyProtection="1">
      <alignment horizontal="center" vertical="center" wrapText="1"/>
      <protection locked="0"/>
    </xf>
    <xf numFmtId="0" fontId="3" fillId="6" borderId="12" xfId="1" applyFont="1" applyFill="1" applyBorder="1" applyAlignment="1" applyProtection="1">
      <alignment horizontal="center" vertical="center" wrapText="1"/>
      <protection locked="0"/>
    </xf>
    <xf numFmtId="0" fontId="3" fillId="6" borderId="0" xfId="1" applyFont="1" applyFill="1" applyAlignment="1" applyProtection="1">
      <alignment horizontal="center" vertical="center" wrapText="1"/>
      <protection locked="0"/>
    </xf>
    <xf numFmtId="167" fontId="3" fillId="6" borderId="12" xfId="1" applyNumberFormat="1" applyFont="1" applyFill="1" applyBorder="1" applyAlignment="1" applyProtection="1">
      <alignment horizontal="center" vertical="center"/>
      <protection locked="0"/>
    </xf>
    <xf numFmtId="167" fontId="3" fillId="6" borderId="0" xfId="1" applyNumberFormat="1" applyFont="1" applyFill="1" applyAlignment="1" applyProtection="1">
      <alignment horizontal="center" vertical="center"/>
      <protection locked="0"/>
    </xf>
    <xf numFmtId="166" fontId="3" fillId="0" borderId="17" xfId="1" applyNumberFormat="1" applyFont="1" applyBorder="1" applyAlignment="1" applyProtection="1">
      <alignment horizontal="center" vertical="center"/>
      <protection locked="0"/>
    </xf>
    <xf numFmtId="0" fontId="3" fillId="0" borderId="61" xfId="1" applyFont="1" applyBorder="1" applyAlignment="1" applyProtection="1">
      <alignment horizontal="center" vertical="center" wrapText="1"/>
      <protection locked="0"/>
    </xf>
    <xf numFmtId="0" fontId="3" fillId="6" borderId="0" xfId="1" applyFont="1" applyFill="1" applyAlignment="1" applyProtection="1">
      <alignment horizontal="left" vertical="center"/>
      <protection locked="0"/>
    </xf>
    <xf numFmtId="0" fontId="3" fillId="6" borderId="0" xfId="1" applyFont="1" applyFill="1" applyAlignment="1" applyProtection="1">
      <alignment horizontal="right" vertical="center"/>
      <protection locked="0"/>
    </xf>
    <xf numFmtId="4" fontId="3" fillId="6" borderId="0" xfId="1" applyNumberFormat="1" applyFont="1" applyFill="1" applyAlignment="1" applyProtection="1">
      <alignment horizontal="center" vertical="center"/>
      <protection locked="0"/>
    </xf>
    <xf numFmtId="166" fontId="3" fillId="0" borderId="50" xfId="1" applyNumberFormat="1" applyFont="1" applyBorder="1" applyAlignment="1" applyProtection="1">
      <alignment horizontal="center" vertical="center"/>
      <protection locked="0"/>
    </xf>
    <xf numFmtId="167" fontId="3" fillId="0" borderId="64" xfId="1" applyNumberFormat="1" applyFont="1" applyBorder="1" applyAlignment="1" applyProtection="1">
      <alignment horizontal="center" vertical="center" wrapText="1"/>
      <protection locked="0"/>
    </xf>
    <xf numFmtId="167" fontId="3" fillId="0" borderId="29" xfId="1" applyNumberFormat="1" applyFont="1" applyBorder="1" applyAlignment="1" applyProtection="1">
      <alignment horizontal="center" vertical="center"/>
      <protection locked="0"/>
    </xf>
    <xf numFmtId="167" fontId="45" fillId="0" borderId="29" xfId="1" applyNumberFormat="1" applyFont="1" applyBorder="1" applyAlignment="1" applyProtection="1">
      <alignment horizontal="center" vertical="center"/>
      <protection locked="0"/>
    </xf>
    <xf numFmtId="0" fontId="3" fillId="0" borderId="65" xfId="1" applyFont="1" applyBorder="1" applyAlignment="1" applyProtection="1">
      <alignment horizontal="center" vertical="center" wrapText="1"/>
      <protection locked="0"/>
    </xf>
    <xf numFmtId="166" fontId="2" fillId="0" borderId="52" xfId="1" applyNumberFormat="1" applyFont="1" applyBorder="1" applyAlignment="1" applyProtection="1">
      <alignment horizontal="center" vertical="center"/>
      <protection locked="0"/>
    </xf>
    <xf numFmtId="167" fontId="47" fillId="0" borderId="8" xfId="1" applyNumberFormat="1" applyFont="1" applyBorder="1" applyAlignment="1" applyProtection="1">
      <alignment horizontal="center" vertical="center"/>
      <protection locked="0"/>
    </xf>
    <xf numFmtId="0" fontId="2" fillId="0" borderId="9" xfId="1" applyFont="1" applyBorder="1" applyAlignment="1" applyProtection="1">
      <alignment horizontal="center" vertical="center"/>
      <protection locked="0"/>
    </xf>
    <xf numFmtId="0" fontId="2" fillId="0" borderId="48" xfId="1" applyFont="1" applyBorder="1" applyAlignment="1" applyProtection="1">
      <alignment horizontal="center" vertical="center" wrapText="1"/>
      <protection locked="0"/>
    </xf>
    <xf numFmtId="167" fontId="47" fillId="0" borderId="0" xfId="1" applyNumberFormat="1" applyFont="1" applyAlignment="1" applyProtection="1">
      <alignment horizontal="center" vertical="center"/>
      <protection locked="0"/>
    </xf>
    <xf numFmtId="0" fontId="2" fillId="0" borderId="27" xfId="1" applyFont="1" applyBorder="1" applyAlignment="1" applyProtection="1">
      <alignment horizontal="center" vertical="center" wrapText="1"/>
      <protection locked="0"/>
    </xf>
    <xf numFmtId="2" fontId="2" fillId="0" borderId="0" xfId="1" applyNumberFormat="1" applyFont="1" applyAlignment="1" applyProtection="1">
      <alignment horizontal="center" vertical="center"/>
      <protection locked="0"/>
    </xf>
    <xf numFmtId="165" fontId="47" fillId="4" borderId="5" xfId="2" applyFont="1" applyFill="1" applyBorder="1" applyAlignment="1" applyProtection="1">
      <alignment horizontal="center" vertical="center" wrapText="1"/>
      <protection locked="0"/>
    </xf>
    <xf numFmtId="165" fontId="47" fillId="4" borderId="9" xfId="2" applyFont="1" applyFill="1" applyBorder="1" applyAlignment="1" applyProtection="1">
      <alignment horizontal="center" vertical="center" wrapText="1"/>
      <protection locked="0"/>
    </xf>
    <xf numFmtId="167" fontId="45" fillId="0" borderId="13" xfId="1" applyNumberFormat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 vertical="center"/>
      <protection locked="0"/>
    </xf>
    <xf numFmtId="0" fontId="2" fillId="6" borderId="0" xfId="1" applyFont="1" applyFill="1" applyAlignment="1" applyProtection="1">
      <alignment horizontal="left" vertical="center"/>
      <protection locked="0"/>
    </xf>
    <xf numFmtId="166" fontId="3" fillId="11" borderId="17" xfId="1" applyNumberFormat="1" applyFont="1" applyFill="1" applyBorder="1" applyAlignment="1" applyProtection="1">
      <alignment horizontal="center" vertical="center"/>
      <protection locked="0"/>
    </xf>
    <xf numFmtId="0" fontId="3" fillId="11" borderId="13" xfId="1" applyFont="1" applyFill="1" applyBorder="1" applyAlignment="1" applyProtection="1">
      <alignment horizontal="center" vertical="center" wrapText="1"/>
      <protection locked="0"/>
    </xf>
    <xf numFmtId="167" fontId="3" fillId="11" borderId="13" xfId="1" applyNumberFormat="1" applyFont="1" applyFill="1" applyBorder="1" applyAlignment="1" applyProtection="1">
      <alignment horizontal="center" vertical="center"/>
      <protection locked="0"/>
    </xf>
    <xf numFmtId="0" fontId="3" fillId="11" borderId="13" xfId="1" applyFont="1" applyFill="1" applyBorder="1" applyAlignment="1" applyProtection="1">
      <alignment horizontal="center" vertical="center"/>
      <protection locked="0"/>
    </xf>
    <xf numFmtId="0" fontId="3" fillId="11" borderId="61" xfId="1" applyFont="1" applyFill="1" applyBorder="1" applyAlignment="1" applyProtection="1">
      <alignment horizontal="center" vertical="center" wrapText="1"/>
      <protection locked="0"/>
    </xf>
    <xf numFmtId="0" fontId="3" fillId="11" borderId="0" xfId="1" applyFont="1" applyFill="1" applyAlignment="1" applyProtection="1">
      <alignment horizontal="center" vertical="center" wrapText="1"/>
      <protection locked="0"/>
    </xf>
    <xf numFmtId="0" fontId="2" fillId="11" borderId="0" xfId="1" applyFont="1" applyFill="1" applyAlignment="1" applyProtection="1">
      <alignment horizontal="left" vertical="center"/>
      <protection locked="0"/>
    </xf>
    <xf numFmtId="0" fontId="2" fillId="11" borderId="0" xfId="1" applyFont="1" applyFill="1" applyAlignment="1" applyProtection="1">
      <alignment horizontal="center" vertical="center"/>
      <protection locked="0"/>
    </xf>
    <xf numFmtId="166" fontId="3" fillId="6" borderId="18" xfId="1" applyNumberFormat="1" applyFont="1" applyFill="1" applyBorder="1" applyAlignment="1" applyProtection="1">
      <alignment horizontal="center" vertical="center"/>
      <protection locked="0"/>
    </xf>
    <xf numFmtId="167" fontId="45" fillId="0" borderId="19" xfId="1" applyNumberFormat="1" applyFont="1" applyBorder="1" applyAlignment="1" applyProtection="1">
      <alignment horizontal="center" vertical="center"/>
      <protection locked="0"/>
    </xf>
    <xf numFmtId="0" fontId="3" fillId="6" borderId="19" xfId="1" applyFont="1" applyFill="1" applyBorder="1" applyAlignment="1" applyProtection="1">
      <alignment horizontal="center" vertical="center"/>
      <protection locked="0"/>
    </xf>
    <xf numFmtId="0" fontId="3" fillId="6" borderId="65" xfId="1" applyFont="1" applyFill="1" applyBorder="1" applyAlignment="1" applyProtection="1">
      <alignment horizontal="center" vertical="center" wrapText="1"/>
      <protection locked="0"/>
    </xf>
    <xf numFmtId="167" fontId="47" fillId="0" borderId="9" xfId="1" applyNumberFormat="1" applyFont="1" applyBorder="1" applyAlignment="1" applyProtection="1">
      <alignment horizontal="center" vertical="center"/>
      <protection locked="0"/>
    </xf>
    <xf numFmtId="0" fontId="2" fillId="0" borderId="64" xfId="1" applyFont="1" applyBorder="1" applyAlignment="1" applyProtection="1">
      <alignment horizontal="center" vertical="center" wrapText="1"/>
      <protection locked="0"/>
    </xf>
    <xf numFmtId="4" fontId="3" fillId="6" borderId="13" xfId="1" applyNumberFormat="1" applyFont="1" applyFill="1" applyBorder="1" applyAlignment="1" applyProtection="1">
      <alignment horizontal="center" vertical="center"/>
      <protection locked="0"/>
    </xf>
    <xf numFmtId="4" fontId="3" fillId="0" borderId="13" xfId="1" applyNumberFormat="1" applyFont="1" applyBorder="1" applyAlignment="1" applyProtection="1">
      <alignment horizontal="center" vertical="center"/>
      <protection locked="0"/>
    </xf>
    <xf numFmtId="167" fontId="45" fillId="11" borderId="13" xfId="1" applyNumberFormat="1" applyFont="1" applyFill="1" applyBorder="1" applyAlignment="1" applyProtection="1">
      <alignment horizontal="center" vertical="center"/>
      <protection locked="0"/>
    </xf>
    <xf numFmtId="166" fontId="3" fillId="0" borderId="18" xfId="1" applyNumberFormat="1" applyFont="1" applyBorder="1" applyAlignment="1" applyProtection="1">
      <alignment horizontal="center" vertical="center"/>
      <protection locked="0"/>
    </xf>
    <xf numFmtId="167" fontId="45" fillId="6" borderId="19" xfId="1" applyNumberFormat="1" applyFont="1" applyFill="1" applyBorder="1" applyAlignment="1" applyProtection="1">
      <alignment horizontal="center" vertical="center"/>
      <protection locked="0"/>
    </xf>
    <xf numFmtId="0" fontId="2" fillId="0" borderId="21" xfId="1" applyFont="1" applyBorder="1" applyAlignment="1" applyProtection="1">
      <alignment horizontal="center" vertical="center" wrapText="1"/>
      <protection locked="0"/>
    </xf>
    <xf numFmtId="166" fontId="3" fillId="6" borderId="17" xfId="1" applyNumberFormat="1" applyFont="1" applyFill="1" applyBorder="1" applyAlignment="1" applyProtection="1">
      <alignment horizontal="center" vertical="center" wrapText="1"/>
      <protection locked="0"/>
    </xf>
    <xf numFmtId="4" fontId="3" fillId="6" borderId="13" xfId="1" applyNumberFormat="1" applyFont="1" applyFill="1" applyBorder="1" applyAlignment="1" applyProtection="1">
      <alignment horizontal="center" vertical="center" wrapText="1"/>
      <protection locked="0"/>
    </xf>
    <xf numFmtId="167" fontId="45" fillId="6" borderId="13" xfId="1" applyNumberFormat="1" applyFont="1" applyFill="1" applyBorder="1" applyAlignment="1" applyProtection="1">
      <alignment horizontal="center" vertical="center" wrapText="1"/>
      <protection locked="0"/>
    </xf>
    <xf numFmtId="0" fontId="2" fillId="6" borderId="0" xfId="1" applyFont="1" applyFill="1" applyAlignment="1" applyProtection="1">
      <alignment horizontal="left" vertical="center" wrapText="1"/>
      <protection locked="0"/>
    </xf>
    <xf numFmtId="0" fontId="2" fillId="6" borderId="0" xfId="1" applyFont="1" applyFill="1" applyAlignment="1" applyProtection="1">
      <alignment horizontal="center" vertical="center" wrapText="1"/>
      <protection locked="0"/>
    </xf>
    <xf numFmtId="0" fontId="3" fillId="0" borderId="9" xfId="1" applyFont="1" applyBorder="1" applyAlignment="1" applyProtection="1">
      <alignment horizontal="center" vertical="center"/>
      <protection locked="0"/>
    </xf>
    <xf numFmtId="0" fontId="3" fillId="0" borderId="48" xfId="1" applyFont="1" applyBorder="1" applyAlignment="1" applyProtection="1">
      <alignment horizontal="center" vertical="center" wrapText="1"/>
      <protection locked="0"/>
    </xf>
    <xf numFmtId="167" fontId="45" fillId="0" borderId="0" xfId="1" applyNumberFormat="1" applyFont="1" applyAlignment="1" applyProtection="1">
      <alignment horizontal="center" vertical="center"/>
      <protection locked="0"/>
    </xf>
    <xf numFmtId="0" fontId="3" fillId="0" borderId="23" xfId="1" applyFont="1" applyBorder="1" applyAlignment="1" applyProtection="1">
      <alignment horizontal="center" vertical="center" wrapText="1"/>
      <protection locked="0"/>
    </xf>
    <xf numFmtId="0" fontId="2" fillId="0" borderId="66" xfId="1" applyFont="1" applyBorder="1" applyAlignment="1" applyProtection="1">
      <alignment horizontal="center" vertical="center" wrapText="1"/>
      <protection locked="0"/>
    </xf>
    <xf numFmtId="3" fontId="3" fillId="11" borderId="13" xfId="1" applyNumberFormat="1" applyFont="1" applyFill="1" applyBorder="1" applyAlignment="1" applyProtection="1">
      <alignment horizontal="center" vertical="center" wrapText="1"/>
      <protection locked="0"/>
    </xf>
    <xf numFmtId="166" fontId="3" fillId="6" borderId="7" xfId="1" applyNumberFormat="1" applyFont="1" applyFill="1" applyBorder="1" applyAlignment="1" applyProtection="1">
      <alignment horizontal="center" vertical="center"/>
      <protection locked="0"/>
    </xf>
    <xf numFmtId="3" fontId="3" fillId="6" borderId="9" xfId="1" applyNumberFormat="1" applyFont="1" applyFill="1" applyBorder="1" applyAlignment="1" applyProtection="1">
      <alignment horizontal="center" vertical="center" wrapText="1"/>
      <protection locked="0"/>
    </xf>
    <xf numFmtId="0" fontId="3" fillId="6" borderId="9" xfId="1" applyFont="1" applyFill="1" applyBorder="1" applyAlignment="1" applyProtection="1">
      <alignment horizontal="center" vertical="center"/>
      <protection locked="0"/>
    </xf>
    <xf numFmtId="0" fontId="3" fillId="6" borderId="48" xfId="1" applyFont="1" applyFill="1" applyBorder="1" applyAlignment="1" applyProtection="1">
      <alignment horizontal="center" vertical="center" wrapText="1"/>
      <protection locked="0"/>
    </xf>
    <xf numFmtId="0" fontId="2" fillId="0" borderId="13" xfId="1" applyFont="1" applyBorder="1" applyAlignment="1" applyProtection="1">
      <alignment horizontal="center" vertical="center" wrapText="1"/>
      <protection locked="0"/>
    </xf>
    <xf numFmtId="3" fontId="3" fillId="0" borderId="19" xfId="1" applyNumberFormat="1" applyFont="1" applyBorder="1" applyAlignment="1" applyProtection="1">
      <alignment horizontal="center" vertical="center" wrapText="1"/>
      <protection locked="0"/>
    </xf>
    <xf numFmtId="166" fontId="3" fillId="0" borderId="11" xfId="1" applyNumberFormat="1" applyFont="1" applyBorder="1" applyAlignment="1" applyProtection="1">
      <alignment horizontal="center" vertical="center"/>
      <protection locked="0"/>
    </xf>
    <xf numFmtId="167" fontId="45" fillId="0" borderId="12" xfId="1" applyNumberFormat="1" applyFont="1" applyBorder="1" applyAlignment="1" applyProtection="1">
      <alignment horizontal="center" vertical="center"/>
      <protection locked="0"/>
    </xf>
    <xf numFmtId="0" fontId="3" fillId="0" borderId="67" xfId="1" applyFont="1" applyBorder="1" applyAlignment="1" applyProtection="1">
      <alignment horizontal="center" vertical="center" wrapText="1"/>
      <protection locked="0"/>
    </xf>
    <xf numFmtId="166" fontId="2" fillId="0" borderId="17" xfId="1" applyNumberFormat="1" applyFont="1" applyBorder="1" applyAlignment="1" applyProtection="1">
      <alignment horizontal="center" vertical="center"/>
      <protection locked="0"/>
    </xf>
    <xf numFmtId="0" fontId="2" fillId="0" borderId="61" xfId="1" applyFont="1" applyBorder="1" applyAlignment="1" applyProtection="1">
      <alignment horizontal="center" vertical="center" wrapText="1"/>
      <protection locked="0"/>
    </xf>
    <xf numFmtId="167" fontId="2" fillId="15" borderId="9" xfId="1" applyNumberFormat="1" applyFont="1" applyFill="1" applyBorder="1" applyAlignment="1" applyProtection="1">
      <alignment horizontal="center" vertical="center"/>
      <protection locked="0"/>
    </xf>
    <xf numFmtId="167" fontId="47" fillId="15" borderId="9" xfId="1" applyNumberFormat="1" applyFont="1" applyFill="1" applyBorder="1" applyAlignment="1" applyProtection="1">
      <alignment horizontal="center" vertical="center"/>
      <protection locked="0"/>
    </xf>
    <xf numFmtId="0" fontId="2" fillId="15" borderId="9" xfId="1" applyFont="1" applyFill="1" applyBorder="1" applyAlignment="1" applyProtection="1">
      <alignment horizontal="center" vertical="center"/>
      <protection locked="0"/>
    </xf>
    <xf numFmtId="0" fontId="2" fillId="15" borderId="48" xfId="1" applyFont="1" applyFill="1" applyBorder="1" applyAlignment="1" applyProtection="1">
      <alignment horizontal="center" vertical="center" wrapText="1"/>
      <protection locked="0"/>
    </xf>
    <xf numFmtId="0" fontId="2" fillId="15" borderId="13" xfId="1" applyFont="1" applyFill="1" applyBorder="1" applyAlignment="1" applyProtection="1">
      <alignment horizontal="center" vertical="center" wrapText="1"/>
      <protection locked="0"/>
    </xf>
    <xf numFmtId="0" fontId="3" fillId="11" borderId="12" xfId="1" applyFont="1" applyFill="1" applyBorder="1" applyAlignment="1" applyProtection="1">
      <alignment horizontal="center" vertical="center" wrapText="1"/>
      <protection locked="0"/>
    </xf>
    <xf numFmtId="0" fontId="3" fillId="11" borderId="0" xfId="1" applyFont="1" applyFill="1" applyAlignment="1" applyProtection="1">
      <alignment horizontal="left" vertical="center"/>
      <protection locked="0"/>
    </xf>
    <xf numFmtId="0" fontId="3" fillId="11" borderId="0" xfId="1" applyFont="1" applyFill="1" applyAlignment="1" applyProtection="1">
      <alignment horizontal="center" vertical="center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166" fontId="3" fillId="3" borderId="17" xfId="1" applyNumberFormat="1" applyFont="1" applyFill="1" applyBorder="1" applyAlignment="1" applyProtection="1">
      <alignment horizontal="center" vertical="center"/>
      <protection locked="0"/>
    </xf>
    <xf numFmtId="167" fontId="3" fillId="3" borderId="13" xfId="1" applyNumberFormat="1" applyFont="1" applyFill="1" applyBorder="1" applyAlignment="1" applyProtection="1">
      <alignment horizontal="center" vertical="center"/>
      <protection locked="0"/>
    </xf>
    <xf numFmtId="167" fontId="45" fillId="3" borderId="13" xfId="1" applyNumberFormat="1" applyFont="1" applyFill="1" applyBorder="1" applyAlignment="1" applyProtection="1">
      <alignment horizontal="center" vertical="center"/>
      <protection locked="0"/>
    </xf>
    <xf numFmtId="168" fontId="3" fillId="3" borderId="13" xfId="1" applyNumberFormat="1" applyFont="1" applyFill="1" applyBorder="1" applyAlignment="1" applyProtection="1">
      <alignment horizontal="center" vertical="center"/>
      <protection locked="0"/>
    </xf>
    <xf numFmtId="0" fontId="3" fillId="3" borderId="13" xfId="1" applyFont="1" applyFill="1" applyBorder="1" applyAlignment="1" applyProtection="1">
      <alignment horizontal="center" vertical="center"/>
      <protection locked="0"/>
    </xf>
    <xf numFmtId="0" fontId="3" fillId="3" borderId="61" xfId="1" applyFont="1" applyFill="1" applyBorder="1" applyAlignment="1" applyProtection="1">
      <alignment horizontal="center" vertical="center" wrapText="1"/>
      <protection locked="0"/>
    </xf>
    <xf numFmtId="0" fontId="3" fillId="3" borderId="0" xfId="1" applyFont="1" applyFill="1" applyAlignment="1" applyProtection="1">
      <alignment horizontal="center" vertical="center" wrapText="1"/>
      <protection locked="0"/>
    </xf>
    <xf numFmtId="0" fontId="3" fillId="3" borderId="0" xfId="1" applyFont="1" applyFill="1" applyAlignment="1" applyProtection="1">
      <alignment horizontal="left" vertical="center"/>
      <protection locked="0"/>
    </xf>
    <xf numFmtId="0" fontId="3" fillId="3" borderId="0" xfId="1" applyFont="1" applyFill="1" applyAlignment="1" applyProtection="1">
      <alignment horizontal="center" vertical="center"/>
      <protection locked="0"/>
    </xf>
    <xf numFmtId="168" fontId="3" fillId="0" borderId="13" xfId="1" applyNumberFormat="1" applyFont="1" applyBorder="1" applyAlignment="1" applyProtection="1">
      <alignment horizontal="center" vertical="center"/>
      <protection locked="0"/>
    </xf>
    <xf numFmtId="168" fontId="3" fillId="11" borderId="13" xfId="1" applyNumberFormat="1" applyFont="1" applyFill="1" applyBorder="1" applyAlignment="1" applyProtection="1">
      <alignment horizontal="center" vertical="center"/>
      <protection locked="0"/>
    </xf>
    <xf numFmtId="0" fontId="3" fillId="0" borderId="49" xfId="1" applyFont="1" applyBorder="1" applyAlignment="1" applyProtection="1">
      <alignment horizontal="center" vertical="center" wrapText="1"/>
      <protection locked="0"/>
    </xf>
    <xf numFmtId="0" fontId="3" fillId="0" borderId="49" xfId="1" applyFont="1" applyBorder="1" applyAlignment="1" applyProtection="1">
      <alignment horizontal="left" vertical="center"/>
      <protection locked="0"/>
    </xf>
    <xf numFmtId="0" fontId="3" fillId="0" borderId="49" xfId="1" quotePrefix="1" applyFont="1" applyBorder="1" applyAlignment="1" applyProtection="1">
      <alignment horizontal="left" vertical="center"/>
      <protection locked="0"/>
    </xf>
    <xf numFmtId="0" fontId="3" fillId="0" borderId="49" xfId="1" applyFont="1" applyBorder="1" applyAlignment="1" applyProtection="1">
      <alignment horizontal="center" vertical="center"/>
      <protection locked="0"/>
    </xf>
    <xf numFmtId="0" fontId="2" fillId="2" borderId="5" xfId="1" applyFont="1" applyFill="1" applyBorder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horizontal="left" vertical="center"/>
      <protection locked="0"/>
    </xf>
    <xf numFmtId="166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9" xfId="1" applyFont="1" applyBorder="1" applyAlignment="1" applyProtection="1">
      <alignment horizontal="center" vertical="center" wrapText="1"/>
      <protection locked="0"/>
    </xf>
    <xf numFmtId="167" fontId="3" fillId="0" borderId="9" xfId="1" applyNumberFormat="1" applyFont="1" applyBorder="1" applyAlignment="1" applyProtection="1">
      <alignment horizontal="center" vertical="center"/>
      <protection locked="0"/>
    </xf>
    <xf numFmtId="166" fontId="3" fillId="26" borderId="17" xfId="1" applyNumberFormat="1" applyFont="1" applyFill="1" applyBorder="1" applyAlignment="1" applyProtection="1">
      <alignment horizontal="center" vertical="center"/>
      <protection locked="0"/>
    </xf>
    <xf numFmtId="0" fontId="3" fillId="26" borderId="13" xfId="1" applyFont="1" applyFill="1" applyBorder="1" applyAlignment="1" applyProtection="1">
      <alignment horizontal="center" vertical="center" wrapText="1"/>
      <protection locked="0"/>
    </xf>
    <xf numFmtId="167" fontId="3" fillId="26" borderId="13" xfId="1" applyNumberFormat="1" applyFont="1" applyFill="1" applyBorder="1" applyAlignment="1" applyProtection="1">
      <alignment horizontal="center" vertical="center"/>
      <protection locked="0"/>
    </xf>
    <xf numFmtId="167" fontId="45" fillId="26" borderId="13" xfId="1" applyNumberFormat="1" applyFont="1" applyFill="1" applyBorder="1" applyAlignment="1" applyProtection="1">
      <alignment horizontal="center" vertical="center"/>
      <protection locked="0"/>
    </xf>
    <xf numFmtId="0" fontId="3" fillId="26" borderId="13" xfId="1" applyFont="1" applyFill="1" applyBorder="1" applyAlignment="1" applyProtection="1">
      <alignment horizontal="center" vertical="center"/>
      <protection locked="0"/>
    </xf>
    <xf numFmtId="0" fontId="3" fillId="26" borderId="61" xfId="1" applyFont="1" applyFill="1" applyBorder="1" applyAlignment="1" applyProtection="1">
      <alignment horizontal="center" vertical="center" wrapText="1"/>
      <protection locked="0"/>
    </xf>
    <xf numFmtId="0" fontId="3" fillId="26" borderId="0" xfId="1" applyFont="1" applyFill="1" applyAlignment="1" applyProtection="1">
      <alignment horizontal="center" vertical="center" wrapText="1"/>
      <protection locked="0"/>
    </xf>
    <xf numFmtId="0" fontId="3" fillId="26" borderId="0" xfId="1" applyFont="1" applyFill="1" applyAlignment="1" applyProtection="1">
      <alignment horizontal="left" vertical="center"/>
      <protection locked="0"/>
    </xf>
    <xf numFmtId="0" fontId="3" fillId="26" borderId="0" xfId="1" applyFont="1" applyFill="1" applyAlignment="1" applyProtection="1">
      <alignment horizontal="center" vertical="center"/>
      <protection locked="0"/>
    </xf>
    <xf numFmtId="167" fontId="3" fillId="26" borderId="0" xfId="1" applyNumberFormat="1" applyFont="1" applyFill="1" applyAlignment="1" applyProtection="1">
      <alignment horizontal="center" vertical="center"/>
      <protection locked="0"/>
    </xf>
    <xf numFmtId="166" fontId="3" fillId="3" borderId="18" xfId="1" applyNumberFormat="1" applyFont="1" applyFill="1" applyBorder="1" applyAlignment="1" applyProtection="1">
      <alignment horizontal="center" vertical="center"/>
      <protection locked="0"/>
    </xf>
    <xf numFmtId="167" fontId="3" fillId="3" borderId="19" xfId="1" applyNumberFormat="1" applyFont="1" applyFill="1" applyBorder="1" applyAlignment="1" applyProtection="1">
      <alignment horizontal="center" vertical="center"/>
      <protection locked="0"/>
    </xf>
    <xf numFmtId="0" fontId="3" fillId="3" borderId="65" xfId="1" applyFont="1" applyFill="1" applyBorder="1" applyAlignment="1" applyProtection="1">
      <alignment horizontal="center" vertical="center" wrapText="1"/>
      <protection locked="0"/>
    </xf>
    <xf numFmtId="0" fontId="45" fillId="6" borderId="13" xfId="1" applyFont="1" applyFill="1" applyBorder="1" applyAlignment="1" applyProtection="1">
      <alignment horizontal="center" vertical="center"/>
      <protection locked="0"/>
    </xf>
    <xf numFmtId="168" fontId="3" fillId="0" borderId="19" xfId="1" applyNumberFormat="1" applyFont="1" applyBorder="1" applyAlignment="1" applyProtection="1">
      <alignment horizontal="center" vertical="center"/>
      <protection locked="0"/>
    </xf>
    <xf numFmtId="2" fontId="3" fillId="11" borderId="13" xfId="1" applyNumberFormat="1" applyFont="1" applyFill="1" applyBorder="1" applyAlignment="1" applyProtection="1">
      <alignment horizontal="center" vertical="center"/>
      <protection locked="0"/>
    </xf>
    <xf numFmtId="2" fontId="45" fillId="11" borderId="13" xfId="1" applyNumberFormat="1" applyFont="1" applyFill="1" applyBorder="1" applyAlignment="1" applyProtection="1">
      <alignment horizontal="center" vertical="center"/>
      <protection locked="0"/>
    </xf>
    <xf numFmtId="2" fontId="45" fillId="6" borderId="13" xfId="1" applyNumberFormat="1" applyFont="1" applyFill="1" applyBorder="1" applyAlignment="1" applyProtection="1">
      <alignment horizontal="center" vertical="center"/>
      <protection locked="0"/>
    </xf>
    <xf numFmtId="2" fontId="45" fillId="6" borderId="9" xfId="1" applyNumberFormat="1" applyFont="1" applyFill="1" applyBorder="1" applyAlignment="1" applyProtection="1">
      <alignment horizontal="center" vertical="center"/>
      <protection locked="0"/>
    </xf>
    <xf numFmtId="167" fontId="47" fillId="0" borderId="12" xfId="1" applyNumberFormat="1" applyFont="1" applyBorder="1" applyAlignment="1" applyProtection="1">
      <alignment horizontal="center" vertical="center"/>
      <protection locked="0"/>
    </xf>
    <xf numFmtId="0" fontId="2" fillId="0" borderId="49" xfId="1" applyFont="1" applyBorder="1" applyAlignment="1" applyProtection="1">
      <alignment horizontal="center" vertical="center" wrapText="1"/>
      <protection locked="0"/>
    </xf>
    <xf numFmtId="0" fontId="2" fillId="0" borderId="33" xfId="1" applyFont="1" applyBorder="1" applyAlignment="1" applyProtection="1">
      <alignment horizontal="center" vertical="center" wrapText="1"/>
      <protection locked="0"/>
    </xf>
    <xf numFmtId="167" fontId="47" fillId="7" borderId="23" xfId="1" applyNumberFormat="1" applyFont="1" applyFill="1" applyBorder="1" applyAlignment="1" applyProtection="1">
      <alignment horizontal="center" vertical="center"/>
      <protection locked="0"/>
    </xf>
    <xf numFmtId="0" fontId="2" fillId="7" borderId="23" xfId="1" applyFont="1" applyFill="1" applyBorder="1" applyAlignment="1" applyProtection="1">
      <alignment horizontal="center" vertical="center"/>
      <protection locked="0"/>
    </xf>
    <xf numFmtId="0" fontId="2" fillId="7" borderId="68" xfId="1" applyFont="1" applyFill="1" applyBorder="1" applyAlignment="1" applyProtection="1">
      <alignment horizontal="center" vertical="center" wrapText="1"/>
      <protection locked="0"/>
    </xf>
    <xf numFmtId="0" fontId="2" fillId="7" borderId="13" xfId="1" applyFont="1" applyFill="1" applyBorder="1" applyAlignment="1" applyProtection="1">
      <alignment horizontal="center" vertical="center" wrapText="1"/>
      <protection locked="0"/>
    </xf>
    <xf numFmtId="0" fontId="2" fillId="7" borderId="0" xfId="1" applyFont="1" applyFill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horizontal="left" vertical="center" wrapText="1"/>
      <protection locked="0"/>
    </xf>
    <xf numFmtId="0" fontId="2" fillId="0" borderId="69" xfId="1" applyFont="1" applyBorder="1" applyAlignment="1" applyProtection="1">
      <alignment horizontal="left" vertical="center"/>
      <protection locked="0"/>
    </xf>
    <xf numFmtId="0" fontId="2" fillId="7" borderId="0" xfId="1" applyFont="1" applyFill="1" applyAlignment="1" applyProtection="1">
      <alignment horizontal="left" vertical="center" wrapText="1"/>
      <protection locked="0"/>
    </xf>
    <xf numFmtId="167" fontId="2" fillId="7" borderId="0" xfId="1" applyNumberFormat="1" applyFont="1" applyFill="1" applyAlignment="1" applyProtection="1">
      <alignment horizontal="center" vertical="center"/>
      <protection locked="0"/>
    </xf>
    <xf numFmtId="167" fontId="47" fillId="7" borderId="0" xfId="1" applyNumberFormat="1" applyFont="1" applyFill="1" applyAlignment="1" applyProtection="1">
      <alignment horizontal="center" vertical="center"/>
      <protection locked="0"/>
    </xf>
    <xf numFmtId="0" fontId="2" fillId="7" borderId="0" xfId="1" applyFont="1" applyFill="1" applyAlignment="1" applyProtection="1">
      <alignment horizontal="center" vertical="center"/>
      <protection locked="0"/>
    </xf>
    <xf numFmtId="0" fontId="47" fillId="0" borderId="1" xfId="1" applyFont="1" applyBorder="1" applyAlignment="1" applyProtection="1">
      <alignment horizontal="center" vertical="center" wrapText="1"/>
      <protection locked="0"/>
    </xf>
    <xf numFmtId="167" fontId="47" fillId="0" borderId="32" xfId="1" applyNumberFormat="1" applyFont="1" applyBorder="1" applyAlignment="1" applyProtection="1">
      <alignment horizontal="center" vertical="center"/>
      <protection locked="0"/>
    </xf>
    <xf numFmtId="2" fontId="45" fillId="0" borderId="0" xfId="1" applyNumberFormat="1" applyFont="1" applyAlignment="1" applyProtection="1">
      <alignment horizontal="center" vertical="center"/>
      <protection locked="0"/>
    </xf>
    <xf numFmtId="0" fontId="47" fillId="0" borderId="1" xfId="1" applyFont="1" applyBorder="1" applyAlignment="1" applyProtection="1">
      <alignment horizontal="center" vertical="center"/>
      <protection locked="0"/>
    </xf>
    <xf numFmtId="0" fontId="47" fillId="0" borderId="2" xfId="1" applyFont="1" applyBorder="1" applyAlignment="1" applyProtection="1">
      <alignment horizontal="center" vertical="center"/>
      <protection locked="0"/>
    </xf>
    <xf numFmtId="0" fontId="47" fillId="0" borderId="32" xfId="1" applyFont="1" applyBorder="1" applyAlignment="1" applyProtection="1">
      <alignment horizontal="center" vertical="center"/>
      <protection locked="0"/>
    </xf>
    <xf numFmtId="0" fontId="47" fillId="0" borderId="50" xfId="1" applyFont="1" applyBorder="1" applyAlignment="1" applyProtection="1">
      <alignment horizontal="center" vertical="center" wrapText="1"/>
      <protection locked="0"/>
    </xf>
    <xf numFmtId="167" fontId="47" fillId="0" borderId="62" xfId="1" applyNumberFormat="1" applyFont="1" applyBorder="1" applyAlignment="1" applyProtection="1">
      <alignment horizontal="center" vertical="center"/>
      <protection locked="0"/>
    </xf>
    <xf numFmtId="167" fontId="47" fillId="0" borderId="50" xfId="1" applyNumberFormat="1" applyFont="1" applyBorder="1" applyAlignment="1" applyProtection="1">
      <alignment horizontal="center" vertical="center"/>
      <protection locked="0"/>
    </xf>
    <xf numFmtId="0" fontId="47" fillId="0" borderId="0" xfId="1" applyFont="1" applyAlignment="1" applyProtection="1">
      <alignment horizontal="center" vertical="center"/>
      <protection locked="0"/>
    </xf>
    <xf numFmtId="0" fontId="47" fillId="0" borderId="50" xfId="1" applyFont="1" applyBorder="1" applyAlignment="1" applyProtection="1">
      <alignment horizontal="center" vertical="center"/>
      <protection locked="0"/>
    </xf>
    <xf numFmtId="0" fontId="47" fillId="0" borderId="62" xfId="1" applyFont="1" applyBorder="1" applyAlignment="1" applyProtection="1">
      <alignment horizontal="center" vertical="center"/>
      <protection locked="0"/>
    </xf>
    <xf numFmtId="0" fontId="47" fillId="0" borderId="52" xfId="1" applyFont="1" applyBorder="1" applyAlignment="1" applyProtection="1">
      <alignment horizontal="center" vertical="center" wrapText="1"/>
      <protection locked="0"/>
    </xf>
    <xf numFmtId="167" fontId="47" fillId="0" borderId="63" xfId="1" applyNumberFormat="1" applyFont="1" applyBorder="1" applyAlignment="1" applyProtection="1">
      <alignment horizontal="center" vertical="center"/>
      <protection locked="0"/>
    </xf>
    <xf numFmtId="167" fontId="47" fillId="0" borderId="52" xfId="1" applyNumberFormat="1" applyFont="1" applyBorder="1" applyAlignment="1" applyProtection="1">
      <alignment horizontal="center" vertical="center"/>
      <protection locked="0"/>
    </xf>
    <xf numFmtId="167" fontId="47" fillId="0" borderId="33" xfId="1" applyNumberFormat="1" applyFont="1" applyBorder="1" applyAlignment="1" applyProtection="1">
      <alignment horizontal="center" vertical="center"/>
      <protection locked="0"/>
    </xf>
    <xf numFmtId="166" fontId="3" fillId="0" borderId="41" xfId="1" applyNumberFormat="1" applyFont="1" applyBorder="1" applyAlignment="1" applyProtection="1">
      <alignment horizontal="center" vertical="center"/>
      <protection locked="0"/>
    </xf>
    <xf numFmtId="0" fontId="3" fillId="0" borderId="42" xfId="1" applyFont="1" applyBorder="1" applyAlignment="1" applyProtection="1">
      <alignment horizontal="center" vertical="center" wrapText="1"/>
      <protection locked="0"/>
    </xf>
    <xf numFmtId="167" fontId="47" fillId="0" borderId="42" xfId="1" applyNumberFormat="1" applyFont="1" applyBorder="1" applyAlignment="1" applyProtection="1">
      <alignment horizontal="center" vertical="center"/>
      <protection locked="0"/>
    </xf>
    <xf numFmtId="0" fontId="47" fillId="0" borderId="42" xfId="1" applyFont="1" applyBorder="1" applyAlignment="1" applyProtection="1">
      <alignment horizontal="center" vertical="center"/>
      <protection locked="0"/>
    </xf>
    <xf numFmtId="0" fontId="47" fillId="0" borderId="24" xfId="1" applyFont="1" applyBorder="1" applyAlignment="1" applyProtection="1">
      <alignment horizontal="center" vertical="center"/>
      <protection locked="0"/>
    </xf>
    <xf numFmtId="167" fontId="2" fillId="0" borderId="51" xfId="1" applyNumberFormat="1" applyFont="1" applyBorder="1" applyAlignment="1" applyProtection="1">
      <alignment horizontal="center" vertical="center"/>
      <protection locked="0"/>
    </xf>
    <xf numFmtId="167" fontId="47" fillId="0" borderId="51" xfId="1" applyNumberFormat="1" applyFont="1" applyBorder="1" applyAlignment="1" applyProtection="1">
      <alignment horizontal="center" vertical="center"/>
      <protection locked="0"/>
    </xf>
    <xf numFmtId="166" fontId="3" fillId="0" borderId="0" xfId="1" applyNumberFormat="1" applyFont="1" applyAlignment="1" applyProtection="1">
      <alignment horizontal="left" vertical="center"/>
      <protection locked="0"/>
    </xf>
    <xf numFmtId="165" fontId="45" fillId="0" borderId="0" xfId="2" applyFont="1" applyAlignment="1" applyProtection="1">
      <alignment horizontal="center" vertical="center"/>
      <protection locked="0"/>
    </xf>
    <xf numFmtId="166" fontId="2" fillId="0" borderId="19" xfId="1" applyNumberFormat="1" applyFont="1" applyBorder="1" applyAlignment="1" applyProtection="1">
      <alignment horizontal="center" vertical="center"/>
      <protection locked="0"/>
    </xf>
    <xf numFmtId="0" fontId="47" fillId="0" borderId="19" xfId="1" applyFont="1" applyBorder="1" applyAlignment="1" applyProtection="1">
      <alignment horizontal="center" vertical="center"/>
      <protection locked="0"/>
    </xf>
    <xf numFmtId="166" fontId="2" fillId="0" borderId="29" xfId="1" applyNumberFormat="1" applyFont="1" applyBorder="1" applyAlignment="1" applyProtection="1">
      <alignment horizontal="center" vertical="center"/>
      <protection locked="0"/>
    </xf>
    <xf numFmtId="0" fontId="47" fillId="0" borderId="29" xfId="1" applyFont="1" applyBorder="1" applyAlignment="1" applyProtection="1">
      <alignment horizontal="center" vertical="center"/>
      <protection locked="0"/>
    </xf>
    <xf numFmtId="0" fontId="2" fillId="0" borderId="12" xfId="1" applyFont="1" applyBorder="1" applyAlignment="1" applyProtection="1">
      <alignment horizontal="center" vertical="center" wrapText="1"/>
      <protection locked="0"/>
    </xf>
    <xf numFmtId="166" fontId="3" fillId="0" borderId="13" xfId="1" applyNumberFormat="1" applyFont="1" applyBorder="1" applyAlignment="1" applyProtection="1">
      <alignment horizontal="center" vertical="center"/>
      <protection locked="0"/>
    </xf>
    <xf numFmtId="166" fontId="2" fillId="0" borderId="13" xfId="1" applyNumberFormat="1" applyFont="1" applyBorder="1" applyAlignment="1" applyProtection="1">
      <alignment horizontal="center" vertical="center"/>
      <protection locked="0"/>
    </xf>
    <xf numFmtId="167" fontId="24" fillId="0" borderId="0" xfId="1" applyNumberFormat="1" applyFont="1" applyAlignment="1" applyProtection="1">
      <alignment horizontal="center" vertical="center"/>
      <protection locked="0"/>
    </xf>
    <xf numFmtId="164" fontId="22" fillId="0" borderId="0" xfId="1" applyNumberFormat="1" applyFont="1" applyAlignment="1" applyProtection="1">
      <alignment horizontal="center" vertical="center"/>
      <protection locked="0"/>
    </xf>
    <xf numFmtId="172" fontId="22" fillId="0" borderId="0" xfId="1" applyNumberFormat="1" applyFont="1" applyAlignment="1" applyProtection="1">
      <alignment horizontal="center" vertical="center"/>
      <protection locked="0"/>
    </xf>
    <xf numFmtId="0" fontId="3" fillId="21" borderId="13" xfId="1" applyFont="1" applyFill="1" applyBorder="1" applyAlignment="1" applyProtection="1">
      <alignment horizontal="center" vertical="center"/>
      <protection locked="0"/>
    </xf>
    <xf numFmtId="0" fontId="3" fillId="21" borderId="13" xfId="1" applyFont="1" applyFill="1" applyBorder="1" applyAlignment="1" applyProtection="1">
      <alignment horizontal="center" vertical="center" wrapText="1"/>
      <protection locked="0"/>
    </xf>
    <xf numFmtId="0" fontId="3" fillId="21" borderId="9" xfId="1" applyFont="1" applyFill="1" applyBorder="1" applyAlignment="1" applyProtection="1">
      <alignment horizontal="center" vertical="center"/>
      <protection locked="0"/>
    </xf>
    <xf numFmtId="166" fontId="3" fillId="21" borderId="17" xfId="1" applyNumberFormat="1" applyFont="1" applyFill="1" applyBorder="1" applyAlignment="1" applyProtection="1">
      <alignment horizontal="center" vertical="center"/>
      <protection locked="0"/>
    </xf>
    <xf numFmtId="167" fontId="3" fillId="21" borderId="12" xfId="1" applyNumberFormat="1" applyFont="1" applyFill="1" applyBorder="1" applyAlignment="1" applyProtection="1">
      <alignment horizontal="center" vertical="center" wrapText="1"/>
      <protection locked="0"/>
    </xf>
    <xf numFmtId="167" fontId="3" fillId="21" borderId="13" xfId="1" applyNumberFormat="1" applyFont="1" applyFill="1" applyBorder="1" applyAlignment="1" applyProtection="1">
      <alignment horizontal="center" vertical="center"/>
      <protection locked="0"/>
    </xf>
    <xf numFmtId="167" fontId="45" fillId="21" borderId="13" xfId="1" applyNumberFormat="1" applyFont="1" applyFill="1" applyBorder="1" applyAlignment="1" applyProtection="1">
      <alignment horizontal="center" vertical="center"/>
      <protection locked="0"/>
    </xf>
    <xf numFmtId="167" fontId="3" fillId="21" borderId="12" xfId="1" applyNumberFormat="1" applyFont="1" applyFill="1" applyBorder="1" applyAlignment="1" applyProtection="1">
      <alignment horizontal="center" vertical="center"/>
      <protection locked="0"/>
    </xf>
    <xf numFmtId="0" fontId="3" fillId="21" borderId="61" xfId="1" applyFont="1" applyFill="1" applyBorder="1" applyAlignment="1" applyProtection="1">
      <alignment horizontal="center" vertical="center" wrapText="1"/>
      <protection locked="0"/>
    </xf>
    <xf numFmtId="0" fontId="3" fillId="21" borderId="0" xfId="1" applyFont="1" applyFill="1" applyAlignment="1" applyProtection="1">
      <alignment horizontal="center" vertical="center" wrapText="1"/>
      <protection locked="0"/>
    </xf>
    <xf numFmtId="0" fontId="3" fillId="21" borderId="0" xfId="1" applyFont="1" applyFill="1" applyAlignment="1" applyProtection="1">
      <alignment horizontal="left" vertical="center"/>
      <protection locked="0"/>
    </xf>
    <xf numFmtId="167" fontId="3" fillId="21" borderId="0" xfId="1" applyNumberFormat="1" applyFont="1" applyFill="1" applyAlignment="1" applyProtection="1">
      <alignment horizontal="center" vertical="center"/>
      <protection locked="0"/>
    </xf>
    <xf numFmtId="0" fontId="3" fillId="21" borderId="0" xfId="1" applyFont="1" applyFill="1" applyAlignment="1" applyProtection="1">
      <alignment horizontal="center" vertical="center"/>
      <protection locked="0"/>
    </xf>
    <xf numFmtId="168" fontId="3" fillId="21" borderId="13" xfId="1" applyNumberFormat="1" applyFont="1" applyFill="1" applyBorder="1" applyAlignment="1" applyProtection="1">
      <alignment horizontal="center" vertical="center"/>
      <protection locked="0"/>
    </xf>
    <xf numFmtId="167" fontId="3" fillId="3" borderId="12" xfId="1" applyNumberFormat="1" applyFont="1" applyFill="1" applyBorder="1" applyAlignment="1" applyProtection="1">
      <alignment horizontal="center" vertical="center" wrapText="1"/>
      <protection locked="0"/>
    </xf>
    <xf numFmtId="167" fontId="3" fillId="3" borderId="12" xfId="1" applyNumberFormat="1" applyFont="1" applyFill="1" applyBorder="1" applyAlignment="1" applyProtection="1">
      <alignment horizontal="center" vertical="center"/>
      <protection locked="0"/>
    </xf>
    <xf numFmtId="167" fontId="3" fillId="3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left" vertical="center"/>
      <protection locked="0"/>
    </xf>
    <xf numFmtId="167" fontId="2" fillId="6" borderId="0" xfId="1" applyNumberFormat="1" applyFont="1" applyFill="1" applyAlignment="1" applyProtection="1">
      <alignment horizontal="left" vertical="center"/>
      <protection locked="0"/>
    </xf>
    <xf numFmtId="0" fontId="24" fillId="0" borderId="0" xfId="1" applyFont="1" applyAlignment="1" applyProtection="1">
      <alignment horizontal="center" vertical="center"/>
      <protection locked="0"/>
    </xf>
    <xf numFmtId="0" fontId="8" fillId="2" borderId="0" xfId="1" applyFont="1" applyFill="1" applyAlignment="1" applyProtection="1">
      <alignment horizontal="center" vertical="center"/>
      <protection locked="0"/>
    </xf>
    <xf numFmtId="165" fontId="9" fillId="0" borderId="0" xfId="2" applyFont="1" applyBorder="1" applyAlignment="1" applyProtection="1">
      <alignment horizontal="center" vertical="center"/>
      <protection locked="0"/>
    </xf>
    <xf numFmtId="165" fontId="24" fillId="0" borderId="0" xfId="2" applyFont="1" applyBorder="1" applyAlignment="1" applyProtection="1">
      <alignment horizontal="center" vertical="center"/>
      <protection locked="0"/>
    </xf>
    <xf numFmtId="0" fontId="8" fillId="0" borderId="63" xfId="1" applyFont="1" applyBorder="1" applyAlignment="1" applyProtection="1">
      <alignment horizontal="center" vertical="center" wrapText="1"/>
      <protection locked="0"/>
    </xf>
    <xf numFmtId="0" fontId="8" fillId="4" borderId="0" xfId="1" applyFont="1" applyFill="1" applyAlignment="1" applyProtection="1">
      <alignment horizontal="center" vertical="center" wrapText="1"/>
      <protection locked="0"/>
    </xf>
    <xf numFmtId="165" fontId="8" fillId="4" borderId="9" xfId="2" applyFont="1" applyFill="1" applyBorder="1" applyAlignment="1" applyProtection="1">
      <alignment horizontal="center" vertical="center"/>
      <protection locked="0"/>
    </xf>
    <xf numFmtId="166" fontId="9" fillId="6" borderId="17" xfId="1" applyNumberFormat="1" applyFont="1" applyFill="1" applyBorder="1" applyAlignment="1" applyProtection="1">
      <alignment horizontal="center" vertical="center"/>
      <protection locked="0"/>
    </xf>
    <xf numFmtId="167" fontId="9" fillId="6" borderId="13" xfId="1" applyNumberFormat="1" applyFont="1" applyFill="1" applyBorder="1" applyAlignment="1" applyProtection="1">
      <alignment horizontal="center" vertical="center" wrapText="1"/>
      <protection locked="0"/>
    </xf>
    <xf numFmtId="167" fontId="9" fillId="6" borderId="13" xfId="1" applyNumberFormat="1" applyFont="1" applyFill="1" applyBorder="1" applyAlignment="1" applyProtection="1">
      <alignment horizontal="center" vertical="center"/>
      <protection locked="0"/>
    </xf>
    <xf numFmtId="0" fontId="9" fillId="6" borderId="13" xfId="1" applyFont="1" applyFill="1" applyBorder="1" applyAlignment="1" applyProtection="1">
      <alignment horizontal="center" vertical="center"/>
      <protection locked="0"/>
    </xf>
    <xf numFmtId="0" fontId="9" fillId="6" borderId="61" xfId="1" applyFont="1" applyFill="1" applyBorder="1" applyAlignment="1" applyProtection="1">
      <alignment horizontal="center" vertical="center" wrapText="1"/>
      <protection locked="0"/>
    </xf>
    <xf numFmtId="0" fontId="9" fillId="6" borderId="12" xfId="1" applyFont="1" applyFill="1" applyBorder="1" applyAlignment="1" applyProtection="1">
      <alignment horizontal="center" vertical="center" wrapText="1"/>
      <protection locked="0"/>
    </xf>
    <xf numFmtId="0" fontId="9" fillId="6" borderId="0" xfId="1" applyFont="1" applyFill="1" applyAlignment="1" applyProtection="1">
      <alignment horizontal="center" vertical="center" wrapText="1"/>
      <protection locked="0"/>
    </xf>
    <xf numFmtId="0" fontId="9" fillId="6" borderId="0" xfId="1" applyFont="1" applyFill="1" applyAlignment="1" applyProtection="1">
      <alignment horizontal="center" vertical="center"/>
      <protection locked="0"/>
    </xf>
    <xf numFmtId="167" fontId="9" fillId="6" borderId="12" xfId="1" applyNumberFormat="1" applyFont="1" applyFill="1" applyBorder="1" applyAlignment="1" applyProtection="1">
      <alignment horizontal="center" vertical="center" wrapText="1"/>
      <protection locked="0"/>
    </xf>
    <xf numFmtId="167" fontId="9" fillId="6" borderId="12" xfId="1" applyNumberFormat="1" applyFont="1" applyFill="1" applyBorder="1" applyAlignment="1" applyProtection="1">
      <alignment horizontal="center" vertical="center"/>
      <protection locked="0"/>
    </xf>
    <xf numFmtId="0" fontId="9" fillId="6" borderId="13" xfId="1" applyFont="1" applyFill="1" applyBorder="1" applyAlignment="1" applyProtection="1">
      <alignment horizontal="center" vertical="center" wrapText="1"/>
      <protection locked="0"/>
    </xf>
    <xf numFmtId="167" fontId="9" fillId="6" borderId="0" xfId="1" applyNumberFormat="1" applyFont="1" applyFill="1" applyAlignment="1" applyProtection="1">
      <alignment horizontal="center" vertical="center"/>
      <protection locked="0"/>
    </xf>
    <xf numFmtId="167" fontId="9" fillId="0" borderId="12" xfId="1" applyNumberFormat="1" applyFont="1" applyBorder="1" applyAlignment="1" applyProtection="1">
      <alignment horizontal="center" vertical="center" wrapText="1"/>
      <protection locked="0"/>
    </xf>
    <xf numFmtId="0" fontId="9" fillId="0" borderId="61" xfId="1" applyFont="1" applyBorder="1" applyAlignment="1" applyProtection="1">
      <alignment horizontal="center" vertical="center" wrapText="1"/>
      <protection locked="0"/>
    </xf>
    <xf numFmtId="0" fontId="9" fillId="6" borderId="0" xfId="1" applyFont="1" applyFill="1" applyAlignment="1" applyProtection="1">
      <alignment horizontal="left" vertical="center"/>
      <protection locked="0"/>
    </xf>
    <xf numFmtId="0" fontId="9" fillId="6" borderId="0" xfId="1" applyFont="1" applyFill="1" applyAlignment="1" applyProtection="1">
      <alignment horizontal="right" vertical="center"/>
      <protection locked="0"/>
    </xf>
    <xf numFmtId="4" fontId="9" fillId="6" borderId="0" xfId="1" applyNumberFormat="1" applyFont="1" applyFill="1" applyAlignment="1" applyProtection="1">
      <alignment horizontal="center" vertical="center"/>
      <protection locked="0"/>
    </xf>
    <xf numFmtId="166" fontId="9" fillId="0" borderId="50" xfId="1" applyNumberFormat="1" applyFont="1" applyBorder="1" applyAlignment="1" applyProtection="1">
      <alignment horizontal="center" vertical="center"/>
      <protection locked="0"/>
    </xf>
    <xf numFmtId="167" fontId="9" fillId="0" borderId="64" xfId="1" applyNumberFormat="1" applyFont="1" applyBorder="1" applyAlignment="1" applyProtection="1">
      <alignment horizontal="center" vertical="center" wrapText="1"/>
      <protection locked="0"/>
    </xf>
    <xf numFmtId="167" fontId="9" fillId="0" borderId="29" xfId="1" applyNumberFormat="1" applyFont="1" applyBorder="1" applyAlignment="1" applyProtection="1">
      <alignment horizontal="center" vertical="center"/>
      <protection locked="0"/>
    </xf>
    <xf numFmtId="167" fontId="24" fillId="0" borderId="29" xfId="1" applyNumberFormat="1" applyFont="1" applyBorder="1" applyAlignment="1" applyProtection="1">
      <alignment horizontal="center" vertical="center"/>
      <protection locked="0"/>
    </xf>
    <xf numFmtId="0" fontId="9" fillId="0" borderId="19" xfId="1" applyFont="1" applyBorder="1" applyAlignment="1" applyProtection="1">
      <alignment horizontal="center" vertical="center"/>
      <protection locked="0"/>
    </xf>
    <xf numFmtId="0" fontId="9" fillId="0" borderId="65" xfId="1" applyFont="1" applyBorder="1" applyAlignment="1" applyProtection="1">
      <alignment horizontal="center" vertical="center" wrapText="1"/>
      <protection locked="0"/>
    </xf>
    <xf numFmtId="166" fontId="8" fillId="0" borderId="52" xfId="1" applyNumberFormat="1" applyFont="1" applyBorder="1" applyAlignment="1" applyProtection="1">
      <alignment horizontal="center" vertical="center"/>
      <protection locked="0"/>
    </xf>
    <xf numFmtId="0" fontId="8" fillId="0" borderId="16" xfId="1" applyFont="1" applyBorder="1" applyAlignment="1" applyProtection="1">
      <alignment horizontal="center" vertical="center" wrapText="1"/>
      <protection locked="0"/>
    </xf>
    <xf numFmtId="167" fontId="8" fillId="0" borderId="8" xfId="1" applyNumberFormat="1" applyFont="1" applyBorder="1" applyAlignment="1" applyProtection="1">
      <alignment horizontal="center" vertical="center"/>
      <protection locked="0"/>
    </xf>
    <xf numFmtId="167" fontId="23" fillId="0" borderId="8" xfId="1" applyNumberFormat="1" applyFont="1" applyBorder="1" applyAlignment="1" applyProtection="1">
      <alignment horizontal="center" vertical="center"/>
      <protection locked="0"/>
    </xf>
    <xf numFmtId="167" fontId="23" fillId="0" borderId="0" xfId="1" applyNumberFormat="1" applyFont="1" applyAlignment="1" applyProtection="1">
      <alignment horizontal="center" vertical="center"/>
      <protection locked="0"/>
    </xf>
    <xf numFmtId="0" fontId="8" fillId="0" borderId="27" xfId="1" applyFont="1" applyBorder="1" applyAlignment="1" applyProtection="1">
      <alignment horizontal="center" vertical="center" wrapText="1"/>
      <protection locked="0"/>
    </xf>
    <xf numFmtId="165" fontId="23" fillId="4" borderId="5" xfId="2" applyFont="1" applyFill="1" applyBorder="1" applyAlignment="1" applyProtection="1">
      <alignment horizontal="center" vertical="center" wrapText="1"/>
      <protection locked="0"/>
    </xf>
    <xf numFmtId="165" fontId="23" fillId="4" borderId="9" xfId="2" applyFont="1" applyFill="1" applyBorder="1" applyAlignment="1" applyProtection="1">
      <alignment horizontal="center" vertical="center" wrapText="1"/>
      <protection locked="0"/>
    </xf>
    <xf numFmtId="167" fontId="24" fillId="0" borderId="13" xfId="1" applyNumberFormat="1" applyFont="1" applyBorder="1" applyAlignment="1" applyProtection="1">
      <alignment horizontal="center" vertical="center"/>
      <protection locked="0"/>
    </xf>
    <xf numFmtId="0" fontId="8" fillId="6" borderId="0" xfId="1" applyFont="1" applyFill="1" applyAlignment="1" applyProtection="1">
      <alignment horizontal="left" vertical="center"/>
      <protection locked="0"/>
    </xf>
    <xf numFmtId="0" fontId="8" fillId="6" borderId="0" xfId="1" applyFont="1" applyFill="1" applyAlignment="1" applyProtection="1">
      <alignment horizontal="center" vertical="center"/>
      <protection locked="0"/>
    </xf>
    <xf numFmtId="166" fontId="9" fillId="3" borderId="17" xfId="1" applyNumberFormat="1" applyFont="1" applyFill="1" applyBorder="1" applyAlignment="1" applyProtection="1">
      <alignment horizontal="center" vertical="center"/>
      <protection locked="0"/>
    </xf>
    <xf numFmtId="0" fontId="9" fillId="3" borderId="13" xfId="1" applyFont="1" applyFill="1" applyBorder="1" applyAlignment="1" applyProtection="1">
      <alignment horizontal="center" vertical="center" wrapText="1"/>
      <protection locked="0"/>
    </xf>
    <xf numFmtId="167" fontId="9" fillId="3" borderId="13" xfId="1" applyNumberFormat="1" applyFont="1" applyFill="1" applyBorder="1" applyAlignment="1" applyProtection="1">
      <alignment horizontal="center" vertical="center"/>
      <protection locked="0"/>
    </xf>
    <xf numFmtId="0" fontId="9" fillId="3" borderId="13" xfId="1" applyFont="1" applyFill="1" applyBorder="1" applyAlignment="1" applyProtection="1">
      <alignment horizontal="center" vertical="center"/>
      <protection locked="0"/>
    </xf>
    <xf numFmtId="0" fontId="9" fillId="3" borderId="61" xfId="1" applyFont="1" applyFill="1" applyBorder="1" applyAlignment="1" applyProtection="1">
      <alignment horizontal="center" vertical="center" wrapText="1"/>
      <protection locked="0"/>
    </xf>
    <xf numFmtId="0" fontId="9" fillId="3" borderId="0" xfId="1" applyFont="1" applyFill="1" applyAlignment="1" applyProtection="1">
      <alignment horizontal="center" vertical="center" wrapText="1"/>
      <protection locked="0"/>
    </xf>
    <xf numFmtId="0" fontId="8" fillId="3" borderId="0" xfId="1" applyFont="1" applyFill="1" applyAlignment="1" applyProtection="1">
      <alignment horizontal="left" vertical="center"/>
      <protection locked="0"/>
    </xf>
    <xf numFmtId="0" fontId="8" fillId="3" borderId="0" xfId="1" applyFont="1" applyFill="1" applyAlignment="1" applyProtection="1">
      <alignment horizontal="center" vertical="center"/>
      <protection locked="0"/>
    </xf>
    <xf numFmtId="166" fontId="9" fillId="6" borderId="18" xfId="1" applyNumberFormat="1" applyFont="1" applyFill="1" applyBorder="1" applyAlignment="1" applyProtection="1">
      <alignment horizontal="center" vertical="center"/>
      <protection locked="0"/>
    </xf>
    <xf numFmtId="0" fontId="9" fillId="6" borderId="19" xfId="1" applyFont="1" applyFill="1" applyBorder="1" applyAlignment="1" applyProtection="1">
      <alignment horizontal="center" vertical="center" wrapText="1"/>
      <protection locked="0"/>
    </xf>
    <xf numFmtId="167" fontId="9" fillId="6" borderId="19" xfId="1" applyNumberFormat="1" applyFont="1" applyFill="1" applyBorder="1" applyAlignment="1" applyProtection="1">
      <alignment horizontal="center" vertical="center"/>
      <protection locked="0"/>
    </xf>
    <xf numFmtId="167" fontId="24" fillId="0" borderId="19" xfId="1" applyNumberFormat="1" applyFont="1" applyBorder="1" applyAlignment="1" applyProtection="1">
      <alignment horizontal="center" vertical="center"/>
      <protection locked="0"/>
    </xf>
    <xf numFmtId="0" fontId="9" fillId="6" borderId="19" xfId="1" applyFont="1" applyFill="1" applyBorder="1" applyAlignment="1" applyProtection="1">
      <alignment horizontal="center" vertical="center"/>
      <protection locked="0"/>
    </xf>
    <xf numFmtId="0" fontId="9" fillId="6" borderId="65" xfId="1" applyFont="1" applyFill="1" applyBorder="1" applyAlignment="1" applyProtection="1">
      <alignment horizontal="center" vertical="center" wrapText="1"/>
      <protection locked="0"/>
    </xf>
    <xf numFmtId="166" fontId="8" fillId="0" borderId="7" xfId="1" applyNumberFormat="1" applyFont="1" applyBorder="1" applyAlignment="1" applyProtection="1">
      <alignment horizontal="center" vertical="center"/>
      <protection locked="0"/>
    </xf>
    <xf numFmtId="167" fontId="8" fillId="0" borderId="9" xfId="1" applyNumberFormat="1" applyFont="1" applyBorder="1" applyAlignment="1" applyProtection="1">
      <alignment horizontal="center" vertical="center" wrapText="1"/>
      <protection locked="0"/>
    </xf>
    <xf numFmtId="167" fontId="23" fillId="0" borderId="9" xfId="1" applyNumberFormat="1" applyFont="1" applyBorder="1" applyAlignment="1" applyProtection="1">
      <alignment horizontal="center" vertical="center"/>
      <protection locked="0"/>
    </xf>
    <xf numFmtId="0" fontId="8" fillId="0" borderId="64" xfId="1" applyFont="1" applyBorder="1" applyAlignment="1" applyProtection="1">
      <alignment horizontal="center" vertical="center" wrapText="1"/>
      <protection locked="0"/>
    </xf>
    <xf numFmtId="167" fontId="24" fillId="6" borderId="13" xfId="1" applyNumberFormat="1" applyFont="1" applyFill="1" applyBorder="1" applyAlignment="1" applyProtection="1">
      <alignment horizontal="center" vertical="center"/>
      <protection locked="0"/>
    </xf>
    <xf numFmtId="4" fontId="9" fillId="6" borderId="13" xfId="1" applyNumberFormat="1" applyFont="1" applyFill="1" applyBorder="1" applyAlignment="1" applyProtection="1">
      <alignment horizontal="center" vertical="center"/>
      <protection locked="0"/>
    </xf>
    <xf numFmtId="167" fontId="24" fillId="3" borderId="13" xfId="1" applyNumberFormat="1" applyFont="1" applyFill="1" applyBorder="1" applyAlignment="1" applyProtection="1">
      <alignment horizontal="center" vertical="center"/>
      <protection locked="0"/>
    </xf>
    <xf numFmtId="166" fontId="9" fillId="0" borderId="18" xfId="1" applyNumberFormat="1" applyFont="1" applyBorder="1" applyAlignment="1" applyProtection="1">
      <alignment horizontal="center" vertical="center"/>
      <protection locked="0"/>
    </xf>
    <xf numFmtId="0" fontId="9" fillId="0" borderId="19" xfId="1" applyFont="1" applyBorder="1" applyAlignment="1" applyProtection="1">
      <alignment horizontal="center" vertical="center" wrapText="1"/>
      <protection locked="0"/>
    </xf>
    <xf numFmtId="167" fontId="9" fillId="0" borderId="19" xfId="1" applyNumberFormat="1" applyFont="1" applyBorder="1" applyAlignment="1" applyProtection="1">
      <alignment horizontal="center" vertical="center"/>
      <protection locked="0"/>
    </xf>
    <xf numFmtId="167" fontId="24" fillId="6" borderId="19" xfId="1" applyNumberFormat="1" applyFont="1" applyFill="1" applyBorder="1" applyAlignment="1" applyProtection="1">
      <alignment horizontal="center" vertical="center"/>
      <protection locked="0"/>
    </xf>
    <xf numFmtId="0" fontId="8" fillId="0" borderId="21" xfId="1" applyFont="1" applyBorder="1" applyAlignment="1" applyProtection="1">
      <alignment horizontal="center" vertical="center" wrapText="1"/>
      <protection locked="0"/>
    </xf>
    <xf numFmtId="166" fontId="9" fillId="6" borderId="17" xfId="1" applyNumberFormat="1" applyFont="1" applyFill="1" applyBorder="1" applyAlignment="1" applyProtection="1">
      <alignment horizontal="center" vertical="center" wrapText="1"/>
      <protection locked="0"/>
    </xf>
    <xf numFmtId="4" fontId="9" fillId="6" borderId="13" xfId="1" applyNumberFormat="1" applyFont="1" applyFill="1" applyBorder="1" applyAlignment="1" applyProtection="1">
      <alignment horizontal="center" vertical="center" wrapText="1"/>
      <protection locked="0"/>
    </xf>
    <xf numFmtId="167" fontId="24" fillId="6" borderId="13" xfId="1" applyNumberFormat="1" applyFont="1" applyFill="1" applyBorder="1" applyAlignment="1" applyProtection="1">
      <alignment horizontal="center" vertical="center" wrapText="1"/>
      <protection locked="0"/>
    </xf>
    <xf numFmtId="0" fontId="8" fillId="6" borderId="0" xfId="1" applyFont="1" applyFill="1" applyAlignment="1" applyProtection="1">
      <alignment horizontal="left" vertical="center" wrapText="1"/>
      <protection locked="0"/>
    </xf>
    <xf numFmtId="0" fontId="8" fillId="6" borderId="0" xfId="1" applyFont="1" applyFill="1" applyAlignment="1" applyProtection="1">
      <alignment horizontal="center" vertical="center" wrapText="1"/>
      <protection locked="0"/>
    </xf>
    <xf numFmtId="0" fontId="9" fillId="0" borderId="9" xfId="1" applyFont="1" applyBorder="1" applyAlignment="1" applyProtection="1">
      <alignment horizontal="center" vertical="center"/>
      <protection locked="0"/>
    </xf>
    <xf numFmtId="0" fontId="9" fillId="0" borderId="48" xfId="1" applyFont="1" applyBorder="1" applyAlignment="1" applyProtection="1">
      <alignment horizontal="center" vertical="center" wrapText="1"/>
      <protection locked="0"/>
    </xf>
    <xf numFmtId="0" fontId="9" fillId="0" borderId="23" xfId="1" applyFont="1" applyBorder="1" applyAlignment="1" applyProtection="1">
      <alignment horizontal="center" vertical="center" wrapText="1"/>
      <protection locked="0"/>
    </xf>
    <xf numFmtId="0" fontId="8" fillId="0" borderId="66" xfId="1" applyFont="1" applyBorder="1" applyAlignment="1" applyProtection="1">
      <alignment horizontal="center" vertical="center" wrapText="1"/>
      <protection locked="0"/>
    </xf>
    <xf numFmtId="3" fontId="9" fillId="6" borderId="13" xfId="1" applyNumberFormat="1" applyFont="1" applyFill="1" applyBorder="1" applyAlignment="1" applyProtection="1">
      <alignment horizontal="center" vertical="center" wrapText="1"/>
      <protection locked="0"/>
    </xf>
    <xf numFmtId="3" fontId="9" fillId="3" borderId="13" xfId="1" applyNumberFormat="1" applyFont="1" applyFill="1" applyBorder="1" applyAlignment="1" applyProtection="1">
      <alignment horizontal="center" vertical="center" wrapText="1"/>
      <protection locked="0"/>
    </xf>
    <xf numFmtId="166" fontId="9" fillId="6" borderId="11" xfId="1" applyNumberFormat="1" applyFont="1" applyFill="1" applyBorder="1" applyAlignment="1" applyProtection="1">
      <alignment horizontal="center" vertical="center"/>
      <protection locked="0"/>
    </xf>
    <xf numFmtId="3" fontId="9" fillId="6" borderId="12" xfId="1" applyNumberFormat="1" applyFont="1" applyFill="1" applyBorder="1" applyAlignment="1" applyProtection="1">
      <alignment horizontal="center" vertical="center" wrapText="1"/>
      <protection locked="0"/>
    </xf>
    <xf numFmtId="167" fontId="24" fillId="6" borderId="12" xfId="1" applyNumberFormat="1" applyFont="1" applyFill="1" applyBorder="1" applyAlignment="1" applyProtection="1">
      <alignment horizontal="center" vertical="center"/>
      <protection locked="0"/>
    </xf>
    <xf numFmtId="0" fontId="9" fillId="6" borderId="12" xfId="1" applyFont="1" applyFill="1" applyBorder="1" applyAlignment="1" applyProtection="1">
      <alignment horizontal="center" vertical="center"/>
      <protection locked="0"/>
    </xf>
    <xf numFmtId="0" fontId="9" fillId="6" borderId="67" xfId="1" applyFont="1" applyFill="1" applyBorder="1" applyAlignment="1" applyProtection="1">
      <alignment horizontal="center" vertical="center" wrapText="1"/>
      <protection locked="0"/>
    </xf>
    <xf numFmtId="3" fontId="9" fillId="0" borderId="19" xfId="1" applyNumberFormat="1" applyFont="1" applyBorder="1" applyAlignment="1" applyProtection="1">
      <alignment horizontal="center" vertical="center" wrapText="1"/>
      <protection locked="0"/>
    </xf>
    <xf numFmtId="3" fontId="9" fillId="0" borderId="12" xfId="1" applyNumberFormat="1" applyFont="1" applyBorder="1" applyAlignment="1" applyProtection="1">
      <alignment horizontal="center" vertical="center" wrapText="1"/>
      <protection locked="0"/>
    </xf>
    <xf numFmtId="167" fontId="24" fillId="0" borderId="12" xfId="1" applyNumberFormat="1" applyFont="1" applyBorder="1" applyAlignment="1" applyProtection="1">
      <alignment horizontal="center" vertical="center"/>
      <protection locked="0"/>
    </xf>
    <xf numFmtId="0" fontId="9" fillId="0" borderId="67" xfId="1" applyFont="1" applyBorder="1" applyAlignment="1" applyProtection="1">
      <alignment horizontal="center" vertical="center" wrapText="1"/>
      <protection locked="0"/>
    </xf>
    <xf numFmtId="166" fontId="8" fillId="0" borderId="17" xfId="1" applyNumberFormat="1" applyFont="1" applyBorder="1" applyAlignment="1" applyProtection="1">
      <alignment horizontal="center" vertical="center"/>
      <protection locked="0"/>
    </xf>
    <xf numFmtId="167" fontId="8" fillId="0" borderId="13" xfId="1" applyNumberFormat="1" applyFont="1" applyBorder="1" applyAlignment="1" applyProtection="1">
      <alignment horizontal="center" vertical="center" wrapText="1"/>
      <protection locked="0"/>
    </xf>
    <xf numFmtId="0" fontId="8" fillId="0" borderId="61" xfId="1" applyFont="1" applyBorder="1" applyAlignment="1" applyProtection="1">
      <alignment horizontal="center" vertical="center" wrapText="1"/>
      <protection locked="0"/>
    </xf>
    <xf numFmtId="167" fontId="8" fillId="15" borderId="9" xfId="1" applyNumberFormat="1" applyFont="1" applyFill="1" applyBorder="1" applyAlignment="1" applyProtection="1">
      <alignment horizontal="center" vertical="center"/>
      <protection locked="0"/>
    </xf>
    <xf numFmtId="167" fontId="23" fillId="15" borderId="9" xfId="1" applyNumberFormat="1" applyFont="1" applyFill="1" applyBorder="1" applyAlignment="1" applyProtection="1">
      <alignment horizontal="center" vertical="center"/>
      <protection locked="0"/>
    </xf>
    <xf numFmtId="0" fontId="8" fillId="15" borderId="9" xfId="1" applyFont="1" applyFill="1" applyBorder="1" applyAlignment="1" applyProtection="1">
      <alignment horizontal="center" vertical="center"/>
      <protection locked="0"/>
    </xf>
    <xf numFmtId="0" fontId="8" fillId="15" borderId="48" xfId="1" applyFont="1" applyFill="1" applyBorder="1" applyAlignment="1" applyProtection="1">
      <alignment horizontal="center" vertical="center" wrapText="1"/>
      <protection locked="0"/>
    </xf>
    <xf numFmtId="0" fontId="8" fillId="15" borderId="13" xfId="1" applyFont="1" applyFill="1" applyBorder="1" applyAlignment="1" applyProtection="1">
      <alignment horizontal="center" vertical="center" wrapText="1"/>
      <protection locked="0"/>
    </xf>
    <xf numFmtId="0" fontId="9" fillId="3" borderId="12" xfId="1" applyFont="1" applyFill="1" applyBorder="1" applyAlignment="1" applyProtection="1">
      <alignment horizontal="center" vertical="center" wrapText="1"/>
      <protection locked="0"/>
    </xf>
    <xf numFmtId="0" fontId="9" fillId="3" borderId="0" xfId="1" applyFont="1" applyFill="1" applyAlignment="1" applyProtection="1">
      <alignment horizontal="left" vertical="center"/>
      <protection locked="0"/>
    </xf>
    <xf numFmtId="0" fontId="9" fillId="3" borderId="0" xfId="1" applyFont="1" applyFill="1" applyAlignment="1" applyProtection="1">
      <alignment horizontal="center" vertical="center"/>
      <protection locked="0"/>
    </xf>
    <xf numFmtId="0" fontId="8" fillId="2" borderId="13" xfId="1" applyFont="1" applyFill="1" applyBorder="1" applyAlignment="1" applyProtection="1">
      <alignment horizontal="center" vertical="center"/>
      <protection locked="0"/>
    </xf>
    <xf numFmtId="168" fontId="9" fillId="3" borderId="13" xfId="1" applyNumberFormat="1" applyFont="1" applyFill="1" applyBorder="1" applyAlignment="1" applyProtection="1">
      <alignment horizontal="center" vertical="center"/>
      <protection locked="0"/>
    </xf>
    <xf numFmtId="168" fontId="9" fillId="6" borderId="13" xfId="1" applyNumberFormat="1" applyFont="1" applyFill="1" applyBorder="1" applyAlignment="1" applyProtection="1">
      <alignment horizontal="center" vertical="center"/>
      <protection locked="0"/>
    </xf>
    <xf numFmtId="0" fontId="8" fillId="2" borderId="5" xfId="1" applyFont="1" applyFill="1" applyBorder="1" applyAlignment="1" applyProtection="1">
      <alignment horizontal="center" vertical="center"/>
      <protection locked="0"/>
    </xf>
    <xf numFmtId="167" fontId="9" fillId="0" borderId="9" xfId="1" applyNumberFormat="1" applyFont="1" applyBorder="1" applyAlignment="1" applyProtection="1">
      <alignment horizontal="center" vertical="center" wrapText="1"/>
      <protection locked="0"/>
    </xf>
    <xf numFmtId="166" fontId="9" fillId="26" borderId="17" xfId="1" applyNumberFormat="1" applyFont="1" applyFill="1" applyBorder="1" applyAlignment="1" applyProtection="1">
      <alignment horizontal="center" vertical="center"/>
      <protection locked="0"/>
    </xf>
    <xf numFmtId="0" fontId="9" fillId="26" borderId="13" xfId="1" applyFont="1" applyFill="1" applyBorder="1" applyAlignment="1" applyProtection="1">
      <alignment horizontal="center" vertical="center" wrapText="1"/>
      <protection locked="0"/>
    </xf>
    <xf numFmtId="167" fontId="9" fillId="26" borderId="13" xfId="1" applyNumberFormat="1" applyFont="1" applyFill="1" applyBorder="1" applyAlignment="1" applyProtection="1">
      <alignment horizontal="center" vertical="center"/>
      <protection locked="0"/>
    </xf>
    <xf numFmtId="167" fontId="24" fillId="26" borderId="13" xfId="1" applyNumberFormat="1" applyFont="1" applyFill="1" applyBorder="1" applyAlignment="1" applyProtection="1">
      <alignment horizontal="center" vertical="center"/>
      <protection locked="0"/>
    </xf>
    <xf numFmtId="0" fontId="9" fillId="26" borderId="13" xfId="1" applyFont="1" applyFill="1" applyBorder="1" applyAlignment="1" applyProtection="1">
      <alignment horizontal="center" vertical="center"/>
      <protection locked="0"/>
    </xf>
    <xf numFmtId="0" fontId="9" fillId="26" borderId="61" xfId="1" applyFont="1" applyFill="1" applyBorder="1" applyAlignment="1" applyProtection="1">
      <alignment horizontal="center" vertical="center" wrapText="1"/>
      <protection locked="0"/>
    </xf>
    <xf numFmtId="0" fontId="9" fillId="26" borderId="0" xfId="1" applyFont="1" applyFill="1" applyAlignment="1" applyProtection="1">
      <alignment horizontal="center" vertical="center" wrapText="1"/>
      <protection locked="0"/>
    </xf>
    <xf numFmtId="0" fontId="9" fillId="26" borderId="0" xfId="1" applyFont="1" applyFill="1" applyAlignment="1" applyProtection="1">
      <alignment horizontal="left" vertical="center"/>
      <protection locked="0"/>
    </xf>
    <xf numFmtId="0" fontId="9" fillId="26" borderId="0" xfId="1" applyFont="1" applyFill="1" applyAlignment="1" applyProtection="1">
      <alignment horizontal="center" vertical="center"/>
      <protection locked="0"/>
    </xf>
    <xf numFmtId="167" fontId="9" fillId="26" borderId="0" xfId="1" applyNumberFormat="1" applyFont="1" applyFill="1" applyAlignment="1" applyProtection="1">
      <alignment horizontal="center" vertical="center"/>
      <protection locked="0"/>
    </xf>
    <xf numFmtId="166" fontId="9" fillId="3" borderId="18" xfId="1" applyNumberFormat="1" applyFont="1" applyFill="1" applyBorder="1" applyAlignment="1" applyProtection="1">
      <alignment horizontal="center" vertical="center"/>
      <protection locked="0"/>
    </xf>
    <xf numFmtId="0" fontId="9" fillId="3" borderId="19" xfId="1" applyFont="1" applyFill="1" applyBorder="1" applyAlignment="1" applyProtection="1">
      <alignment horizontal="center" vertical="center" wrapText="1"/>
      <protection locked="0"/>
    </xf>
    <xf numFmtId="167" fontId="9" fillId="3" borderId="19" xfId="1" applyNumberFormat="1" applyFont="1" applyFill="1" applyBorder="1" applyAlignment="1" applyProtection="1">
      <alignment horizontal="center" vertical="center"/>
      <protection locked="0"/>
    </xf>
    <xf numFmtId="0" fontId="9" fillId="3" borderId="65" xfId="1" applyFont="1" applyFill="1" applyBorder="1" applyAlignment="1" applyProtection="1">
      <alignment horizontal="center" vertical="center" wrapText="1"/>
      <protection locked="0"/>
    </xf>
    <xf numFmtId="0" fontId="24" fillId="6" borderId="13" xfId="1" applyFont="1" applyFill="1" applyBorder="1" applyAlignment="1" applyProtection="1">
      <alignment horizontal="center" vertical="center"/>
      <protection locked="0"/>
    </xf>
    <xf numFmtId="168" fontId="9" fillId="0" borderId="19" xfId="1" applyNumberFormat="1" applyFont="1" applyBorder="1" applyAlignment="1" applyProtection="1">
      <alignment horizontal="center" vertical="center"/>
      <protection locked="0"/>
    </xf>
    <xf numFmtId="2" fontId="9" fillId="3" borderId="13" xfId="1" applyNumberFormat="1" applyFont="1" applyFill="1" applyBorder="1" applyAlignment="1" applyProtection="1">
      <alignment horizontal="center" vertical="center"/>
      <protection locked="0"/>
    </xf>
    <xf numFmtId="2" fontId="24" fillId="3" borderId="13" xfId="1" applyNumberFormat="1" applyFont="1" applyFill="1" applyBorder="1" applyAlignment="1" applyProtection="1">
      <alignment horizontal="center" vertical="center"/>
      <protection locked="0"/>
    </xf>
    <xf numFmtId="166" fontId="9" fillId="3" borderId="7" xfId="1" applyNumberFormat="1" applyFont="1" applyFill="1" applyBorder="1" applyAlignment="1" applyProtection="1">
      <alignment horizontal="center" vertical="center"/>
      <protection locked="0"/>
    </xf>
    <xf numFmtId="0" fontId="9" fillId="3" borderId="9" xfId="1" applyFont="1" applyFill="1" applyBorder="1" applyAlignment="1" applyProtection="1">
      <alignment horizontal="center" vertical="center" wrapText="1"/>
      <protection locked="0"/>
    </xf>
    <xf numFmtId="2" fontId="24" fillId="3" borderId="9" xfId="1" applyNumberFormat="1" applyFont="1" applyFill="1" applyBorder="1" applyAlignment="1" applyProtection="1">
      <alignment horizontal="center" vertical="center"/>
      <protection locked="0"/>
    </xf>
    <xf numFmtId="167" fontId="9" fillId="3" borderId="9" xfId="1" applyNumberFormat="1" applyFont="1" applyFill="1" applyBorder="1" applyAlignment="1" applyProtection="1">
      <alignment horizontal="center" vertical="center"/>
      <protection locked="0"/>
    </xf>
    <xf numFmtId="0" fontId="9" fillId="3" borderId="48" xfId="1" applyFont="1" applyFill="1" applyBorder="1" applyAlignment="1" applyProtection="1">
      <alignment horizontal="center" vertical="center" wrapText="1"/>
      <protection locked="0"/>
    </xf>
    <xf numFmtId="2" fontId="9" fillId="6" borderId="19" xfId="1" applyNumberFormat="1" applyFont="1" applyFill="1" applyBorder="1" applyAlignment="1" applyProtection="1">
      <alignment horizontal="center" vertical="center"/>
      <protection locked="0"/>
    </xf>
    <xf numFmtId="167" fontId="23" fillId="0" borderId="12" xfId="1" applyNumberFormat="1" applyFont="1" applyBorder="1" applyAlignment="1" applyProtection="1">
      <alignment horizontal="center" vertical="center"/>
      <protection locked="0"/>
    </xf>
    <xf numFmtId="0" fontId="9" fillId="0" borderId="26" xfId="1" applyFont="1" applyBorder="1" applyAlignment="1" applyProtection="1">
      <alignment horizontal="center" vertical="center" wrapText="1"/>
      <protection locked="0"/>
    </xf>
    <xf numFmtId="0" fontId="8" fillId="0" borderId="49" xfId="1" applyFont="1" applyBorder="1" applyAlignment="1" applyProtection="1">
      <alignment horizontal="center" vertical="center" wrapText="1"/>
      <protection locked="0"/>
    </xf>
    <xf numFmtId="167" fontId="8" fillId="15" borderId="8" xfId="1" applyNumberFormat="1" applyFont="1" applyFill="1" applyBorder="1" applyAlignment="1" applyProtection="1">
      <alignment horizontal="center" vertical="center"/>
      <protection locked="0"/>
    </xf>
    <xf numFmtId="167" fontId="23" fillId="15" borderId="8" xfId="1" applyNumberFormat="1" applyFont="1" applyFill="1" applyBorder="1" applyAlignment="1" applyProtection="1">
      <alignment horizontal="center" vertical="center"/>
      <protection locked="0"/>
    </xf>
    <xf numFmtId="0" fontId="8" fillId="15" borderId="33" xfId="1" applyFont="1" applyFill="1" applyBorder="1" applyAlignment="1" applyProtection="1">
      <alignment horizontal="center" vertical="center" wrapText="1"/>
      <protection locked="0"/>
    </xf>
    <xf numFmtId="167" fontId="8" fillId="15" borderId="23" xfId="1" applyNumberFormat="1" applyFont="1" applyFill="1" applyBorder="1" applyAlignment="1" applyProtection="1">
      <alignment horizontal="center" vertical="center"/>
      <protection locked="0"/>
    </xf>
    <xf numFmtId="167" fontId="23" fillId="15" borderId="23" xfId="1" applyNumberFormat="1" applyFont="1" applyFill="1" applyBorder="1" applyAlignment="1" applyProtection="1">
      <alignment horizontal="center" vertical="center"/>
      <protection locked="0"/>
    </xf>
    <xf numFmtId="0" fontId="8" fillId="15" borderId="23" xfId="1" applyFont="1" applyFill="1" applyBorder="1" applyAlignment="1" applyProtection="1">
      <alignment horizontal="center" vertical="center"/>
      <protection locked="0"/>
    </xf>
    <xf numFmtId="0" fontId="8" fillId="15" borderId="68" xfId="1" applyFont="1" applyFill="1" applyBorder="1" applyAlignment="1" applyProtection="1">
      <alignment horizontal="center" vertical="center" wrapText="1"/>
      <protection locked="0"/>
    </xf>
    <xf numFmtId="0" fontId="8" fillId="7" borderId="13" xfId="1" applyFont="1" applyFill="1" applyBorder="1" applyAlignment="1" applyProtection="1">
      <alignment horizontal="center" vertical="center" wrapText="1"/>
      <protection locked="0"/>
    </xf>
    <xf numFmtId="0" fontId="8" fillId="7" borderId="0" xfId="1" applyFont="1" applyFill="1" applyAlignment="1" applyProtection="1">
      <alignment horizontal="center" vertical="center" wrapText="1"/>
      <protection locked="0"/>
    </xf>
    <xf numFmtId="0" fontId="8" fillId="0" borderId="69" xfId="1" applyFont="1" applyBorder="1" applyAlignment="1" applyProtection="1">
      <alignment horizontal="left" vertical="center"/>
      <protection locked="0"/>
    </xf>
    <xf numFmtId="0" fontId="8" fillId="7" borderId="0" xfId="1" applyFont="1" applyFill="1" applyAlignment="1" applyProtection="1">
      <alignment horizontal="left" vertical="center" wrapText="1"/>
      <protection locked="0"/>
    </xf>
    <xf numFmtId="167" fontId="8" fillId="7" borderId="0" xfId="1" applyNumberFormat="1" applyFont="1" applyFill="1" applyAlignment="1" applyProtection="1">
      <alignment horizontal="center" vertical="center"/>
      <protection locked="0"/>
    </xf>
    <xf numFmtId="167" fontId="23" fillId="7" borderId="0" xfId="1" applyNumberFormat="1" applyFont="1" applyFill="1" applyAlignment="1" applyProtection="1">
      <alignment horizontal="center" vertical="center"/>
      <protection locked="0"/>
    </xf>
    <xf numFmtId="0" fontId="8" fillId="7" borderId="0" xfId="1" applyFont="1" applyFill="1" applyAlignment="1" applyProtection="1">
      <alignment horizontal="center" vertical="center"/>
      <protection locked="0"/>
    </xf>
    <xf numFmtId="165" fontId="9" fillId="0" borderId="0" xfId="2" applyFont="1" applyAlignment="1" applyProtection="1">
      <alignment horizontal="center" vertical="center"/>
      <protection locked="0"/>
    </xf>
    <xf numFmtId="165" fontId="24" fillId="0" borderId="0" xfId="2" applyFont="1" applyAlignment="1" applyProtection="1">
      <alignment horizontal="center" vertical="center"/>
      <protection locked="0"/>
    </xf>
    <xf numFmtId="0" fontId="23" fillId="0" borderId="19" xfId="1" applyFont="1" applyBorder="1" applyAlignment="1" applyProtection="1">
      <alignment horizontal="center" vertical="center"/>
      <protection locked="0"/>
    </xf>
    <xf numFmtId="0" fontId="23" fillId="0" borderId="29" xfId="1" applyFont="1" applyBorder="1" applyAlignment="1" applyProtection="1">
      <alignment horizontal="center" vertical="center"/>
      <protection locked="0"/>
    </xf>
    <xf numFmtId="166" fontId="9" fillId="3" borderId="11" xfId="1" applyNumberFormat="1" applyFont="1" applyFill="1" applyBorder="1" applyAlignment="1" applyProtection="1">
      <alignment horizontal="center" vertical="center"/>
      <protection locked="0"/>
    </xf>
    <xf numFmtId="167" fontId="9" fillId="3" borderId="12" xfId="1" applyNumberFormat="1" applyFont="1" applyFill="1" applyBorder="1" applyAlignment="1" applyProtection="1">
      <alignment horizontal="center" vertical="center"/>
      <protection locked="0"/>
    </xf>
    <xf numFmtId="0" fontId="9" fillId="3" borderId="12" xfId="1" applyFont="1" applyFill="1" applyBorder="1" applyAlignment="1" applyProtection="1">
      <alignment horizontal="center" vertical="center"/>
      <protection locked="0"/>
    </xf>
    <xf numFmtId="0" fontId="9" fillId="3" borderId="67" xfId="1" applyFont="1" applyFill="1" applyBorder="1" applyAlignment="1" applyProtection="1">
      <alignment horizontal="center" vertical="center" wrapText="1"/>
      <protection locked="0"/>
    </xf>
    <xf numFmtId="4" fontId="22" fillId="0" borderId="53" xfId="1" applyNumberFormat="1" applyFont="1" applyBorder="1" applyAlignment="1" applyProtection="1">
      <alignment horizontal="left" vertical="center" wrapText="1"/>
      <protection locked="0"/>
    </xf>
    <xf numFmtId="2" fontId="22" fillId="0" borderId="53" xfId="1" applyNumberFormat="1" applyFont="1" applyBorder="1" applyAlignment="1" applyProtection="1">
      <alignment horizontal="left" vertical="center" wrapText="1"/>
      <protection locked="0"/>
    </xf>
    <xf numFmtId="171" fontId="21" fillId="8" borderId="0" xfId="3" applyNumberFormat="1" applyFont="1" applyFill="1" applyAlignment="1">
      <alignment horizontal="center"/>
    </xf>
    <xf numFmtId="0" fontId="22" fillId="11" borderId="53" xfId="1" applyFont="1" applyFill="1" applyBorder="1" applyAlignment="1" applyProtection="1">
      <alignment horizontal="left" vertical="center" wrapText="1"/>
      <protection locked="0"/>
    </xf>
    <xf numFmtId="168" fontId="22" fillId="0" borderId="0" xfId="1" applyNumberFormat="1" applyFont="1" applyAlignment="1" applyProtection="1">
      <alignment horizontal="center" vertical="center"/>
      <protection locked="0"/>
    </xf>
    <xf numFmtId="10" fontId="22" fillId="0" borderId="0" xfId="6" applyNumberFormat="1" applyFont="1" applyAlignment="1" applyProtection="1">
      <alignment horizontal="center" vertical="center"/>
      <protection locked="0"/>
    </xf>
    <xf numFmtId="10" fontId="9" fillId="0" borderId="0" xfId="6" applyNumberFormat="1" applyFont="1" applyAlignment="1">
      <alignment horizontal="center"/>
    </xf>
    <xf numFmtId="0" fontId="22" fillId="0" borderId="0" xfId="1" applyFont="1" applyAlignment="1" applyProtection="1">
      <alignment horizontal="right" vertical="center"/>
      <protection locked="0"/>
    </xf>
    <xf numFmtId="3" fontId="22" fillId="11" borderId="53" xfId="1" applyNumberFormat="1" applyFont="1" applyFill="1" applyBorder="1" applyAlignment="1" applyProtection="1">
      <alignment horizontal="left" vertical="center" wrapText="1"/>
      <protection locked="0"/>
    </xf>
    <xf numFmtId="166" fontId="22" fillId="11" borderId="53" xfId="1" applyNumberFormat="1" applyFont="1" applyFill="1" applyBorder="1" applyAlignment="1" applyProtection="1">
      <alignment horizontal="center" vertical="center"/>
      <protection locked="0"/>
    </xf>
    <xf numFmtId="167" fontId="22" fillId="28" borderId="53" xfId="1" applyNumberFormat="1" applyFont="1" applyFill="1" applyBorder="1" applyAlignment="1" applyProtection="1">
      <alignment horizontal="left" vertical="center" wrapText="1"/>
      <protection locked="0"/>
    </xf>
    <xf numFmtId="167" fontId="22" fillId="27" borderId="53" xfId="1" applyNumberFormat="1" applyFont="1" applyFill="1" applyBorder="1" applyAlignment="1" applyProtection="1">
      <alignment horizontal="left" vertical="center" wrapText="1"/>
      <protection locked="0"/>
    </xf>
    <xf numFmtId="167" fontId="22" fillId="15" borderId="53" xfId="1" applyNumberFormat="1" applyFont="1" applyFill="1" applyBorder="1" applyAlignment="1" applyProtection="1">
      <alignment horizontal="center" vertical="center" wrapText="1"/>
      <protection locked="0"/>
    </xf>
    <xf numFmtId="3" fontId="9" fillId="0" borderId="53" xfId="1" applyNumberFormat="1" applyFont="1" applyBorder="1" applyAlignment="1" applyProtection="1">
      <alignment horizontal="left" vertical="center" wrapText="1"/>
      <protection locked="0"/>
    </xf>
    <xf numFmtId="168" fontId="22" fillId="0" borderId="53" xfId="1" applyNumberFormat="1" applyFont="1" applyBorder="1" applyAlignment="1" applyProtection="1">
      <alignment horizontal="center" vertical="center" wrapText="1"/>
      <protection locked="0"/>
    </xf>
    <xf numFmtId="167" fontId="21" fillId="15" borderId="53" xfId="1" applyNumberFormat="1" applyFont="1" applyFill="1" applyBorder="1" applyAlignment="1" applyProtection="1">
      <alignment horizontal="center" vertical="center" wrapText="1"/>
      <protection locked="0"/>
    </xf>
    <xf numFmtId="0" fontId="48" fillId="0" borderId="0" xfId="0" applyFont="1"/>
    <xf numFmtId="0" fontId="50" fillId="0" borderId="0" xfId="1" applyFont="1" applyAlignment="1" applyProtection="1">
      <alignment horizontal="left" vertical="center"/>
      <protection locked="0"/>
    </xf>
    <xf numFmtId="0" fontId="49" fillId="0" borderId="0" xfId="1" applyFont="1" applyAlignment="1" applyProtection="1">
      <alignment horizontal="right" vertical="center"/>
      <protection locked="0"/>
    </xf>
    <xf numFmtId="0" fontId="49" fillId="0" borderId="0" xfId="0" applyFont="1"/>
    <xf numFmtId="10" fontId="49" fillId="0" borderId="0" xfId="6" applyNumberFormat="1" applyFont="1" applyAlignment="1">
      <alignment horizontal="center"/>
    </xf>
    <xf numFmtId="168" fontId="22" fillId="0" borderId="53" xfId="1" applyNumberFormat="1" applyFont="1" applyBorder="1" applyAlignment="1" applyProtection="1">
      <alignment horizontal="center" vertical="top" wrapText="1"/>
      <protection locked="0"/>
    </xf>
    <xf numFmtId="167" fontId="21" fillId="0" borderId="53" xfId="1" applyNumberFormat="1" applyFont="1" applyBorder="1" applyAlignment="1" applyProtection="1">
      <alignment horizontal="center" vertical="center" wrapText="1"/>
      <protection locked="0"/>
    </xf>
    <xf numFmtId="3" fontId="22" fillId="0" borderId="0" xfId="1" applyNumberFormat="1" applyFont="1" applyAlignment="1" applyProtection="1">
      <alignment horizontal="center" vertical="center"/>
      <protection locked="0"/>
    </xf>
    <xf numFmtId="1" fontId="22" fillId="0" borderId="0" xfId="1" applyNumberFormat="1" applyFont="1" applyAlignment="1" applyProtection="1">
      <alignment horizontal="center" vertical="center"/>
      <protection locked="0"/>
    </xf>
    <xf numFmtId="165" fontId="22" fillId="0" borderId="0" xfId="0" applyNumberFormat="1" applyFont="1"/>
    <xf numFmtId="171" fontId="22" fillId="0" borderId="71" xfId="3" applyNumberFormat="1" applyFont="1" applyFill="1" applyBorder="1" applyAlignment="1" applyProtection="1">
      <alignment horizontal="center" vertical="center"/>
      <protection locked="0"/>
    </xf>
    <xf numFmtId="0" fontId="22" fillId="0" borderId="13" xfId="1" applyFont="1" applyBorder="1" applyAlignment="1" applyProtection="1">
      <alignment horizontal="center" vertical="center" wrapText="1"/>
      <protection locked="0"/>
    </xf>
    <xf numFmtId="0" fontId="22" fillId="8" borderId="13" xfId="1" applyFont="1" applyFill="1" applyBorder="1" applyAlignment="1" applyProtection="1">
      <alignment horizontal="center" vertical="center" wrapText="1"/>
      <protection locked="0"/>
    </xf>
    <xf numFmtId="171" fontId="22" fillId="8" borderId="13" xfId="3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43" fontId="22" fillId="0" borderId="0" xfId="3" applyFont="1" applyBorder="1" applyAlignment="1">
      <alignment horizontal="center"/>
    </xf>
    <xf numFmtId="168" fontId="21" fillId="0" borderId="0" xfId="0" applyNumberFormat="1" applyFont="1"/>
    <xf numFmtId="171" fontId="21" fillId="0" borderId="0" xfId="3" applyNumberFormat="1" applyFont="1" applyFill="1" applyBorder="1"/>
    <xf numFmtId="168" fontId="22" fillId="0" borderId="13" xfId="0" applyNumberFormat="1" applyFont="1" applyBorder="1"/>
    <xf numFmtId="168" fontId="21" fillId="8" borderId="13" xfId="0" applyNumberFormat="1" applyFont="1" applyFill="1" applyBorder="1"/>
    <xf numFmtId="167" fontId="21" fillId="7" borderId="13" xfId="1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Font="1"/>
    <xf numFmtId="171" fontId="23" fillId="0" borderId="0" xfId="3" applyNumberFormat="1" applyFont="1" applyBorder="1" applyAlignment="1">
      <alignment horizontal="center"/>
    </xf>
    <xf numFmtId="171" fontId="23" fillId="0" borderId="0" xfId="3" applyNumberFormat="1" applyFont="1" applyBorder="1"/>
    <xf numFmtId="171" fontId="21" fillId="0" borderId="0" xfId="3" applyNumberFormat="1" applyFont="1" applyFill="1" applyBorder="1" applyAlignment="1">
      <alignment horizontal="center"/>
    </xf>
    <xf numFmtId="166" fontId="21" fillId="11" borderId="55" xfId="1" applyNumberFormat="1" applyFont="1" applyFill="1" applyBorder="1" applyAlignment="1" applyProtection="1">
      <alignment horizontal="center" vertical="top"/>
      <protection locked="0"/>
    </xf>
    <xf numFmtId="0" fontId="21" fillId="11" borderId="55" xfId="1" applyFont="1" applyFill="1" applyBorder="1" applyAlignment="1" applyProtection="1">
      <alignment horizontal="center" vertical="top" wrapText="1"/>
      <protection locked="0"/>
    </xf>
    <xf numFmtId="165" fontId="21" fillId="11" borderId="53" xfId="2" applyFont="1" applyFill="1" applyBorder="1" applyAlignment="1" applyProtection="1">
      <alignment vertical="top" wrapText="1"/>
      <protection locked="0"/>
    </xf>
    <xf numFmtId="166" fontId="21" fillId="11" borderId="54" xfId="1" applyNumberFormat="1" applyFont="1" applyFill="1" applyBorder="1" applyAlignment="1" applyProtection="1">
      <alignment vertical="top"/>
      <protection locked="0"/>
    </xf>
    <xf numFmtId="0" fontId="21" fillId="11" borderId="54" xfId="1" applyFont="1" applyFill="1" applyBorder="1" applyAlignment="1" applyProtection="1">
      <alignment vertical="top" wrapText="1"/>
      <protection locked="0"/>
    </xf>
    <xf numFmtId="165" fontId="21" fillId="11" borderId="53" xfId="2" applyFont="1" applyFill="1" applyBorder="1" applyAlignment="1" applyProtection="1">
      <alignment horizontal="center" vertical="top"/>
      <protection locked="0"/>
    </xf>
    <xf numFmtId="167" fontId="21" fillId="3" borderId="0" xfId="1" applyNumberFormat="1" applyFont="1" applyFill="1" applyAlignment="1" applyProtection="1">
      <alignment horizontal="center" vertical="center"/>
      <protection locked="0"/>
    </xf>
    <xf numFmtId="166" fontId="21" fillId="28" borderId="53" xfId="1" applyNumberFormat="1" applyFont="1" applyFill="1" applyBorder="1" applyAlignment="1" applyProtection="1">
      <alignment horizontal="center" vertical="center"/>
      <protection locked="0"/>
    </xf>
    <xf numFmtId="167" fontId="21" fillId="28" borderId="53" xfId="1" applyNumberFormat="1" applyFont="1" applyFill="1" applyBorder="1" applyAlignment="1" applyProtection="1">
      <alignment horizontal="left" vertical="center" wrapText="1"/>
      <protection locked="0"/>
    </xf>
    <xf numFmtId="167" fontId="21" fillId="28" borderId="53" xfId="1" applyNumberFormat="1" applyFont="1" applyFill="1" applyBorder="1" applyAlignment="1" applyProtection="1">
      <alignment horizontal="center" vertical="center" wrapText="1"/>
      <protection locked="0"/>
    </xf>
    <xf numFmtId="167" fontId="21" fillId="28" borderId="53" xfId="1" applyNumberFormat="1" applyFont="1" applyFill="1" applyBorder="1" applyAlignment="1" applyProtection="1">
      <alignment horizontal="center" vertical="center"/>
      <protection locked="0"/>
    </xf>
    <xf numFmtId="0" fontId="21" fillId="28" borderId="53" xfId="1" applyFont="1" applyFill="1" applyBorder="1" applyAlignment="1" applyProtection="1">
      <alignment horizontal="center" vertical="center"/>
      <protection locked="0"/>
    </xf>
    <xf numFmtId="0" fontId="21" fillId="28" borderId="53" xfId="1" applyFont="1" applyFill="1" applyBorder="1" applyAlignment="1" applyProtection="1">
      <alignment horizontal="left" vertical="center"/>
      <protection locked="0"/>
    </xf>
    <xf numFmtId="0" fontId="21" fillId="28" borderId="0" xfId="1" applyFont="1" applyFill="1" applyAlignment="1" applyProtection="1">
      <alignment horizontal="center" vertical="center"/>
      <protection locked="0"/>
    </xf>
    <xf numFmtId="167" fontId="21" fillId="28" borderId="0" xfId="1" applyNumberFormat="1" applyFont="1" applyFill="1" applyAlignment="1" applyProtection="1">
      <alignment horizontal="center" vertical="center"/>
      <protection locked="0"/>
    </xf>
    <xf numFmtId="167" fontId="22" fillId="28" borderId="53" xfId="1" applyNumberFormat="1" applyFont="1" applyFill="1" applyBorder="1" applyAlignment="1" applyProtection="1">
      <alignment horizontal="center" vertical="center"/>
      <protection locked="0"/>
    </xf>
    <xf numFmtId="3" fontId="21" fillId="28" borderId="53" xfId="1" applyNumberFormat="1" applyFont="1" applyFill="1" applyBorder="1" applyAlignment="1" applyProtection="1">
      <alignment horizontal="left" vertical="center"/>
      <protection locked="0"/>
    </xf>
    <xf numFmtId="0" fontId="22" fillId="28" borderId="0" xfId="1" applyFont="1" applyFill="1" applyAlignment="1" applyProtection="1">
      <alignment horizontal="center" vertical="center"/>
      <protection locked="0"/>
    </xf>
    <xf numFmtId="0" fontId="22" fillId="28" borderId="53" xfId="1" applyFont="1" applyFill="1" applyBorder="1" applyAlignment="1" applyProtection="1">
      <alignment horizontal="center" vertical="center"/>
      <protection locked="0"/>
    </xf>
    <xf numFmtId="167" fontId="22" fillId="28" borderId="0" xfId="1" applyNumberFormat="1" applyFont="1" applyFill="1" applyAlignment="1" applyProtection="1">
      <alignment horizontal="center" vertical="center"/>
      <protection locked="0"/>
    </xf>
    <xf numFmtId="0" fontId="21" fillId="28" borderId="56" xfId="1" applyFont="1" applyFill="1" applyBorder="1" applyAlignment="1" applyProtection="1">
      <alignment vertical="center"/>
      <protection locked="0"/>
    </xf>
    <xf numFmtId="0" fontId="21" fillId="28" borderId="57" xfId="1" applyFont="1" applyFill="1" applyBorder="1" applyAlignment="1" applyProtection="1">
      <alignment vertical="center" wrapText="1"/>
      <protection locked="0"/>
    </xf>
    <xf numFmtId="0" fontId="21" fillId="28" borderId="58" xfId="1" applyFont="1" applyFill="1" applyBorder="1" applyAlignment="1" applyProtection="1">
      <alignment vertical="center" wrapText="1"/>
      <protection locked="0"/>
    </xf>
    <xf numFmtId="167" fontId="21" fillId="28" borderId="56" xfId="1" applyNumberFormat="1" applyFont="1" applyFill="1" applyBorder="1" applyAlignment="1" applyProtection="1">
      <alignment vertical="center"/>
      <protection locked="0"/>
    </xf>
    <xf numFmtId="167" fontId="21" fillId="28" borderId="57" xfId="1" applyNumberFormat="1" applyFont="1" applyFill="1" applyBorder="1" applyAlignment="1" applyProtection="1">
      <alignment vertical="center" wrapText="1"/>
      <protection locked="0"/>
    </xf>
    <xf numFmtId="167" fontId="21" fillId="28" borderId="58" xfId="1" applyNumberFormat="1" applyFont="1" applyFill="1" applyBorder="1" applyAlignment="1" applyProtection="1">
      <alignment vertical="center" wrapText="1"/>
      <protection locked="0"/>
    </xf>
    <xf numFmtId="0" fontId="21" fillId="28" borderId="53" xfId="1" applyFont="1" applyFill="1" applyBorder="1" applyAlignment="1" applyProtection="1">
      <alignment horizontal="left" vertical="center" wrapText="1"/>
      <protection locked="0"/>
    </xf>
    <xf numFmtId="167" fontId="21" fillId="28" borderId="0" xfId="1" applyNumberFormat="1" applyFont="1" applyFill="1" applyAlignment="1" applyProtection="1">
      <alignment horizontal="left" vertical="center" wrapText="1"/>
      <protection locked="0"/>
    </xf>
    <xf numFmtId="167" fontId="21" fillId="28" borderId="0" xfId="1" applyNumberFormat="1" applyFont="1" applyFill="1" applyAlignment="1" applyProtection="1">
      <alignment horizontal="center" vertical="center" wrapText="1"/>
      <protection locked="0"/>
    </xf>
    <xf numFmtId="0" fontId="21" fillId="28" borderId="53" xfId="1" applyFont="1" applyFill="1" applyBorder="1" applyAlignment="1" applyProtection="1">
      <alignment horizontal="center" vertical="center" wrapText="1"/>
      <protection locked="0"/>
    </xf>
    <xf numFmtId="0" fontId="21" fillId="28" borderId="0" xfId="1" applyFont="1" applyFill="1" applyAlignment="1" applyProtection="1">
      <alignment horizontal="center" vertical="center" wrapText="1"/>
      <protection locked="0"/>
    </xf>
    <xf numFmtId="4" fontId="21" fillId="28" borderId="53" xfId="1" applyNumberFormat="1" applyFont="1" applyFill="1" applyBorder="1" applyAlignment="1" applyProtection="1">
      <alignment horizontal="center" vertical="center" wrapText="1"/>
      <protection locked="0"/>
    </xf>
    <xf numFmtId="4" fontId="21" fillId="28" borderId="0" xfId="1" applyNumberFormat="1" applyFont="1" applyFill="1" applyAlignment="1" applyProtection="1">
      <alignment horizontal="left" vertical="center" wrapText="1"/>
      <protection locked="0"/>
    </xf>
    <xf numFmtId="4" fontId="21" fillId="28" borderId="0" xfId="1" applyNumberFormat="1" applyFont="1" applyFill="1" applyAlignment="1" applyProtection="1">
      <alignment horizontal="center" vertical="center" wrapText="1"/>
      <protection locked="0"/>
    </xf>
    <xf numFmtId="167" fontId="21" fillId="28" borderId="53" xfId="1" applyNumberFormat="1" applyFont="1" applyFill="1" applyBorder="1" applyAlignment="1" applyProtection="1">
      <alignment horizontal="left" vertical="center"/>
      <protection locked="0"/>
    </xf>
    <xf numFmtId="4" fontId="21" fillId="28" borderId="53" xfId="1" applyNumberFormat="1" applyFont="1" applyFill="1" applyBorder="1" applyAlignment="1" applyProtection="1">
      <alignment horizontal="center" vertical="center"/>
      <protection locked="0"/>
    </xf>
    <xf numFmtId="0" fontId="21" fillId="28" borderId="0" xfId="1" applyFont="1" applyFill="1" applyAlignment="1" applyProtection="1">
      <alignment horizontal="left" vertical="center" wrapText="1"/>
      <protection locked="0"/>
    </xf>
    <xf numFmtId="0" fontId="21" fillId="28" borderId="53" xfId="1" applyFont="1" applyFill="1" applyBorder="1" applyAlignment="1" applyProtection="1">
      <alignment horizontal="left" vertical="top"/>
      <protection locked="0"/>
    </xf>
    <xf numFmtId="167" fontId="21" fillId="28" borderId="53" xfId="1" applyNumberFormat="1" applyFont="1" applyFill="1" applyBorder="1" applyAlignment="1" applyProtection="1">
      <alignment horizontal="center" vertical="top"/>
      <protection locked="0"/>
    </xf>
    <xf numFmtId="0" fontId="21" fillId="28" borderId="53" xfId="1" applyFont="1" applyFill="1" applyBorder="1" applyAlignment="1" applyProtection="1">
      <alignment horizontal="center" vertical="top"/>
      <protection locked="0"/>
    </xf>
    <xf numFmtId="0" fontId="21" fillId="28" borderId="53" xfId="1" applyFont="1" applyFill="1" applyBorder="1" applyAlignment="1" applyProtection="1">
      <alignment horizontal="left" vertical="top" wrapText="1"/>
      <protection locked="0"/>
    </xf>
    <xf numFmtId="168" fontId="21" fillId="28" borderId="53" xfId="1" applyNumberFormat="1" applyFont="1" applyFill="1" applyBorder="1" applyAlignment="1" applyProtection="1">
      <alignment horizontal="center" vertical="center"/>
      <protection locked="0"/>
    </xf>
    <xf numFmtId="0" fontId="22" fillId="28" borderId="53" xfId="1" applyFont="1" applyFill="1" applyBorder="1" applyAlignment="1" applyProtection="1">
      <alignment horizontal="left" vertical="center" wrapText="1"/>
      <protection locked="0"/>
    </xf>
    <xf numFmtId="167" fontId="22" fillId="28" borderId="0" xfId="1" applyNumberFormat="1" applyFont="1" applyFill="1" applyAlignment="1" applyProtection="1">
      <alignment horizontal="left" vertical="center" wrapText="1"/>
      <protection locked="0"/>
    </xf>
    <xf numFmtId="167" fontId="22" fillId="28" borderId="0" xfId="1" applyNumberFormat="1" applyFont="1" applyFill="1" applyAlignment="1" applyProtection="1">
      <alignment horizontal="center" vertical="center" wrapText="1"/>
      <protection locked="0"/>
    </xf>
    <xf numFmtId="167" fontId="24" fillId="28" borderId="0" xfId="1" applyNumberFormat="1" applyFont="1" applyFill="1" applyAlignment="1" applyProtection="1">
      <alignment horizontal="center" vertical="center"/>
      <protection locked="0"/>
    </xf>
    <xf numFmtId="167" fontId="22" fillId="28" borderId="0" xfId="1" applyNumberFormat="1" applyFont="1" applyFill="1" applyAlignment="1" applyProtection="1">
      <alignment horizontal="left" vertical="center"/>
      <protection locked="0"/>
    </xf>
    <xf numFmtId="168" fontId="26" fillId="28" borderId="0" xfId="1" applyNumberFormat="1" applyFont="1" applyFill="1" applyAlignment="1" applyProtection="1">
      <alignment horizontal="left" vertical="center" wrapText="1"/>
      <protection locked="0"/>
    </xf>
    <xf numFmtId="168" fontId="26" fillId="28" borderId="0" xfId="1" applyNumberFormat="1" applyFont="1" applyFill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vertical="center" wrapText="1"/>
      <protection locked="0"/>
    </xf>
    <xf numFmtId="0" fontId="51" fillId="0" borderId="0" xfId="1" applyFont="1" applyAlignment="1" applyProtection="1">
      <alignment vertical="center" wrapText="1"/>
      <protection locked="0"/>
    </xf>
    <xf numFmtId="173" fontId="22" fillId="0" borderId="53" xfId="1" applyNumberFormat="1" applyFont="1" applyBorder="1" applyAlignment="1" applyProtection="1">
      <alignment horizontal="center" vertical="center"/>
      <protection locked="0"/>
    </xf>
    <xf numFmtId="173" fontId="22" fillId="0" borderId="53" xfId="1" applyNumberFormat="1" applyFont="1" applyBorder="1" applyAlignment="1" applyProtection="1">
      <alignment horizontal="center" vertical="center" wrapText="1"/>
      <protection locked="0"/>
    </xf>
    <xf numFmtId="173" fontId="22" fillId="0" borderId="53" xfId="1" applyNumberFormat="1" applyFont="1" applyBorder="1" applyAlignment="1" applyProtection="1">
      <alignment horizontal="center" vertical="top"/>
      <protection locked="0"/>
    </xf>
    <xf numFmtId="167" fontId="52" fillId="0" borderId="0" xfId="1" applyNumberFormat="1" applyFont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left" vertical="top" wrapText="1"/>
      <protection locked="0"/>
    </xf>
    <xf numFmtId="0" fontId="53" fillId="0" borderId="0" xfId="1" applyFont="1" applyAlignment="1" applyProtection="1">
      <alignment horizontal="center" vertical="center"/>
      <protection locked="0"/>
    </xf>
    <xf numFmtId="166" fontId="54" fillId="0" borderId="0" xfId="1" applyNumberFormat="1" applyFont="1" applyAlignment="1" applyProtection="1">
      <alignment horizontal="left" vertical="center"/>
      <protection locked="0"/>
    </xf>
    <xf numFmtId="0" fontId="54" fillId="0" borderId="0" xfId="1" applyFont="1" applyAlignment="1" applyProtection="1">
      <alignment horizontal="center" vertical="center"/>
      <protection locked="0"/>
    </xf>
    <xf numFmtId="167" fontId="54" fillId="0" borderId="0" xfId="1" applyNumberFormat="1" applyFont="1" applyAlignment="1" applyProtection="1">
      <alignment horizontal="center" vertical="center"/>
      <protection locked="0"/>
    </xf>
    <xf numFmtId="166" fontId="10" fillId="0" borderId="0" xfId="1" applyNumberFormat="1" applyFont="1" applyAlignment="1" applyProtection="1">
      <alignment horizontal="left" vertical="center"/>
      <protection locked="0"/>
    </xf>
    <xf numFmtId="166" fontId="53" fillId="0" borderId="0" xfId="1" applyNumberFormat="1" applyFont="1" applyAlignment="1" applyProtection="1">
      <alignment horizontal="center" vertical="center"/>
      <protection locked="0"/>
    </xf>
    <xf numFmtId="166" fontId="54" fillId="0" borderId="0" xfId="1" applyNumberFormat="1" applyFont="1" applyAlignment="1" applyProtection="1">
      <alignment horizontal="center" vertical="center"/>
      <protection locked="0"/>
    </xf>
    <xf numFmtId="0" fontId="54" fillId="0" borderId="0" xfId="1" applyFont="1" applyAlignment="1" applyProtection="1">
      <alignment horizontal="left" vertical="center"/>
      <protection locked="0"/>
    </xf>
    <xf numFmtId="167" fontId="54" fillId="0" borderId="0" xfId="1" applyNumberFormat="1" applyFont="1" applyAlignment="1" applyProtection="1">
      <alignment horizontal="left" vertical="center"/>
      <protection locked="0"/>
    </xf>
    <xf numFmtId="0" fontId="10" fillId="0" borderId="0" xfId="1" applyFont="1" applyAlignment="1" applyProtection="1">
      <alignment horizontal="left" vertical="center"/>
      <protection locked="0"/>
    </xf>
    <xf numFmtId="0" fontId="51" fillId="0" borderId="0" xfId="1" applyFont="1" applyAlignment="1" applyProtection="1">
      <alignment horizontal="left" vertical="center" wrapText="1"/>
      <protection locked="0"/>
    </xf>
    <xf numFmtId="166" fontId="21" fillId="0" borderId="0" xfId="1" applyNumberFormat="1" applyFont="1" applyAlignment="1" applyProtection="1">
      <alignment horizontal="center" vertical="center"/>
      <protection locked="0"/>
    </xf>
    <xf numFmtId="167" fontId="22" fillId="0" borderId="58" xfId="1" applyNumberFormat="1" applyFont="1" applyBorder="1" applyAlignment="1" applyProtection="1">
      <alignment horizontal="center" vertical="center"/>
      <protection locked="0"/>
    </xf>
    <xf numFmtId="0" fontId="21" fillId="3" borderId="0" xfId="1" applyFont="1" applyFill="1" applyAlignment="1" applyProtection="1">
      <alignment horizontal="center" vertical="center"/>
      <protection locked="0"/>
    </xf>
    <xf numFmtId="167" fontId="21" fillId="3" borderId="53" xfId="1" applyNumberFormat="1" applyFont="1" applyFill="1" applyBorder="1" applyAlignment="1" applyProtection="1">
      <alignment horizontal="center" vertical="center"/>
      <protection locked="0"/>
    </xf>
    <xf numFmtId="0" fontId="51" fillId="3" borderId="0" xfId="1" applyFont="1" applyFill="1" applyAlignment="1" applyProtection="1">
      <alignment vertical="center" wrapText="1"/>
      <protection locked="0"/>
    </xf>
    <xf numFmtId="0" fontId="48" fillId="3" borderId="0" xfId="0" applyFont="1" applyFill="1"/>
    <xf numFmtId="170" fontId="3" fillId="3" borderId="0" xfId="1" applyNumberFormat="1" applyFont="1" applyFill="1" applyAlignment="1" applyProtection="1">
      <alignment horizontal="center" vertical="center"/>
      <protection locked="0"/>
    </xf>
    <xf numFmtId="0" fontId="21" fillId="4" borderId="55" xfId="1" applyFont="1" applyFill="1" applyBorder="1" applyAlignment="1" applyProtection="1">
      <alignment horizontal="center" vertical="center" wrapText="1"/>
      <protection locked="0"/>
    </xf>
    <xf numFmtId="0" fontId="21" fillId="4" borderId="54" xfId="1" applyFont="1" applyFill="1" applyBorder="1" applyAlignment="1" applyProtection="1">
      <alignment horizontal="center" vertical="center" wrapText="1"/>
      <protection locked="0"/>
    </xf>
    <xf numFmtId="167" fontId="9" fillId="0" borderId="53" xfId="1" applyNumberFormat="1" applyFont="1" applyBorder="1" applyAlignment="1" applyProtection="1">
      <alignment horizontal="center" vertical="center"/>
      <protection locked="0"/>
    </xf>
    <xf numFmtId="165" fontId="21" fillId="11" borderId="58" xfId="2" applyFont="1" applyFill="1" applyBorder="1" applyAlignment="1" applyProtection="1">
      <alignment vertical="center" wrapText="1"/>
      <protection locked="0"/>
    </xf>
    <xf numFmtId="167" fontId="21" fillId="28" borderId="58" xfId="1" applyNumberFormat="1" applyFont="1" applyFill="1" applyBorder="1" applyAlignment="1" applyProtection="1">
      <alignment horizontal="center" vertical="center"/>
      <protection locked="0"/>
    </xf>
    <xf numFmtId="0" fontId="21" fillId="28" borderId="50" xfId="1" applyFont="1" applyFill="1" applyBorder="1" applyAlignment="1" applyProtection="1">
      <alignment horizontal="center" vertical="center"/>
      <protection locked="0"/>
    </xf>
    <xf numFmtId="167" fontId="21" fillId="28" borderId="79" xfId="1" applyNumberFormat="1" applyFont="1" applyFill="1" applyBorder="1" applyAlignment="1" applyProtection="1">
      <alignment horizontal="center" vertical="center"/>
      <protection locked="0"/>
    </xf>
    <xf numFmtId="0" fontId="22" fillId="0" borderId="50" xfId="1" applyFont="1" applyBorder="1" applyAlignment="1" applyProtection="1">
      <alignment horizontal="center" vertical="center"/>
      <protection locked="0"/>
    </xf>
    <xf numFmtId="167" fontId="22" fillId="0" borderId="79" xfId="1" applyNumberFormat="1" applyFont="1" applyBorder="1" applyAlignment="1" applyProtection="1">
      <alignment horizontal="center" vertical="center"/>
      <protection locked="0"/>
    </xf>
    <xf numFmtId="0" fontId="22" fillId="0" borderId="52" xfId="1" applyFont="1" applyBorder="1" applyAlignment="1" applyProtection="1">
      <alignment horizontal="center" vertical="center"/>
      <protection locked="0"/>
    </xf>
    <xf numFmtId="166" fontId="22" fillId="0" borderId="80" xfId="1" applyNumberFormat="1" applyFont="1" applyBorder="1" applyAlignment="1" applyProtection="1">
      <alignment horizontal="center" vertical="center"/>
      <protection locked="0"/>
    </xf>
    <xf numFmtId="167" fontId="22" fillId="0" borderId="80" xfId="1" applyNumberFormat="1" applyFont="1" applyBorder="1" applyAlignment="1" applyProtection="1">
      <alignment horizontal="left" vertical="center" wrapText="1"/>
      <protection locked="0"/>
    </xf>
    <xf numFmtId="167" fontId="22" fillId="0" borderId="80" xfId="1" applyNumberFormat="1" applyFont="1" applyBorder="1" applyAlignment="1" applyProtection="1">
      <alignment horizontal="center" vertical="center"/>
      <protection locked="0"/>
    </xf>
    <xf numFmtId="0" fontId="22" fillId="0" borderId="80" xfId="1" applyFont="1" applyBorder="1" applyAlignment="1" applyProtection="1">
      <alignment horizontal="center" vertical="center"/>
      <protection locked="0"/>
    </xf>
    <xf numFmtId="167" fontId="22" fillId="0" borderId="81" xfId="1" applyNumberFormat="1" applyFont="1" applyBorder="1" applyAlignment="1" applyProtection="1">
      <alignment horizontal="center" vertical="center"/>
      <protection locked="0"/>
    </xf>
    <xf numFmtId="165" fontId="21" fillId="11" borderId="80" xfId="2" applyFont="1" applyFill="1" applyBorder="1" applyAlignment="1" applyProtection="1">
      <alignment horizontal="center" vertical="center"/>
      <protection locked="0"/>
    </xf>
    <xf numFmtId="167" fontId="21" fillId="28" borderId="79" xfId="1" applyNumberFormat="1" applyFont="1" applyFill="1" applyBorder="1" applyAlignment="1" applyProtection="1">
      <alignment horizontal="center" vertical="center" wrapText="1"/>
      <protection locked="0"/>
    </xf>
    <xf numFmtId="167" fontId="22" fillId="28" borderId="58" xfId="1" applyNumberFormat="1" applyFont="1" applyFill="1" applyBorder="1" applyAlignment="1" applyProtection="1">
      <alignment horizontal="center" vertical="center"/>
      <protection locked="0"/>
    </xf>
    <xf numFmtId="0" fontId="22" fillId="28" borderId="50" xfId="1" applyFont="1" applyFill="1" applyBorder="1" applyAlignment="1" applyProtection="1">
      <alignment horizontal="center" vertical="center"/>
      <protection locked="0"/>
    </xf>
    <xf numFmtId="167" fontId="22" fillId="28" borderId="79" xfId="1" applyNumberFormat="1" applyFont="1" applyFill="1" applyBorder="1" applyAlignment="1" applyProtection="1">
      <alignment horizontal="center" vertical="center"/>
      <protection locked="0"/>
    </xf>
    <xf numFmtId="167" fontId="56" fillId="0" borderId="53" xfId="1" applyNumberFormat="1" applyFont="1" applyBorder="1" applyAlignment="1" applyProtection="1">
      <alignment horizontal="left" vertical="center" wrapText="1"/>
      <protection locked="0"/>
    </xf>
    <xf numFmtId="3" fontId="56" fillId="0" borderId="53" xfId="1" applyNumberFormat="1" applyFont="1" applyBorder="1" applyAlignment="1" applyProtection="1">
      <alignment horizontal="left" vertical="center" wrapText="1"/>
      <protection locked="0"/>
    </xf>
    <xf numFmtId="0" fontId="56" fillId="0" borderId="53" xfId="1" applyFont="1" applyBorder="1" applyAlignment="1" applyProtection="1">
      <alignment horizontal="left" vertical="center" wrapText="1"/>
      <protection locked="0"/>
    </xf>
    <xf numFmtId="167" fontId="22" fillId="0" borderId="58" xfId="1" applyNumberFormat="1" applyFont="1" applyBorder="1" applyAlignment="1" applyProtection="1">
      <alignment horizontal="left" vertical="center" wrapText="1"/>
      <protection locked="0"/>
    </xf>
    <xf numFmtId="0" fontId="22" fillId="28" borderId="62" xfId="1" applyFont="1" applyFill="1" applyBorder="1" applyAlignment="1" applyProtection="1">
      <alignment horizontal="center" vertical="center"/>
      <protection locked="0"/>
    </xf>
    <xf numFmtId="0" fontId="57" fillId="28" borderId="50" xfId="1" applyFont="1" applyFill="1" applyBorder="1" applyAlignment="1" applyProtection="1">
      <alignment horizontal="center" vertical="center"/>
      <protection locked="0"/>
    </xf>
    <xf numFmtId="0" fontId="22" fillId="0" borderId="50" xfId="1" applyFont="1" applyBorder="1" applyAlignment="1" applyProtection="1">
      <alignment horizontal="center" vertical="center" wrapText="1"/>
      <protection locked="0"/>
    </xf>
    <xf numFmtId="1" fontId="21" fillId="0" borderId="0" xfId="1" applyNumberFormat="1" applyFont="1" applyAlignment="1" applyProtection="1">
      <alignment vertical="center"/>
      <protection locked="0"/>
    </xf>
    <xf numFmtId="166" fontId="21" fillId="0" borderId="0" xfId="1" applyNumberFormat="1" applyFont="1" applyAlignment="1" applyProtection="1">
      <alignment vertical="center"/>
      <protection locked="0"/>
    </xf>
    <xf numFmtId="167" fontId="22" fillId="0" borderId="73" xfId="1" applyNumberFormat="1" applyFont="1" applyBorder="1" applyAlignment="1" applyProtection="1">
      <alignment horizontal="center" vertical="center"/>
      <protection locked="0"/>
    </xf>
    <xf numFmtId="167" fontId="22" fillId="0" borderId="74" xfId="1" applyNumberFormat="1" applyFont="1" applyBorder="1" applyAlignment="1" applyProtection="1">
      <alignment horizontal="center" vertical="center"/>
      <protection locked="0"/>
    </xf>
    <xf numFmtId="165" fontId="8" fillId="11" borderId="53" xfId="2" applyFont="1" applyFill="1" applyBorder="1" applyAlignment="1" applyProtection="1">
      <alignment horizontal="center" vertical="top"/>
      <protection locked="0"/>
    </xf>
    <xf numFmtId="167" fontId="8" fillId="28" borderId="57" xfId="1" applyNumberFormat="1" applyFont="1" applyFill="1" applyBorder="1" applyAlignment="1" applyProtection="1">
      <alignment vertical="center" wrapText="1"/>
      <protection locked="0"/>
    </xf>
    <xf numFmtId="167" fontId="8" fillId="28" borderId="53" xfId="1" applyNumberFormat="1" applyFont="1" applyFill="1" applyBorder="1" applyAlignment="1" applyProtection="1">
      <alignment horizontal="center" vertical="center"/>
      <protection locked="0"/>
    </xf>
    <xf numFmtId="0" fontId="8" fillId="28" borderId="57" xfId="1" applyFont="1" applyFill="1" applyBorder="1" applyAlignment="1" applyProtection="1">
      <alignment vertical="center" wrapText="1"/>
      <protection locked="0"/>
    </xf>
    <xf numFmtId="167" fontId="9" fillId="28" borderId="53" xfId="1" applyNumberFormat="1" applyFont="1" applyFill="1" applyBorder="1" applyAlignment="1" applyProtection="1">
      <alignment horizontal="center" vertical="center"/>
      <protection locked="0"/>
    </xf>
    <xf numFmtId="167" fontId="8" fillId="0" borderId="53" xfId="1" applyNumberFormat="1" applyFont="1" applyBorder="1" applyAlignment="1" applyProtection="1">
      <alignment horizontal="center" vertical="center"/>
      <protection locked="0"/>
    </xf>
    <xf numFmtId="167" fontId="9" fillId="0" borderId="53" xfId="1" applyNumberFormat="1" applyFont="1" applyBorder="1" applyAlignment="1" applyProtection="1">
      <alignment horizontal="center" vertical="center" wrapText="1"/>
      <protection locked="0"/>
    </xf>
    <xf numFmtId="4" fontId="8" fillId="28" borderId="53" xfId="1" applyNumberFormat="1" applyFont="1" applyFill="1" applyBorder="1" applyAlignment="1" applyProtection="1">
      <alignment horizontal="center" vertical="center"/>
      <protection locked="0"/>
    </xf>
    <xf numFmtId="167" fontId="8" fillId="28" borderId="53" xfId="1" applyNumberFormat="1" applyFont="1" applyFill="1" applyBorder="1" applyAlignment="1" applyProtection="1">
      <alignment horizontal="center" vertical="top"/>
      <protection locked="0"/>
    </xf>
    <xf numFmtId="167" fontId="9" fillId="0" borderId="53" xfId="1" applyNumberFormat="1" applyFont="1" applyBorder="1" applyAlignment="1" applyProtection="1">
      <alignment horizontal="center" vertical="top"/>
      <protection locked="0"/>
    </xf>
    <xf numFmtId="4" fontId="8" fillId="28" borderId="53" xfId="1" applyNumberFormat="1" applyFont="1" applyFill="1" applyBorder="1" applyAlignment="1" applyProtection="1">
      <alignment horizontal="center" vertical="center" wrapText="1"/>
      <protection locked="0"/>
    </xf>
    <xf numFmtId="167" fontId="8" fillId="15" borderId="53" xfId="1" applyNumberFormat="1" applyFont="1" applyFill="1" applyBorder="1" applyAlignment="1" applyProtection="1">
      <alignment horizontal="center" vertical="center"/>
      <protection locked="0"/>
    </xf>
    <xf numFmtId="166" fontId="22" fillId="0" borderId="53" xfId="1" applyNumberFormat="1" applyFont="1" applyBorder="1" applyAlignment="1" applyProtection="1">
      <alignment horizontal="left" vertical="center" wrapText="1"/>
      <protection locked="0"/>
    </xf>
    <xf numFmtId="0" fontId="22" fillId="0" borderId="58" xfId="1" applyFont="1" applyBorder="1" applyAlignment="1" applyProtection="1">
      <alignment horizontal="center" vertical="center"/>
      <protection locked="0"/>
    </xf>
    <xf numFmtId="166" fontId="22" fillId="0" borderId="55" xfId="1" applyNumberFormat="1" applyFont="1" applyBorder="1" applyAlignment="1" applyProtection="1">
      <alignment horizontal="center" vertical="center"/>
      <protection locked="0"/>
    </xf>
    <xf numFmtId="167" fontId="22" fillId="0" borderId="55" xfId="1" applyNumberFormat="1" applyFont="1" applyBorder="1" applyAlignment="1" applyProtection="1">
      <alignment horizontal="left" vertical="center" wrapText="1"/>
      <protection locked="0"/>
    </xf>
    <xf numFmtId="167" fontId="22" fillId="0" borderId="55" xfId="1" applyNumberFormat="1" applyFont="1" applyBorder="1" applyAlignment="1" applyProtection="1">
      <alignment horizontal="center" vertical="center"/>
      <protection locked="0"/>
    </xf>
    <xf numFmtId="167" fontId="22" fillId="0" borderId="54" xfId="1" applyNumberFormat="1" applyFont="1" applyBorder="1" applyAlignment="1" applyProtection="1">
      <alignment horizontal="center" vertical="center"/>
      <protection locked="0"/>
    </xf>
    <xf numFmtId="166" fontId="22" fillId="0" borderId="0" xfId="1" applyNumberFormat="1" applyFont="1" applyAlignment="1" applyProtection="1">
      <alignment horizontal="left" vertical="center" wrapText="1"/>
      <protection locked="0"/>
    </xf>
    <xf numFmtId="166" fontId="21" fillId="28" borderId="55" xfId="1" applyNumberFormat="1" applyFont="1" applyFill="1" applyBorder="1" applyAlignment="1" applyProtection="1">
      <alignment horizontal="center" vertical="center"/>
      <protection locked="0"/>
    </xf>
    <xf numFmtId="167" fontId="21" fillId="28" borderId="55" xfId="1" applyNumberFormat="1" applyFont="1" applyFill="1" applyBorder="1" applyAlignment="1" applyProtection="1">
      <alignment horizontal="left" vertical="center" wrapText="1"/>
      <protection locked="0"/>
    </xf>
    <xf numFmtId="167" fontId="21" fillId="28" borderId="55" xfId="1" applyNumberFormat="1" applyFont="1" applyFill="1" applyBorder="1" applyAlignment="1" applyProtection="1">
      <alignment horizontal="center" vertical="center" wrapText="1"/>
      <protection locked="0"/>
    </xf>
    <xf numFmtId="167" fontId="21" fillId="28" borderId="55" xfId="1" applyNumberFormat="1" applyFont="1" applyFill="1" applyBorder="1" applyAlignment="1" applyProtection="1">
      <alignment horizontal="center" vertical="center"/>
      <protection locked="0"/>
    </xf>
    <xf numFmtId="166" fontId="22" fillId="0" borderId="83" xfId="1" applyNumberFormat="1" applyFont="1" applyBorder="1" applyAlignment="1" applyProtection="1">
      <alignment horizontal="center" vertical="center"/>
      <protection locked="0"/>
    </xf>
    <xf numFmtId="167" fontId="22" fillId="0" borderId="83" xfId="1" applyNumberFormat="1" applyFont="1" applyBorder="1" applyAlignment="1" applyProtection="1">
      <alignment horizontal="left" vertical="center" wrapText="1"/>
      <protection locked="0"/>
    </xf>
    <xf numFmtId="167" fontId="22" fillId="0" borderId="83" xfId="1" applyNumberFormat="1" applyFont="1" applyBorder="1" applyAlignment="1" applyProtection="1">
      <alignment horizontal="center" vertical="center"/>
      <protection locked="0"/>
    </xf>
    <xf numFmtId="0" fontId="22" fillId="0" borderId="53" xfId="1" applyFont="1" applyBorder="1" applyAlignment="1" applyProtection="1">
      <alignment vertical="center" wrapText="1"/>
      <protection locked="0"/>
    </xf>
    <xf numFmtId="0" fontId="22" fillId="0" borderId="0" xfId="1" applyFont="1" applyAlignment="1" applyProtection="1">
      <alignment vertical="center" wrapText="1"/>
      <protection locked="0"/>
    </xf>
    <xf numFmtId="0" fontId="22" fillId="0" borderId="13" xfId="1" applyFont="1" applyBorder="1" applyAlignment="1" applyProtection="1">
      <alignment vertical="center" wrapText="1"/>
      <protection locked="0"/>
    </xf>
    <xf numFmtId="0" fontId="22" fillId="0" borderId="56" xfId="1" applyFont="1" applyBorder="1" applyAlignment="1" applyProtection="1">
      <alignment vertical="center" wrapText="1"/>
      <protection locked="0"/>
    </xf>
    <xf numFmtId="0" fontId="22" fillId="0" borderId="55" xfId="1" applyFont="1" applyBorder="1" applyAlignment="1" applyProtection="1">
      <alignment horizontal="center" vertical="center"/>
      <protection locked="0"/>
    </xf>
    <xf numFmtId="167" fontId="22" fillId="0" borderId="85" xfId="1" applyNumberFormat="1" applyFont="1" applyBorder="1" applyAlignment="1" applyProtection="1">
      <alignment horizontal="center" vertical="center"/>
      <protection locked="0"/>
    </xf>
    <xf numFmtId="0" fontId="22" fillId="0" borderId="55" xfId="1" applyFont="1" applyBorder="1" applyAlignment="1" applyProtection="1">
      <alignment horizontal="center" vertical="center" wrapText="1"/>
      <protection locked="0"/>
    </xf>
    <xf numFmtId="0" fontId="22" fillId="0" borderId="83" xfId="1" applyFont="1" applyBorder="1" applyAlignment="1" applyProtection="1">
      <alignment horizontal="center" vertical="center"/>
      <protection locked="0"/>
    </xf>
    <xf numFmtId="167" fontId="22" fillId="0" borderId="84" xfId="1" applyNumberFormat="1" applyFont="1" applyBorder="1" applyAlignment="1" applyProtection="1">
      <alignment horizontal="center" vertical="center"/>
      <protection locked="0"/>
    </xf>
    <xf numFmtId="0" fontId="22" fillId="0" borderId="54" xfId="1" applyFont="1" applyBorder="1" applyAlignment="1" applyProtection="1">
      <alignment horizontal="center" vertical="center" wrapText="1"/>
      <protection locked="0"/>
    </xf>
    <xf numFmtId="174" fontId="22" fillId="0" borderId="0" xfId="1" applyNumberFormat="1" applyFont="1" applyAlignment="1" applyProtection="1">
      <alignment horizontal="center" vertical="center" wrapText="1"/>
      <protection locked="0"/>
    </xf>
    <xf numFmtId="175" fontId="22" fillId="0" borderId="0" xfId="1" applyNumberFormat="1" applyFont="1" applyAlignment="1" applyProtection="1">
      <alignment horizontal="center" vertical="center"/>
      <protection locked="0"/>
    </xf>
    <xf numFmtId="2" fontId="22" fillId="0" borderId="53" xfId="1" applyNumberFormat="1" applyFont="1" applyBorder="1" applyAlignment="1" applyProtection="1">
      <alignment horizontal="center" vertical="center" wrapText="1"/>
      <protection locked="0"/>
    </xf>
    <xf numFmtId="0" fontId="21" fillId="0" borderId="53" xfId="1" applyFont="1" applyBorder="1" applyAlignment="1" applyProtection="1">
      <alignment vertical="center" wrapText="1"/>
      <protection locked="0"/>
    </xf>
    <xf numFmtId="0" fontId="22" fillId="0" borderId="53" xfId="1" applyFont="1" applyBorder="1" applyAlignment="1" applyProtection="1">
      <alignment horizontal="center" vertical="center" wrapText="1"/>
      <protection locked="0"/>
    </xf>
    <xf numFmtId="0" fontId="21" fillId="0" borderId="53" xfId="1" applyFont="1" applyBorder="1" applyAlignment="1" applyProtection="1">
      <alignment horizontal="center" vertical="center" wrapText="1"/>
      <protection locked="0"/>
    </xf>
    <xf numFmtId="0" fontId="22" fillId="0" borderId="56" xfId="1" applyFont="1" applyBorder="1" applyAlignment="1" applyProtection="1">
      <alignment horizontal="left" vertical="center" wrapText="1"/>
      <protection locked="0"/>
    </xf>
    <xf numFmtId="0" fontId="22" fillId="0" borderId="58" xfId="1" applyFont="1" applyBorder="1" applyAlignment="1" applyProtection="1">
      <alignment horizontal="left" vertical="center" wrapText="1"/>
      <protection locked="0"/>
    </xf>
    <xf numFmtId="1" fontId="21" fillId="0" borderId="0" xfId="1" applyNumberFormat="1" applyFont="1" applyAlignment="1" applyProtection="1">
      <alignment horizontal="center" vertical="center"/>
      <protection locked="0"/>
    </xf>
    <xf numFmtId="166" fontId="21" fillId="0" borderId="0" xfId="1" applyNumberFormat="1" applyFont="1" applyAlignment="1" applyProtection="1">
      <alignment horizontal="center" vertical="center"/>
      <protection locked="0"/>
    </xf>
    <xf numFmtId="165" fontId="55" fillId="11" borderId="76" xfId="2" applyFont="1" applyFill="1" applyBorder="1" applyAlignment="1" applyProtection="1">
      <alignment horizontal="center" vertical="center" wrapText="1"/>
      <protection locked="0"/>
    </xf>
    <xf numFmtId="165" fontId="55" fillId="11" borderId="83" xfId="2" applyFont="1" applyFill="1" applyBorder="1" applyAlignment="1" applyProtection="1">
      <alignment horizontal="center" vertical="center" wrapText="1"/>
      <protection locked="0"/>
    </xf>
    <xf numFmtId="165" fontId="55" fillId="11" borderId="78" xfId="2" applyFont="1" applyFill="1" applyBorder="1" applyAlignment="1" applyProtection="1">
      <alignment horizontal="center" vertical="center" wrapText="1"/>
      <protection locked="0"/>
    </xf>
    <xf numFmtId="165" fontId="55" fillId="11" borderId="84" xfId="2" applyFont="1" applyFill="1" applyBorder="1" applyAlignment="1" applyProtection="1">
      <alignment horizontal="center" vertical="center" wrapText="1"/>
      <protection locked="0"/>
    </xf>
    <xf numFmtId="165" fontId="21" fillId="11" borderId="55" xfId="2" applyFont="1" applyFill="1" applyBorder="1" applyAlignment="1" applyProtection="1">
      <alignment horizontal="center" vertical="center" wrapText="1"/>
      <protection locked="0"/>
    </xf>
    <xf numFmtId="165" fontId="21" fillId="11" borderId="54" xfId="2" applyFont="1" applyFill="1" applyBorder="1" applyAlignment="1" applyProtection="1">
      <alignment horizontal="center" vertical="center" wrapText="1"/>
      <protection locked="0"/>
    </xf>
    <xf numFmtId="166" fontId="21" fillId="11" borderId="75" xfId="1" applyNumberFormat="1" applyFont="1" applyFill="1" applyBorder="1" applyAlignment="1" applyProtection="1">
      <alignment horizontal="center" vertical="center"/>
      <protection locked="0"/>
    </xf>
    <xf numFmtId="166" fontId="21" fillId="11" borderId="82" xfId="1" applyNumberFormat="1" applyFont="1" applyFill="1" applyBorder="1" applyAlignment="1" applyProtection="1">
      <alignment horizontal="center" vertical="center"/>
      <protection locked="0"/>
    </xf>
    <xf numFmtId="166" fontId="21" fillId="11" borderId="76" xfId="1" applyNumberFormat="1" applyFont="1" applyFill="1" applyBorder="1" applyAlignment="1" applyProtection="1">
      <alignment horizontal="center" vertical="center"/>
      <protection locked="0"/>
    </xf>
    <xf numFmtId="166" fontId="21" fillId="11" borderId="83" xfId="1" applyNumberFormat="1" applyFont="1" applyFill="1" applyBorder="1" applyAlignment="1" applyProtection="1">
      <alignment horizontal="center" vertical="center"/>
      <protection locked="0"/>
    </xf>
    <xf numFmtId="0" fontId="21" fillId="11" borderId="76" xfId="1" applyFont="1" applyFill="1" applyBorder="1" applyAlignment="1" applyProtection="1">
      <alignment horizontal="center" vertical="center" wrapText="1"/>
      <protection locked="0"/>
    </xf>
    <xf numFmtId="0" fontId="21" fillId="11" borderId="83" xfId="1" applyFont="1" applyFill="1" applyBorder="1" applyAlignment="1" applyProtection="1">
      <alignment horizontal="center" vertical="center" wrapText="1"/>
      <protection locked="0"/>
    </xf>
    <xf numFmtId="165" fontId="21" fillId="11" borderId="77" xfId="2" applyFont="1" applyFill="1" applyBorder="1" applyAlignment="1" applyProtection="1">
      <alignment horizontal="center" vertical="center" wrapText="1"/>
      <protection locked="0"/>
    </xf>
    <xf numFmtId="165" fontId="21" fillId="11" borderId="80" xfId="2" applyFont="1" applyFill="1" applyBorder="1" applyAlignment="1" applyProtection="1">
      <alignment horizontal="center" vertical="center" wrapText="1"/>
      <protection locked="0"/>
    </xf>
    <xf numFmtId="165" fontId="21" fillId="11" borderId="77" xfId="2" applyFont="1" applyFill="1" applyBorder="1" applyAlignment="1" applyProtection="1">
      <alignment horizontal="center" vertical="center"/>
      <protection locked="0"/>
    </xf>
    <xf numFmtId="0" fontId="21" fillId="11" borderId="77" xfId="1" applyFont="1" applyFill="1" applyBorder="1" applyAlignment="1" applyProtection="1">
      <alignment horizontal="center" vertical="center" wrapText="1"/>
      <protection locked="0"/>
    </xf>
    <xf numFmtId="0" fontId="21" fillId="11" borderId="80" xfId="1" applyFont="1" applyFill="1" applyBorder="1" applyAlignment="1" applyProtection="1">
      <alignment horizontal="center" vertical="center" wrapText="1"/>
      <protection locked="0"/>
    </xf>
    <xf numFmtId="167" fontId="22" fillId="0" borderId="56" xfId="1" applyNumberFormat="1" applyFont="1" applyBorder="1" applyAlignment="1" applyProtection="1">
      <alignment horizontal="center" vertical="center"/>
      <protection locked="0"/>
    </xf>
    <xf numFmtId="167" fontId="22" fillId="0" borderId="58" xfId="1" applyNumberFormat="1" applyFont="1" applyBorder="1" applyAlignment="1" applyProtection="1">
      <alignment horizontal="center" vertical="center"/>
      <protection locked="0"/>
    </xf>
    <xf numFmtId="167" fontId="21" fillId="0" borderId="56" xfId="1" applyNumberFormat="1" applyFont="1" applyBorder="1" applyAlignment="1" applyProtection="1">
      <alignment horizontal="center" vertical="center"/>
      <protection locked="0"/>
    </xf>
    <xf numFmtId="167" fontId="21" fillId="0" borderId="58" xfId="1" applyNumberFormat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top" wrapText="1"/>
      <protection locked="0"/>
    </xf>
    <xf numFmtId="165" fontId="21" fillId="11" borderId="55" xfId="2" applyFont="1" applyFill="1" applyBorder="1" applyAlignment="1" applyProtection="1">
      <alignment horizontal="center" vertical="top" wrapText="1"/>
      <protection locked="0"/>
    </xf>
    <xf numFmtId="165" fontId="21" fillId="11" borderId="54" xfId="2" applyFont="1" applyFill="1" applyBorder="1" applyAlignment="1" applyProtection="1">
      <alignment horizontal="center" vertical="top" wrapText="1"/>
      <protection locked="0"/>
    </xf>
    <xf numFmtId="0" fontId="49" fillId="0" borderId="0" xfId="1" applyFont="1" applyAlignment="1" applyProtection="1">
      <alignment horizontal="center" vertical="center"/>
      <protection locked="0"/>
    </xf>
    <xf numFmtId="0" fontId="21" fillId="11" borderId="55" xfId="1" applyFont="1" applyFill="1" applyBorder="1" applyAlignment="1" applyProtection="1">
      <alignment horizontal="center" vertical="top" wrapText="1"/>
      <protection locked="0"/>
    </xf>
    <xf numFmtId="0" fontId="21" fillId="11" borderId="54" xfId="1" applyFont="1" applyFill="1" applyBorder="1" applyAlignment="1" applyProtection="1">
      <alignment horizontal="center" vertical="top" wrapText="1"/>
      <protection locked="0"/>
    </xf>
    <xf numFmtId="165" fontId="21" fillId="11" borderId="53" xfId="2" applyFont="1" applyFill="1" applyBorder="1" applyAlignment="1" applyProtection="1">
      <alignment horizontal="center" vertical="top" wrapText="1"/>
      <protection locked="0"/>
    </xf>
    <xf numFmtId="165" fontId="21" fillId="11" borderId="53" xfId="2" applyFont="1" applyFill="1" applyBorder="1" applyAlignment="1" applyProtection="1">
      <alignment horizontal="center" vertical="top"/>
      <protection locked="0"/>
    </xf>
    <xf numFmtId="0" fontId="21" fillId="11" borderId="53" xfId="1" applyFont="1" applyFill="1" applyBorder="1" applyAlignment="1" applyProtection="1">
      <alignment horizontal="center" vertical="top" wrapText="1"/>
      <protection locked="0"/>
    </xf>
    <xf numFmtId="166" fontId="8" fillId="0" borderId="17" xfId="1" applyNumberFormat="1" applyFont="1" applyBorder="1" applyAlignment="1" applyProtection="1">
      <alignment horizontal="left" vertical="center"/>
      <protection locked="0"/>
    </xf>
    <xf numFmtId="166" fontId="8" fillId="0" borderId="13" xfId="1" applyNumberFormat="1" applyFont="1" applyBorder="1" applyAlignment="1" applyProtection="1">
      <alignment horizontal="left" vertical="center"/>
      <protection locked="0"/>
    </xf>
    <xf numFmtId="0" fontId="8" fillId="11" borderId="7" xfId="1" applyFont="1" applyFill="1" applyBorder="1" applyAlignment="1" applyProtection="1">
      <alignment horizontal="left" vertical="center" wrapText="1"/>
      <protection locked="0"/>
    </xf>
    <xf numFmtId="0" fontId="8" fillId="11" borderId="9" xfId="1" applyFont="1" applyFill="1" applyBorder="1" applyAlignment="1" applyProtection="1">
      <alignment horizontal="left" vertical="center" wrapText="1"/>
      <protection locked="0"/>
    </xf>
    <xf numFmtId="0" fontId="8" fillId="0" borderId="14" xfId="1" applyFont="1" applyBorder="1" applyAlignment="1" applyProtection="1">
      <alignment horizontal="center" vertical="center" wrapText="1"/>
      <protection locked="0"/>
    </xf>
    <xf numFmtId="0" fontId="8" fillId="8" borderId="41" xfId="1" applyFont="1" applyFill="1" applyBorder="1" applyAlignment="1" applyProtection="1">
      <alignment horizontal="center" vertical="center"/>
      <protection locked="0"/>
    </xf>
    <xf numFmtId="0" fontId="8" fillId="8" borderId="42" xfId="1" applyFont="1" applyFill="1" applyBorder="1" applyAlignment="1" applyProtection="1">
      <alignment horizontal="center" vertical="center"/>
      <protection locked="0"/>
    </xf>
    <xf numFmtId="0" fontId="8" fillId="8" borderId="24" xfId="1" applyFont="1" applyFill="1" applyBorder="1" applyAlignment="1" applyProtection="1">
      <alignment horizontal="center" vertical="center"/>
      <protection locked="0"/>
    </xf>
    <xf numFmtId="166" fontId="8" fillId="9" borderId="30" xfId="1" applyNumberFormat="1" applyFont="1" applyFill="1" applyBorder="1" applyAlignment="1" applyProtection="1">
      <alignment horizontal="center" vertical="center"/>
      <protection locked="0"/>
    </xf>
    <xf numFmtId="166" fontId="8" fillId="9" borderId="31" xfId="1" applyNumberFormat="1" applyFont="1" applyFill="1" applyBorder="1" applyAlignment="1" applyProtection="1">
      <alignment horizontal="center" vertical="center"/>
      <protection locked="0"/>
    </xf>
    <xf numFmtId="0" fontId="8" fillId="9" borderId="4" xfId="1" applyFont="1" applyFill="1" applyBorder="1" applyAlignment="1" applyProtection="1">
      <alignment horizontal="center" vertical="center" wrapText="1"/>
      <protection locked="0"/>
    </xf>
    <xf numFmtId="0" fontId="8" fillId="9" borderId="29" xfId="1" applyFont="1" applyFill="1" applyBorder="1" applyAlignment="1" applyProtection="1">
      <alignment horizontal="center" vertical="center" wrapText="1"/>
      <protection locked="0"/>
    </xf>
    <xf numFmtId="165" fontId="8" fillId="9" borderId="4" xfId="2" applyFont="1" applyFill="1" applyBorder="1" applyAlignment="1" applyProtection="1">
      <alignment horizontal="center" vertical="center" wrapText="1"/>
      <protection locked="0"/>
    </xf>
    <xf numFmtId="165" fontId="8" fillId="9" borderId="29" xfId="2" applyFont="1" applyFill="1" applyBorder="1" applyAlignment="1" applyProtection="1">
      <alignment horizontal="center" vertical="center" wrapText="1"/>
      <protection locked="0"/>
    </xf>
    <xf numFmtId="165" fontId="8" fillId="9" borderId="34" xfId="2" applyFont="1" applyFill="1" applyBorder="1" applyAlignment="1" applyProtection="1">
      <alignment horizontal="center" vertical="center"/>
      <protection locked="0"/>
    </xf>
    <xf numFmtId="165" fontId="8" fillId="9" borderId="35" xfId="2" applyFont="1" applyFill="1" applyBorder="1" applyAlignment="1" applyProtection="1">
      <alignment horizontal="center" vertical="center"/>
      <protection locked="0"/>
    </xf>
    <xf numFmtId="165" fontId="8" fillId="9" borderId="36" xfId="2" applyFont="1" applyFill="1" applyBorder="1" applyAlignment="1" applyProtection="1">
      <alignment horizontal="center" vertical="center"/>
      <protection locked="0"/>
    </xf>
    <xf numFmtId="0" fontId="8" fillId="9" borderId="37" xfId="1" applyFont="1" applyFill="1" applyBorder="1" applyAlignment="1" applyProtection="1">
      <alignment horizontal="center" vertical="center" wrapText="1"/>
      <protection locked="0"/>
    </xf>
    <xf numFmtId="0" fontId="8" fillId="9" borderId="39" xfId="1" applyFont="1" applyFill="1" applyBorder="1" applyAlignment="1" applyProtection="1">
      <alignment horizontal="center" vertical="center" wrapText="1"/>
      <protection locked="0"/>
    </xf>
    <xf numFmtId="166" fontId="8" fillId="0" borderId="17" xfId="1" applyNumberFormat="1" applyFont="1" applyBorder="1" applyAlignment="1" applyProtection="1">
      <alignment horizontal="center" vertical="center"/>
      <protection locked="0"/>
    </xf>
    <xf numFmtId="0" fontId="8" fillId="0" borderId="13" xfId="1" applyFont="1" applyBorder="1" applyAlignment="1" applyProtection="1">
      <alignment horizontal="center" vertical="center" wrapText="1"/>
      <protection locked="0"/>
    </xf>
    <xf numFmtId="165" fontId="8" fillId="0" borderId="13" xfId="2" applyFont="1" applyFill="1" applyBorder="1" applyAlignment="1" applyProtection="1">
      <alignment horizontal="center" vertical="center" wrapText="1"/>
      <protection locked="0"/>
    </xf>
    <xf numFmtId="165" fontId="8" fillId="0" borderId="13" xfId="2" applyFont="1" applyFill="1" applyBorder="1" applyAlignment="1" applyProtection="1">
      <alignment horizontal="center" vertical="center"/>
      <protection locked="0"/>
    </xf>
    <xf numFmtId="0" fontId="8" fillId="9" borderId="38" xfId="1" applyFont="1" applyFill="1" applyBorder="1" applyAlignment="1" applyProtection="1">
      <alignment horizontal="center" vertical="center" wrapText="1"/>
      <protection locked="0"/>
    </xf>
    <xf numFmtId="0" fontId="8" fillId="9" borderId="40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166" fontId="8" fillId="0" borderId="47" xfId="1" applyNumberFormat="1" applyFont="1" applyBorder="1" applyAlignment="1" applyProtection="1">
      <alignment horizontal="center" vertical="center"/>
      <protection locked="0"/>
    </xf>
    <xf numFmtId="166" fontId="8" fillId="0" borderId="21" xfId="1" applyNumberFormat="1" applyFont="1" applyBorder="1" applyAlignment="1" applyProtection="1">
      <alignment horizontal="center" vertical="center"/>
      <protection locked="0"/>
    </xf>
    <xf numFmtId="166" fontId="8" fillId="9" borderId="15" xfId="1" applyNumberFormat="1" applyFont="1" applyFill="1" applyBorder="1" applyAlignment="1" applyProtection="1">
      <alignment horizontal="center" vertical="center"/>
      <protection locked="0"/>
    </xf>
    <xf numFmtId="0" fontId="8" fillId="9" borderId="8" xfId="1" applyFont="1" applyFill="1" applyBorder="1" applyAlignment="1" applyProtection="1">
      <alignment horizontal="center" vertical="center" wrapText="1"/>
      <protection locked="0"/>
    </xf>
    <xf numFmtId="165" fontId="8" fillId="9" borderId="8" xfId="2" applyFont="1" applyFill="1" applyBorder="1" applyAlignment="1" applyProtection="1">
      <alignment horizontal="center" vertical="center" wrapText="1"/>
      <protection locked="0"/>
    </xf>
    <xf numFmtId="0" fontId="8" fillId="9" borderId="43" xfId="1" applyFont="1" applyFill="1" applyBorder="1" applyAlignment="1" applyProtection="1">
      <alignment horizontal="center" vertical="center" wrapText="1"/>
      <protection locked="0"/>
    </xf>
    <xf numFmtId="0" fontId="8" fillId="9" borderId="44" xfId="1" applyFont="1" applyFill="1" applyBorder="1" applyAlignment="1" applyProtection="1">
      <alignment horizontal="center" vertical="center" wrapText="1"/>
      <protection locked="0"/>
    </xf>
    <xf numFmtId="166" fontId="8" fillId="0" borderId="0" xfId="1" applyNumberFormat="1" applyFont="1" applyAlignment="1" applyProtection="1">
      <alignment horizontal="center" vertical="center"/>
      <protection locked="0"/>
    </xf>
    <xf numFmtId="0" fontId="8" fillId="8" borderId="1" xfId="1" applyFont="1" applyFill="1" applyBorder="1" applyAlignment="1" applyProtection="1">
      <alignment horizontal="center" vertical="center"/>
      <protection locked="0"/>
    </xf>
    <xf numFmtId="0" fontId="8" fillId="8" borderId="2" xfId="1" applyFont="1" applyFill="1" applyBorder="1" applyAlignment="1" applyProtection="1">
      <alignment horizontal="center" vertical="center"/>
      <protection locked="0"/>
    </xf>
    <xf numFmtId="0" fontId="8" fillId="8" borderId="32" xfId="1" applyFont="1" applyFill="1" applyBorder="1" applyAlignment="1" applyProtection="1">
      <alignment horizontal="center" vertical="center"/>
      <protection locked="0"/>
    </xf>
    <xf numFmtId="0" fontId="13" fillId="5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21" fillId="8" borderId="13" xfId="0" applyFont="1" applyFill="1" applyBorder="1" applyAlignment="1">
      <alignment horizontal="center"/>
    </xf>
    <xf numFmtId="0" fontId="21" fillId="7" borderId="13" xfId="0" applyFont="1" applyFill="1" applyBorder="1" applyAlignment="1">
      <alignment horizontal="center" vertical="center" wrapText="1"/>
    </xf>
    <xf numFmtId="168" fontId="21" fillId="8" borderId="13" xfId="0" applyNumberFormat="1" applyFont="1" applyFill="1" applyBorder="1" applyAlignment="1">
      <alignment horizontal="center"/>
    </xf>
    <xf numFmtId="168" fontId="22" fillId="0" borderId="13" xfId="0" applyNumberFormat="1" applyFont="1" applyBorder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27" fillId="12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9" fillId="16" borderId="0" xfId="4" applyFont="1" applyFill="1" applyAlignment="1">
      <alignment horizontal="left" vertical="center"/>
    </xf>
    <xf numFmtId="0" fontId="30" fillId="0" borderId="0" xfId="4" applyFont="1"/>
    <xf numFmtId="166" fontId="2" fillId="0" borderId="47" xfId="1" applyNumberFormat="1" applyFont="1" applyBorder="1" applyAlignment="1" applyProtection="1">
      <alignment horizontal="left" vertical="center"/>
      <protection locked="0"/>
    </xf>
    <xf numFmtId="166" fontId="2" fillId="0" borderId="21" xfId="1" applyNumberFormat="1" applyFont="1" applyBorder="1" applyAlignment="1" applyProtection="1">
      <alignment horizontal="left" vertical="center"/>
      <protection locked="0"/>
    </xf>
    <xf numFmtId="0" fontId="2" fillId="7" borderId="41" xfId="1" applyFont="1" applyFill="1" applyBorder="1" applyAlignment="1" applyProtection="1">
      <alignment horizontal="left" vertical="center" wrapText="1"/>
      <protection locked="0"/>
    </xf>
    <xf numFmtId="0" fontId="2" fillId="7" borderId="27" xfId="1" applyFont="1" applyFill="1" applyBorder="1" applyAlignment="1" applyProtection="1">
      <alignment horizontal="left" vertical="center" wrapText="1"/>
      <protection locked="0"/>
    </xf>
    <xf numFmtId="0" fontId="2" fillId="2" borderId="50" xfId="1" applyFont="1" applyFill="1" applyBorder="1" applyAlignment="1" applyProtection="1">
      <alignment horizontal="center" vertical="center"/>
      <protection locked="0"/>
    </xf>
    <xf numFmtId="0" fontId="2" fillId="2" borderId="0" xfId="1" applyFont="1" applyFill="1" applyAlignment="1" applyProtection="1">
      <alignment horizontal="center" vertical="center"/>
      <protection locked="0"/>
    </xf>
    <xf numFmtId="0" fontId="2" fillId="2" borderId="64" xfId="1" applyFont="1" applyFill="1" applyBorder="1" applyAlignment="1" applyProtection="1">
      <alignment horizontal="center" vertical="center"/>
      <protection locked="0"/>
    </xf>
    <xf numFmtId="166" fontId="2" fillId="4" borderId="3" xfId="1" applyNumberFormat="1" applyFont="1" applyFill="1" applyBorder="1" applyAlignment="1" applyProtection="1">
      <alignment horizontal="center" vertical="center"/>
      <protection locked="0"/>
    </xf>
    <xf numFmtId="166" fontId="2" fillId="4" borderId="7" xfId="1" applyNumberFormat="1" applyFont="1" applyFill="1" applyBorder="1" applyAlignment="1" applyProtection="1">
      <alignment horizontal="center" vertical="center"/>
      <protection locked="0"/>
    </xf>
    <xf numFmtId="0" fontId="2" fillId="4" borderId="5" xfId="1" applyFont="1" applyFill="1" applyBorder="1" applyAlignment="1" applyProtection="1">
      <alignment horizontal="center" vertical="center" wrapText="1"/>
      <protection locked="0"/>
    </xf>
    <xf numFmtId="0" fontId="2" fillId="4" borderId="9" xfId="1" applyFont="1" applyFill="1" applyBorder="1" applyAlignment="1" applyProtection="1">
      <alignment horizontal="center" vertical="center" wrapText="1"/>
      <protection locked="0"/>
    </xf>
    <xf numFmtId="165" fontId="2" fillId="4" borderId="5" xfId="2" applyFont="1" applyFill="1" applyBorder="1" applyAlignment="1" applyProtection="1">
      <alignment horizontal="center" vertical="center" wrapText="1"/>
      <protection locked="0"/>
    </xf>
    <xf numFmtId="165" fontId="2" fillId="4" borderId="9" xfId="2" applyFont="1" applyFill="1" applyBorder="1" applyAlignment="1" applyProtection="1">
      <alignment horizontal="center" vertical="center" wrapText="1"/>
      <protection locked="0"/>
    </xf>
    <xf numFmtId="165" fontId="2" fillId="5" borderId="5" xfId="2" applyFont="1" applyFill="1" applyBorder="1" applyAlignment="1" applyProtection="1">
      <alignment horizontal="center" vertical="center"/>
      <protection locked="0"/>
    </xf>
    <xf numFmtId="0" fontId="2" fillId="4" borderId="34" xfId="1" applyFont="1" applyFill="1" applyBorder="1" applyAlignment="1" applyProtection="1">
      <alignment horizontal="center" vertical="center" wrapText="1"/>
      <protection locked="0"/>
    </xf>
    <xf numFmtId="0" fontId="2" fillId="4" borderId="48" xfId="1" applyFont="1" applyFill="1" applyBorder="1" applyAlignment="1" applyProtection="1">
      <alignment horizontal="center" vertical="center" wrapText="1"/>
      <protection locked="0"/>
    </xf>
    <xf numFmtId="0" fontId="2" fillId="4" borderId="19" xfId="1" applyFont="1" applyFill="1" applyBorder="1" applyAlignment="1" applyProtection="1">
      <alignment horizontal="center" vertical="center" wrapText="1"/>
      <protection locked="0"/>
    </xf>
    <xf numFmtId="0" fontId="2" fillId="4" borderId="12" xfId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horizontal="center" vertical="center"/>
      <protection locked="0"/>
    </xf>
    <xf numFmtId="0" fontId="2" fillId="2" borderId="2" xfId="1" applyFont="1" applyFill="1" applyBorder="1" applyAlignment="1" applyProtection="1">
      <alignment horizontal="center" vertical="center"/>
      <protection locked="0"/>
    </xf>
    <xf numFmtId="0" fontId="2" fillId="2" borderId="66" xfId="1" applyFont="1" applyFill="1" applyBorder="1" applyAlignment="1" applyProtection="1">
      <alignment horizontal="center" vertical="center"/>
      <protection locked="0"/>
    </xf>
    <xf numFmtId="0" fontId="2" fillId="4" borderId="4" xfId="1" applyFont="1" applyFill="1" applyBorder="1" applyAlignment="1" applyProtection="1">
      <alignment horizontal="center" vertical="center" wrapText="1"/>
      <protection locked="0"/>
    </xf>
    <xf numFmtId="0" fontId="2" fillId="4" borderId="8" xfId="1" applyFont="1" applyFill="1" applyBorder="1" applyAlignment="1" applyProtection="1">
      <alignment horizontal="center" vertical="center" wrapText="1"/>
      <protection locked="0"/>
    </xf>
    <xf numFmtId="0" fontId="2" fillId="4" borderId="38" xfId="1" applyFont="1" applyFill="1" applyBorder="1" applyAlignment="1" applyProtection="1">
      <alignment horizontal="center" vertical="center" wrapText="1"/>
      <protection locked="0"/>
    </xf>
    <xf numFmtId="0" fontId="2" fillId="4" borderId="44" xfId="1" applyFont="1" applyFill="1" applyBorder="1" applyAlignment="1" applyProtection="1">
      <alignment horizontal="center" vertical="center" wrapText="1"/>
      <protection locked="0"/>
    </xf>
    <xf numFmtId="166" fontId="2" fillId="15" borderId="47" xfId="1" applyNumberFormat="1" applyFont="1" applyFill="1" applyBorder="1" applyAlignment="1" applyProtection="1">
      <alignment horizontal="center" vertical="center"/>
      <protection locked="0"/>
    </xf>
    <xf numFmtId="166" fontId="2" fillId="15" borderId="21" xfId="1" applyNumberFormat="1" applyFont="1" applyFill="1" applyBorder="1" applyAlignment="1" applyProtection="1">
      <alignment horizontal="center" vertical="center"/>
      <protection locked="0"/>
    </xf>
    <xf numFmtId="0" fontId="2" fillId="4" borderId="30" xfId="1" applyFont="1" applyFill="1" applyBorder="1" applyAlignment="1" applyProtection="1">
      <alignment horizontal="center" vertical="center" wrapText="1"/>
      <protection locked="0"/>
    </xf>
    <xf numFmtId="0" fontId="2" fillId="4" borderId="15" xfId="1" applyFont="1" applyFill="1" applyBorder="1" applyAlignment="1" applyProtection="1">
      <alignment horizontal="center" vertical="center" wrapText="1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" fillId="2" borderId="32" xfId="1" applyFont="1" applyFill="1" applyBorder="1" applyAlignment="1" applyProtection="1">
      <alignment horizontal="center" vertical="center"/>
      <protection locked="0"/>
    </xf>
    <xf numFmtId="165" fontId="47" fillId="4" borderId="4" xfId="2" applyFont="1" applyFill="1" applyBorder="1" applyAlignment="1" applyProtection="1">
      <alignment horizontal="center" vertical="center" wrapText="1"/>
      <protection locked="0"/>
    </xf>
    <xf numFmtId="165" fontId="47" fillId="4" borderId="8" xfId="2" applyFont="1" applyFill="1" applyBorder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2" fontId="46" fillId="0" borderId="1" xfId="0" applyNumberFormat="1" applyFont="1" applyBorder="1" applyAlignment="1">
      <alignment horizontal="center" vertical="center" wrapText="1"/>
    </xf>
    <xf numFmtId="2" fontId="46" fillId="0" borderId="2" xfId="0" applyNumberFormat="1" applyFont="1" applyBorder="1" applyAlignment="1">
      <alignment horizontal="center" vertical="center" wrapText="1"/>
    </xf>
    <xf numFmtId="2" fontId="46" fillId="0" borderId="32" xfId="0" applyNumberFormat="1" applyFont="1" applyBorder="1" applyAlignment="1">
      <alignment horizontal="center" vertical="center" wrapText="1"/>
    </xf>
    <xf numFmtId="2" fontId="46" fillId="0" borderId="50" xfId="0" applyNumberFormat="1" applyFont="1" applyBorder="1" applyAlignment="1">
      <alignment horizontal="center" vertical="center" wrapText="1"/>
    </xf>
    <xf numFmtId="2" fontId="46" fillId="0" borderId="0" xfId="0" applyNumberFormat="1" applyFont="1" applyAlignment="1">
      <alignment horizontal="center" vertical="center" wrapText="1"/>
    </xf>
    <xf numFmtId="2" fontId="46" fillId="0" borderId="62" xfId="0" applyNumberFormat="1" applyFont="1" applyBorder="1" applyAlignment="1">
      <alignment horizontal="center" vertical="center" wrapText="1"/>
    </xf>
    <xf numFmtId="2" fontId="46" fillId="0" borderId="52" xfId="0" applyNumberFormat="1" applyFont="1" applyBorder="1" applyAlignment="1">
      <alignment horizontal="center" vertical="center" wrapText="1"/>
    </xf>
    <xf numFmtId="2" fontId="46" fillId="0" borderId="33" xfId="0" applyNumberFormat="1" applyFont="1" applyBorder="1" applyAlignment="1">
      <alignment horizontal="center" vertical="center" wrapText="1"/>
    </xf>
    <xf numFmtId="2" fontId="46" fillId="0" borderId="63" xfId="0" applyNumberFormat="1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left" vertical="center" wrapText="1"/>
    </xf>
    <xf numFmtId="2" fontId="11" fillId="23" borderId="13" xfId="0" applyNumberFormat="1" applyFont="1" applyFill="1" applyBorder="1" applyAlignment="1">
      <alignment horizontal="center" vertical="center" wrapText="1"/>
    </xf>
    <xf numFmtId="0" fontId="11" fillId="23" borderId="13" xfId="1" applyFont="1" applyFill="1" applyBorder="1" applyAlignment="1" applyProtection="1">
      <alignment horizontal="center" vertical="center" wrapText="1"/>
      <protection locked="0"/>
    </xf>
    <xf numFmtId="166" fontId="11" fillId="23" borderId="13" xfId="1" applyNumberFormat="1" applyFont="1" applyFill="1" applyBorder="1" applyAlignment="1" applyProtection="1">
      <alignment horizontal="center" vertical="center" wrapText="1"/>
      <protection locked="0"/>
    </xf>
    <xf numFmtId="0" fontId="5" fillId="7" borderId="13" xfId="3" applyNumberFormat="1" applyFont="1" applyFill="1" applyBorder="1" applyAlignment="1">
      <alignment horizontal="center" vertical="center" wrapText="1"/>
    </xf>
    <xf numFmtId="0" fontId="5" fillId="12" borderId="13" xfId="3" applyNumberFormat="1" applyFont="1" applyFill="1" applyBorder="1" applyAlignment="1">
      <alignment horizontal="center" vertical="center" wrapText="1"/>
    </xf>
    <xf numFmtId="0" fontId="5" fillId="24" borderId="13" xfId="3" applyNumberFormat="1" applyFont="1" applyFill="1" applyBorder="1" applyAlignment="1">
      <alignment horizontal="center" vertical="center" wrapText="1"/>
    </xf>
    <xf numFmtId="2" fontId="5" fillId="23" borderId="13" xfId="3" applyNumberFormat="1" applyFont="1" applyFill="1" applyBorder="1" applyAlignment="1">
      <alignment horizontal="center" vertical="center" wrapText="1"/>
    </xf>
    <xf numFmtId="165" fontId="21" fillId="4" borderId="53" xfId="2" applyFont="1" applyFill="1" applyBorder="1" applyAlignment="1" applyProtection="1">
      <alignment horizontal="center" vertical="top" wrapText="1"/>
      <protection locked="0"/>
    </xf>
    <xf numFmtId="165" fontId="21" fillId="4" borderId="53" xfId="2" applyFont="1" applyFill="1" applyBorder="1" applyAlignment="1" applyProtection="1">
      <alignment horizontal="center" vertical="top"/>
      <protection locked="0"/>
    </xf>
    <xf numFmtId="0" fontId="21" fillId="4" borderId="53" xfId="1" applyFont="1" applyFill="1" applyBorder="1" applyAlignment="1" applyProtection="1">
      <alignment horizontal="center" vertical="top" wrapText="1"/>
      <protection locked="0"/>
    </xf>
    <xf numFmtId="0" fontId="21" fillId="4" borderId="55" xfId="1" applyFont="1" applyFill="1" applyBorder="1" applyAlignment="1" applyProtection="1">
      <alignment horizontal="center" vertical="top" wrapText="1"/>
      <protection locked="0"/>
    </xf>
    <xf numFmtId="0" fontId="21" fillId="4" borderId="54" xfId="1" applyFont="1" applyFill="1" applyBorder="1" applyAlignment="1" applyProtection="1">
      <alignment horizontal="center" vertical="top" wrapText="1"/>
      <protection locked="0"/>
    </xf>
    <xf numFmtId="0" fontId="49" fillId="0" borderId="70" xfId="0" applyFont="1" applyBorder="1" applyAlignment="1">
      <alignment horizontal="center"/>
    </xf>
    <xf numFmtId="0" fontId="22" fillId="0" borderId="70" xfId="0" applyFont="1" applyBorder="1" applyAlignment="1">
      <alignment horizontal="center"/>
    </xf>
    <xf numFmtId="0" fontId="8" fillId="0" borderId="0" xfId="1" applyFont="1" applyAlignment="1" applyProtection="1">
      <alignment horizontal="center" vertical="center"/>
      <protection locked="0"/>
    </xf>
    <xf numFmtId="0" fontId="8" fillId="2" borderId="1" xfId="1" applyFont="1" applyFill="1" applyBorder="1" applyAlignment="1" applyProtection="1">
      <alignment horizontal="center" vertical="center"/>
      <protection locked="0"/>
    </xf>
    <xf numFmtId="0" fontId="8" fillId="2" borderId="2" xfId="1" applyFont="1" applyFill="1" applyBorder="1" applyAlignment="1" applyProtection="1">
      <alignment horizontal="center" vertical="center"/>
      <protection locked="0"/>
    </xf>
    <xf numFmtId="0" fontId="8" fillId="2" borderId="32" xfId="1" applyFont="1" applyFill="1" applyBorder="1" applyAlignment="1" applyProtection="1">
      <alignment horizontal="center" vertical="center"/>
      <protection locked="0"/>
    </xf>
    <xf numFmtId="166" fontId="8" fillId="4" borderId="3" xfId="1" applyNumberFormat="1" applyFont="1" applyFill="1" applyBorder="1" applyAlignment="1" applyProtection="1">
      <alignment horizontal="center" vertical="center"/>
      <protection locked="0"/>
    </xf>
    <xf numFmtId="166" fontId="8" fillId="4" borderId="7" xfId="1" applyNumberFormat="1" applyFont="1" applyFill="1" applyBorder="1" applyAlignment="1" applyProtection="1">
      <alignment horizontal="center" vertical="center"/>
      <protection locked="0"/>
    </xf>
    <xf numFmtId="0" fontId="8" fillId="4" borderId="5" xfId="1" applyFont="1" applyFill="1" applyBorder="1" applyAlignment="1" applyProtection="1">
      <alignment horizontal="center" vertical="center" wrapText="1"/>
      <protection locked="0"/>
    </xf>
    <xf numFmtId="0" fontId="8" fillId="4" borderId="9" xfId="1" applyFont="1" applyFill="1" applyBorder="1" applyAlignment="1" applyProtection="1">
      <alignment horizontal="center" vertical="center" wrapText="1"/>
      <protection locked="0"/>
    </xf>
    <xf numFmtId="165" fontId="8" fillId="4" borderId="5" xfId="2" applyFont="1" applyFill="1" applyBorder="1" applyAlignment="1" applyProtection="1">
      <alignment horizontal="center" vertical="center" wrapText="1"/>
      <protection locked="0"/>
    </xf>
    <xf numFmtId="165" fontId="8" fillId="4" borderId="9" xfId="2" applyFont="1" applyFill="1" applyBorder="1" applyAlignment="1" applyProtection="1">
      <alignment horizontal="center" vertical="center" wrapText="1"/>
      <protection locked="0"/>
    </xf>
    <xf numFmtId="165" fontId="23" fillId="4" borderId="4" xfId="2" applyFont="1" applyFill="1" applyBorder="1" applyAlignment="1" applyProtection="1">
      <alignment horizontal="center" vertical="center" wrapText="1"/>
      <protection locked="0"/>
    </xf>
    <xf numFmtId="165" fontId="23" fillId="4" borderId="8" xfId="2" applyFont="1" applyFill="1" applyBorder="1" applyAlignment="1" applyProtection="1">
      <alignment horizontal="center" vertical="center" wrapText="1"/>
      <protection locked="0"/>
    </xf>
    <xf numFmtId="165" fontId="8" fillId="5" borderId="5" xfId="2" applyFont="1" applyFill="1" applyBorder="1" applyAlignment="1" applyProtection="1">
      <alignment horizontal="center" vertical="center"/>
      <protection locked="0"/>
    </xf>
    <xf numFmtId="0" fontId="8" fillId="4" borderId="34" xfId="1" applyFont="1" applyFill="1" applyBorder="1" applyAlignment="1" applyProtection="1">
      <alignment horizontal="center" vertical="center" wrapText="1"/>
      <protection locked="0"/>
    </xf>
    <xf numFmtId="0" fontId="8" fillId="4" borderId="48" xfId="1" applyFont="1" applyFill="1" applyBorder="1" applyAlignment="1" applyProtection="1">
      <alignment horizontal="center" vertical="center" wrapText="1"/>
      <protection locked="0"/>
    </xf>
    <xf numFmtId="0" fontId="8" fillId="4" borderId="38" xfId="1" applyFont="1" applyFill="1" applyBorder="1" applyAlignment="1" applyProtection="1">
      <alignment horizontal="center" vertical="center" wrapText="1"/>
      <protection locked="0"/>
    </xf>
    <xf numFmtId="0" fontId="8" fillId="4" borderId="44" xfId="1" applyFont="1" applyFill="1" applyBorder="1" applyAlignment="1" applyProtection="1">
      <alignment horizontal="center" vertical="center" wrapText="1"/>
      <protection locked="0"/>
    </xf>
    <xf numFmtId="0" fontId="8" fillId="2" borderId="66" xfId="1" applyFont="1" applyFill="1" applyBorder="1" applyAlignment="1" applyProtection="1">
      <alignment horizontal="center" vertical="center"/>
      <protection locked="0"/>
    </xf>
    <xf numFmtId="0" fontId="8" fillId="4" borderId="30" xfId="1" applyFont="1" applyFill="1" applyBorder="1" applyAlignment="1" applyProtection="1">
      <alignment horizontal="center" vertical="center" wrapText="1"/>
      <protection locked="0"/>
    </xf>
    <xf numFmtId="0" fontId="8" fillId="4" borderId="15" xfId="1" applyFont="1" applyFill="1" applyBorder="1" applyAlignment="1" applyProtection="1">
      <alignment horizontal="center" vertical="center" wrapText="1"/>
      <protection locked="0"/>
    </xf>
    <xf numFmtId="0" fontId="8" fillId="2" borderId="50" xfId="1" applyFont="1" applyFill="1" applyBorder="1" applyAlignment="1" applyProtection="1">
      <alignment horizontal="center" vertical="center"/>
      <protection locked="0"/>
    </xf>
    <xf numFmtId="0" fontId="8" fillId="2" borderId="0" xfId="1" applyFont="1" applyFill="1" applyAlignment="1" applyProtection="1">
      <alignment horizontal="center" vertical="center"/>
      <protection locked="0"/>
    </xf>
    <xf numFmtId="0" fontId="8" fillId="2" borderId="64" xfId="1" applyFont="1" applyFill="1" applyBorder="1" applyAlignment="1" applyProtection="1">
      <alignment horizontal="center" vertical="center"/>
      <protection locked="0"/>
    </xf>
    <xf numFmtId="166" fontId="8" fillId="15" borderId="47" xfId="1" applyNumberFormat="1" applyFont="1" applyFill="1" applyBorder="1" applyAlignment="1" applyProtection="1">
      <alignment horizontal="center" vertical="center"/>
      <protection locked="0"/>
    </xf>
    <xf numFmtId="166" fontId="8" fillId="15" borderId="21" xfId="1" applyNumberFormat="1" applyFont="1" applyFill="1" applyBorder="1" applyAlignment="1" applyProtection="1">
      <alignment horizontal="center" vertical="center"/>
      <protection locked="0"/>
    </xf>
    <xf numFmtId="0" fontId="8" fillId="4" borderId="19" xfId="1" applyFont="1" applyFill="1" applyBorder="1" applyAlignment="1" applyProtection="1">
      <alignment horizontal="center" vertical="center" wrapText="1"/>
      <protection locked="0"/>
    </xf>
    <xf numFmtId="0" fontId="8" fillId="4" borderId="12" xfId="1" applyFont="1" applyFill="1" applyBorder="1" applyAlignment="1" applyProtection="1">
      <alignment horizontal="center" vertical="center" wrapText="1"/>
      <protection locked="0"/>
    </xf>
    <xf numFmtId="0" fontId="8" fillId="4" borderId="4" xfId="1" applyFont="1" applyFill="1" applyBorder="1" applyAlignment="1" applyProtection="1">
      <alignment horizontal="center" vertical="center" wrapText="1"/>
      <protection locked="0"/>
    </xf>
    <xf numFmtId="0" fontId="8" fillId="4" borderId="8" xfId="1" applyFont="1" applyFill="1" applyBorder="1" applyAlignment="1" applyProtection="1">
      <alignment horizontal="center" vertical="center" wrapText="1"/>
      <protection locked="0"/>
    </xf>
    <xf numFmtId="166" fontId="8" fillId="15" borderId="47" xfId="1" applyNumberFormat="1" applyFont="1" applyFill="1" applyBorder="1" applyAlignment="1" applyProtection="1">
      <alignment horizontal="left" vertical="center"/>
      <protection locked="0"/>
    </xf>
    <xf numFmtId="166" fontId="8" fillId="15" borderId="21" xfId="1" applyNumberFormat="1" applyFont="1" applyFill="1" applyBorder="1" applyAlignment="1" applyProtection="1">
      <alignment horizontal="left" vertical="center"/>
      <protection locked="0"/>
    </xf>
    <xf numFmtId="0" fontId="8" fillId="15" borderId="41" xfId="1" applyFont="1" applyFill="1" applyBorder="1" applyAlignment="1" applyProtection="1">
      <alignment horizontal="left" vertical="center" wrapText="1"/>
      <protection locked="0"/>
    </xf>
    <xf numFmtId="0" fontId="8" fillId="15" borderId="27" xfId="1" applyFont="1" applyFill="1" applyBorder="1" applyAlignment="1" applyProtection="1">
      <alignment horizontal="left" vertical="center" wrapText="1"/>
      <protection locked="0"/>
    </xf>
    <xf numFmtId="0" fontId="22" fillId="0" borderId="0" xfId="1" applyFont="1" applyAlignment="1" applyProtection="1">
      <alignment horizontal="center" vertical="center"/>
      <protection locked="0"/>
    </xf>
    <xf numFmtId="0" fontId="22" fillId="0" borderId="0" xfId="1" applyFont="1" applyAlignment="1" applyProtection="1">
      <alignment horizontal="left" vertical="center" wrapText="1"/>
      <protection locked="0"/>
    </xf>
    <xf numFmtId="0" fontId="21" fillId="8" borderId="61" xfId="0" applyFont="1" applyFill="1" applyBorder="1" applyAlignment="1">
      <alignment horizontal="center"/>
    </xf>
    <xf numFmtId="0" fontId="21" fillId="8" borderId="71" xfId="0" applyFont="1" applyFill="1" applyBorder="1" applyAlignment="1">
      <alignment horizontal="center"/>
    </xf>
    <xf numFmtId="168" fontId="22" fillId="0" borderId="61" xfId="0" applyNumberFormat="1" applyFont="1" applyBorder="1" applyAlignment="1">
      <alignment horizontal="left"/>
    </xf>
    <xf numFmtId="168" fontId="22" fillId="0" borderId="71" xfId="0" applyNumberFormat="1" applyFont="1" applyBorder="1" applyAlignment="1">
      <alignment horizontal="left"/>
    </xf>
    <xf numFmtId="0" fontId="21" fillId="7" borderId="61" xfId="0" applyFont="1" applyFill="1" applyBorder="1" applyAlignment="1">
      <alignment horizontal="left" vertical="center" wrapText="1"/>
    </xf>
    <xf numFmtId="0" fontId="21" fillId="7" borderId="72" xfId="0" applyFont="1" applyFill="1" applyBorder="1" applyAlignment="1">
      <alignment horizontal="left" vertical="center" wrapText="1"/>
    </xf>
    <xf numFmtId="0" fontId="21" fillId="7" borderId="71" xfId="0" applyFont="1" applyFill="1" applyBorder="1" applyAlignment="1">
      <alignment horizontal="left" vertical="center" wrapText="1"/>
    </xf>
    <xf numFmtId="0" fontId="2" fillId="4" borderId="3" xfId="1" applyFont="1" applyFill="1" applyBorder="1" applyAlignment="1" applyProtection="1">
      <alignment horizontal="center" vertical="center" wrapText="1"/>
      <protection locked="0"/>
    </xf>
    <xf numFmtId="0" fontId="2" fillId="4" borderId="7" xfId="1" applyFont="1" applyFill="1" applyBorder="1" applyAlignment="1" applyProtection="1">
      <alignment horizontal="center" vertical="center" wrapText="1"/>
      <protection locked="0"/>
    </xf>
    <xf numFmtId="0" fontId="2" fillId="4" borderId="6" xfId="1" applyFont="1" applyFill="1" applyBorder="1" applyAlignment="1" applyProtection="1">
      <alignment horizontal="center" vertical="center" wrapText="1"/>
      <protection locked="0"/>
    </xf>
    <xf numFmtId="0" fontId="2" fillId="4" borderId="10" xfId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7">
    <cellStyle name="Comma" xfId="3" builtinId="3"/>
    <cellStyle name="Comma 3" xfId="2" xr:uid="{00000000-0005-0000-0000-000001000000}"/>
    <cellStyle name="Normal" xfId="0" builtinId="0"/>
    <cellStyle name="Normal 2" xfId="4" xr:uid="{00000000-0005-0000-0000-000003000000}"/>
    <cellStyle name="Normal 2 2" xfId="1" xr:uid="{00000000-0005-0000-0000-000004000000}"/>
    <cellStyle name="Normal 3 2" xfId="5" xr:uid="{00000000-0005-0000-0000-000005000000}"/>
    <cellStyle name="Percent" xfId="6" builtinId="5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37.xml"/><Relationship Id="rId68" Type="http://schemas.openxmlformats.org/officeDocument/2006/relationships/externalLink" Target="externalLinks/externalLink4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3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32.xml"/><Relationship Id="rId66" Type="http://schemas.openxmlformats.org/officeDocument/2006/relationships/externalLink" Target="externalLinks/externalLink40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chartsheet" Target="chartsheets/sheet1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30.xml"/><Relationship Id="rId64" Type="http://schemas.openxmlformats.org/officeDocument/2006/relationships/externalLink" Target="externalLinks/externalLink38.xml"/><Relationship Id="rId69" Type="http://schemas.openxmlformats.org/officeDocument/2006/relationships/externalLink" Target="externalLinks/externalLink4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5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4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33.xml"/><Relationship Id="rId67" Type="http://schemas.openxmlformats.org/officeDocument/2006/relationships/externalLink" Target="externalLinks/externalLink4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54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36.xml"/><Relationship Id="rId70" Type="http://schemas.openxmlformats.org/officeDocument/2006/relationships/externalLink" Target="externalLinks/externalLink44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2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Relationship Id="rId57" Type="http://schemas.openxmlformats.org/officeDocument/2006/relationships/externalLink" Target="externalLinks/externalLink3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26.xml"/><Relationship Id="rId60" Type="http://schemas.openxmlformats.org/officeDocument/2006/relationships/externalLink" Target="externalLinks/externalLink34.xml"/><Relationship Id="rId65" Type="http://schemas.openxmlformats.org/officeDocument/2006/relationships/externalLink" Target="externalLinks/externalLink39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8.xml"/><Relationship Id="rId50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GRAPH!$B$5</c:f>
              <c:strCache>
                <c:ptCount val="1"/>
                <c:pt idx="0">
                  <c:v>GOOD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C74-4D2B-9AA5-019AC88C38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C74-4D2B-9AA5-019AC88C38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74-4D2B-9AA5-019AC88C38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24E-4033-A6CF-7AF6F0C9B38C}"/>
              </c:ext>
            </c:extLst>
          </c:dPt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GRAPH!$C$4:$G$4</c15:sqref>
                  </c15:fullRef>
                </c:ext>
              </c:extLst>
              <c:f>GRAPH!$C$4:$F$4</c:f>
              <c:strCache>
                <c:ptCount val="4"/>
                <c:pt idx="0">
                  <c:v> CONCRETE </c:v>
                </c:pt>
                <c:pt idx="1">
                  <c:v> ASPHALT </c:v>
                </c:pt>
                <c:pt idx="2">
                  <c:v> EARTH </c:v>
                </c:pt>
                <c:pt idx="3">
                  <c:v> GRAVEL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GRAPH!$C$9:$G$9</c15:sqref>
                  </c15:fullRef>
                </c:ext>
              </c:extLst>
              <c:f>GRAPH!$C$9:$F$9</c:f>
              <c:numCache>
                <c:formatCode>0.00</c:formatCode>
                <c:ptCount val="4"/>
                <c:pt idx="0">
                  <c:v>440.50819999999999</c:v>
                </c:pt>
                <c:pt idx="1">
                  <c:v>10.742999999999999</c:v>
                </c:pt>
                <c:pt idx="2">
                  <c:v>10.683999999999999</c:v>
                </c:pt>
                <c:pt idx="3">
                  <c:v>767.61599999999999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GRAPH!$G$9</c15:sqref>
                  <c15:spPr xmlns:c15="http://schemas.microsoft.com/office/drawing/2012/chart"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EC74-4D2B-9AA5-019AC88C3889}"/>
            </c:ext>
          </c:extLst>
        </c:ser>
        <c:ser>
          <c:idx val="1"/>
          <c:order val="1"/>
          <c:tx>
            <c:strRef>
              <c:f>GRAPH!$B$6</c:f>
              <c:strCache>
                <c:ptCount val="1"/>
                <c:pt idx="0">
                  <c:v>FAIR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24E-4033-A6CF-7AF6F0C9B3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24E-4033-A6CF-7AF6F0C9B3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24E-4033-A6CF-7AF6F0C9B3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24E-4033-A6CF-7AF6F0C9B38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GRAPH!$C$4:$G$4</c15:sqref>
                  </c15:fullRef>
                </c:ext>
              </c:extLst>
              <c:f>GRAPH!$C$4:$F$4</c:f>
              <c:strCache>
                <c:ptCount val="4"/>
                <c:pt idx="0">
                  <c:v> CONCRETE </c:v>
                </c:pt>
                <c:pt idx="1">
                  <c:v> ASPHALT </c:v>
                </c:pt>
                <c:pt idx="2">
                  <c:v> EARTH </c:v>
                </c:pt>
                <c:pt idx="3">
                  <c:v> GRAVEL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GRAPH!$C$6:$G$6</c15:sqref>
                  </c15:fullRef>
                </c:ext>
              </c:extLst>
              <c:f>GRAPH!$C$6:$F$6</c:f>
              <c:numCache>
                <c:formatCode>0.00</c:formatCode>
                <c:ptCount val="4"/>
                <c:pt idx="0">
                  <c:v>171.76400000000004</c:v>
                </c:pt>
                <c:pt idx="1">
                  <c:v>0</c:v>
                </c:pt>
                <c:pt idx="2">
                  <c:v>1.72</c:v>
                </c:pt>
                <c:pt idx="3">
                  <c:v>450.97199999999998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GRAPH!$G$6</c15:sqref>
                  <c15:spPr xmlns:c15="http://schemas.microsoft.com/office/drawing/2012/chart"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EC74-4D2B-9AA5-019AC88C3889}"/>
            </c:ext>
          </c:extLst>
        </c:ser>
        <c:ser>
          <c:idx val="2"/>
          <c:order val="2"/>
          <c:tx>
            <c:strRef>
              <c:f>GRAPH!$B$7</c:f>
              <c:strCache>
                <c:ptCount val="1"/>
                <c:pt idx="0">
                  <c:v>POOR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24E-4033-A6CF-7AF6F0C9B3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24E-4033-A6CF-7AF6F0C9B3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24E-4033-A6CF-7AF6F0C9B3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24E-4033-A6CF-7AF6F0C9B38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GRAPH!$C$4:$G$4</c15:sqref>
                  </c15:fullRef>
                </c:ext>
              </c:extLst>
              <c:f>GRAPH!$C$4:$F$4</c:f>
              <c:strCache>
                <c:ptCount val="4"/>
                <c:pt idx="0">
                  <c:v> CONCRETE </c:v>
                </c:pt>
                <c:pt idx="1">
                  <c:v> ASPHALT </c:v>
                </c:pt>
                <c:pt idx="2">
                  <c:v> EARTH </c:v>
                </c:pt>
                <c:pt idx="3">
                  <c:v> GRAVEL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GRAPH!$C$7:$G$7</c15:sqref>
                  </c15:fullRef>
                </c:ext>
              </c:extLst>
              <c:f>GRAPH!$C$7:$F$7</c:f>
              <c:numCache>
                <c:formatCode>0.00</c:formatCode>
                <c:ptCount val="4"/>
                <c:pt idx="0">
                  <c:v>33.223999999999997</c:v>
                </c:pt>
                <c:pt idx="1">
                  <c:v>2.5499999999999998</c:v>
                </c:pt>
                <c:pt idx="2">
                  <c:v>0</c:v>
                </c:pt>
                <c:pt idx="3">
                  <c:v>149.18100000000001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GRAPH!$G$7</c15:sqref>
                  <c15:spPr xmlns:c15="http://schemas.microsoft.com/office/drawing/2012/chart"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EC74-4D2B-9AA5-019AC88C3889}"/>
            </c:ext>
          </c:extLst>
        </c:ser>
        <c:ser>
          <c:idx val="3"/>
          <c:order val="3"/>
          <c:tx>
            <c:strRef>
              <c:f>GRAPH!$B$8</c:f>
              <c:strCache>
                <c:ptCount val="1"/>
                <c:pt idx="0">
                  <c:v>BAD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24E-4033-A6CF-7AF6F0C9B3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24E-4033-A6CF-7AF6F0C9B3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924E-4033-A6CF-7AF6F0C9B3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924E-4033-A6CF-7AF6F0C9B38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GRAPH!$C$4:$G$4</c15:sqref>
                  </c15:fullRef>
                </c:ext>
              </c:extLst>
              <c:f>GRAPH!$C$4:$F$4</c:f>
              <c:strCache>
                <c:ptCount val="4"/>
                <c:pt idx="0">
                  <c:v> CONCRETE </c:v>
                </c:pt>
                <c:pt idx="1">
                  <c:v> ASPHALT </c:v>
                </c:pt>
                <c:pt idx="2">
                  <c:v> EARTH </c:v>
                </c:pt>
                <c:pt idx="3">
                  <c:v> GRAVEL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GRAPH!$C$8:$G$8</c15:sqref>
                  </c15:fullRef>
                </c:ext>
              </c:extLst>
              <c:f>GRAPH!$C$8:$F$8</c:f>
              <c:numCache>
                <c:formatCode>0.00</c:formatCode>
                <c:ptCount val="4"/>
                <c:pt idx="0">
                  <c:v>14.332000000000001</c:v>
                </c:pt>
                <c:pt idx="1">
                  <c:v>6.1099999999999994</c:v>
                </c:pt>
                <c:pt idx="2">
                  <c:v>5.5439999999999996</c:v>
                </c:pt>
                <c:pt idx="3">
                  <c:v>90.997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GRAPH!$G$8</c15:sqref>
                  <c15:spPr xmlns:c15="http://schemas.microsoft.com/office/drawing/2012/chart"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EC74-4D2B-9AA5-019AC88C38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15634332574618"/>
          <c:y val="0.35597543988915198"/>
          <c:w val="0.15227377347062387"/>
          <c:h val="0.3554526658535299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349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GRAPH!$C$32</c:f>
              <c:strCache>
                <c:ptCount val="1"/>
                <c:pt idx="0">
                  <c:v>GOOD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AF-463B-B9AA-BAAFE4EE55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AF-463B-B9AA-BAAFE4EE55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AF-463B-B9AA-BAAFE4EE55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4AF-463B-B9AA-BAAFE4EE5550}"/>
              </c:ext>
            </c:extLst>
          </c:dPt>
          <c:dLbls>
            <c:delete val="1"/>
          </c:dLbls>
          <c:cat>
            <c:strRef>
              <c:f>GRAPH!$D$31:$G$31</c:f>
              <c:strCache>
                <c:ptCount val="4"/>
                <c:pt idx="0">
                  <c:v> STEEL TRUSS </c:v>
                </c:pt>
                <c:pt idx="1">
                  <c:v> BAILEY </c:v>
                </c:pt>
                <c:pt idx="2">
                  <c:v> RC. GIRDER </c:v>
                </c:pt>
                <c:pt idx="3">
                  <c:v> TIMBER </c:v>
                </c:pt>
              </c:strCache>
            </c:strRef>
          </c:cat>
          <c:val>
            <c:numRef>
              <c:f>GRAPH!$D$36:$G$36</c:f>
              <c:numCache>
                <c:formatCode>0.00</c:formatCode>
                <c:ptCount val="4"/>
                <c:pt idx="0">
                  <c:v>169</c:v>
                </c:pt>
                <c:pt idx="1">
                  <c:v>359.1</c:v>
                </c:pt>
                <c:pt idx="2">
                  <c:v>1540.88</c:v>
                </c:pt>
                <c:pt idx="3">
                  <c:v>262.5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5-4E06-8BBB-C9D33B750B63}"/>
            </c:ext>
          </c:extLst>
        </c:ser>
        <c:ser>
          <c:idx val="1"/>
          <c:order val="1"/>
          <c:tx>
            <c:strRef>
              <c:f>GRAPH!$C$33</c:f>
              <c:strCache>
                <c:ptCount val="1"/>
                <c:pt idx="0">
                  <c:v>FAIR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4AF-463B-B9AA-BAAFE4EE55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4AF-463B-B9AA-BAAFE4EE55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4AF-463B-B9AA-BAAFE4EE55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4AF-463B-B9AA-BAAFE4EE55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GRAPH!$D$31:$G$31</c:f>
              <c:strCache>
                <c:ptCount val="4"/>
                <c:pt idx="0">
                  <c:v> STEEL TRUSS </c:v>
                </c:pt>
                <c:pt idx="1">
                  <c:v> BAILEY </c:v>
                </c:pt>
                <c:pt idx="2">
                  <c:v> RC. GIRDER </c:v>
                </c:pt>
                <c:pt idx="3">
                  <c:v> TIMBER </c:v>
                </c:pt>
              </c:strCache>
            </c:strRef>
          </c:cat>
          <c:val>
            <c:numRef>
              <c:f>GRAPH!$D$33:$G$33</c:f>
              <c:numCache>
                <c:formatCode>0.00</c:formatCode>
                <c:ptCount val="4"/>
                <c:pt idx="0">
                  <c:v>29</c:v>
                </c:pt>
                <c:pt idx="1">
                  <c:v>69</c:v>
                </c:pt>
                <c:pt idx="2">
                  <c:v>507.59999999999997</c:v>
                </c:pt>
                <c:pt idx="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5-4E06-8BBB-C9D33B750B63}"/>
            </c:ext>
          </c:extLst>
        </c:ser>
        <c:ser>
          <c:idx val="2"/>
          <c:order val="2"/>
          <c:tx>
            <c:strRef>
              <c:f>GRAPH!$C$34</c:f>
              <c:strCache>
                <c:ptCount val="1"/>
                <c:pt idx="0">
                  <c:v>POOR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4AF-463B-B9AA-BAAFE4EE55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4AF-463B-B9AA-BAAFE4EE55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4AF-463B-B9AA-BAAFE4EE55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4AF-463B-B9AA-BAAFE4EE55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GRAPH!$D$31:$G$31</c:f>
              <c:strCache>
                <c:ptCount val="4"/>
                <c:pt idx="0">
                  <c:v> STEEL TRUSS </c:v>
                </c:pt>
                <c:pt idx="1">
                  <c:v> BAILEY </c:v>
                </c:pt>
                <c:pt idx="2">
                  <c:v> RC. GIRDER </c:v>
                </c:pt>
                <c:pt idx="3">
                  <c:v> TIMBER </c:v>
                </c:pt>
              </c:strCache>
            </c:strRef>
          </c:cat>
          <c:val>
            <c:numRef>
              <c:f>GRAPH!$D$34:$G$34</c:f>
              <c:numCache>
                <c:formatCode>0.00</c:formatCode>
                <c:ptCount val="4"/>
                <c:pt idx="0">
                  <c:v>0</c:v>
                </c:pt>
                <c:pt idx="1">
                  <c:v>195.10000000000002</c:v>
                </c:pt>
                <c:pt idx="2">
                  <c:v>113.4</c:v>
                </c:pt>
                <c:pt idx="3">
                  <c:v>114.5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15-4E06-8BBB-C9D33B750B63}"/>
            </c:ext>
          </c:extLst>
        </c:ser>
        <c:ser>
          <c:idx val="3"/>
          <c:order val="3"/>
          <c:tx>
            <c:strRef>
              <c:f>GRAPH!$C$35</c:f>
              <c:strCache>
                <c:ptCount val="1"/>
                <c:pt idx="0">
                  <c:v>BAD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4AF-463B-B9AA-BAAFE4EE55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4AF-463B-B9AA-BAAFE4EE55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4AF-463B-B9AA-BAAFE4EE55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4AF-463B-B9AA-BAAFE4EE55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GRAPH!$D$31:$G$31</c:f>
              <c:strCache>
                <c:ptCount val="4"/>
                <c:pt idx="0">
                  <c:v> STEEL TRUSS </c:v>
                </c:pt>
                <c:pt idx="1">
                  <c:v> BAILEY </c:v>
                </c:pt>
                <c:pt idx="2">
                  <c:v> RC. GIRDER </c:v>
                </c:pt>
                <c:pt idx="3">
                  <c:v> TIMBER </c:v>
                </c:pt>
              </c:strCache>
            </c:strRef>
          </c:cat>
          <c:val>
            <c:numRef>
              <c:f>GRAPH!$D$35:$G$35</c:f>
              <c:numCache>
                <c:formatCode>0.00</c:formatCode>
                <c:ptCount val="4"/>
                <c:pt idx="0">
                  <c:v>0</c:v>
                </c:pt>
                <c:pt idx="1">
                  <c:v>17</c:v>
                </c:pt>
                <c:pt idx="2">
                  <c:v>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15-4E06-8BBB-C9D33B750B63}"/>
            </c:ext>
          </c:extLst>
        </c:ser>
        <c:ser>
          <c:idx val="4"/>
          <c:order val="4"/>
          <c:tx>
            <c:strRef>
              <c:f>GRAPH!$C$36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74AF-463B-B9AA-BAAFE4EE55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74AF-463B-B9AA-BAAFE4EE55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74AF-463B-B9AA-BAAFE4EE55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74AF-463B-B9AA-BAAFE4EE55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GRAPH!$D$31:$G$31</c:f>
              <c:strCache>
                <c:ptCount val="4"/>
                <c:pt idx="0">
                  <c:v> STEEL TRUSS </c:v>
                </c:pt>
                <c:pt idx="1">
                  <c:v> BAILEY </c:v>
                </c:pt>
                <c:pt idx="2">
                  <c:v> RC. GIRDER </c:v>
                </c:pt>
                <c:pt idx="3">
                  <c:v> TIMBER </c:v>
                </c:pt>
              </c:strCache>
            </c:strRef>
          </c:cat>
          <c:val>
            <c:numRef>
              <c:f>GRAPH!$D$36:$G$36</c:f>
              <c:numCache>
                <c:formatCode>0.00</c:formatCode>
                <c:ptCount val="4"/>
                <c:pt idx="0">
                  <c:v>169</c:v>
                </c:pt>
                <c:pt idx="1">
                  <c:v>359.1</c:v>
                </c:pt>
                <c:pt idx="2">
                  <c:v>1540.88</c:v>
                </c:pt>
                <c:pt idx="3">
                  <c:v>262.5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15-4E06-8BBB-C9D33B750B6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15226870714175"/>
          <c:y val="0.3556559753880274"/>
          <c:w val="0.16952929169103309"/>
          <c:h val="0.2725374754288799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road inventory 2024'!$B$6:$B$8</c:f>
              <c:strCache>
                <c:ptCount val="3"/>
                <c:pt idx="0">
                  <c:v>ROAD ID</c:v>
                </c:pt>
                <c:pt idx="2">
                  <c:v>MUNICIPALITY OF ABORLAN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2024'!$B$9:$B$33</c:f>
              <c:numCache>
                <c:formatCode>"1753"000000000</c:formatCode>
                <c:ptCount val="25"/>
                <c:pt idx="0">
                  <c:v>219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93</c:v>
                </c:pt>
                <c:pt idx="6">
                  <c:v>218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13</c:v>
                </c:pt>
                <c:pt idx="15">
                  <c:v>12</c:v>
                </c:pt>
                <c:pt idx="16">
                  <c:v>220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221</c:v>
                </c:pt>
                <c:pt idx="2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D-4DF6-8D4C-FD4740DCCEC7}"/>
            </c:ext>
          </c:extLst>
        </c:ser>
        <c:ser>
          <c:idx val="1"/>
          <c:order val="1"/>
          <c:tx>
            <c:strRef>
              <c:f>' road inventory 2024'!$C$6:$C$8</c:f>
              <c:strCache>
                <c:ptCount val="3"/>
                <c:pt idx="0">
                  <c:v>ROAD NAME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2024'!$C$9:$C$33</c:f>
              <c:numCache>
                <c:formatCode>#,##0.000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6D-4DF6-8D4C-FD4740DCCEC7}"/>
            </c:ext>
          </c:extLst>
        </c:ser>
        <c:ser>
          <c:idx val="2"/>
          <c:order val="2"/>
          <c:tx>
            <c:strRef>
              <c:f>' road inventory 2024'!$D$6:$D$8</c:f>
              <c:strCache>
                <c:ptCount val="3"/>
                <c:pt idx="0">
                  <c:v>LENGTH
(KM)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2024'!$D$9:$D$33</c:f>
              <c:numCache>
                <c:formatCode>#,##0.000</c:formatCode>
                <c:ptCount val="25"/>
                <c:pt idx="0">
                  <c:v>0.68</c:v>
                </c:pt>
                <c:pt idx="1">
                  <c:v>3.47</c:v>
                </c:pt>
                <c:pt idx="2">
                  <c:v>0.87</c:v>
                </c:pt>
                <c:pt idx="3">
                  <c:v>5.5</c:v>
                </c:pt>
                <c:pt idx="4">
                  <c:v>2.77</c:v>
                </c:pt>
                <c:pt idx="5">
                  <c:v>3.97</c:v>
                </c:pt>
                <c:pt idx="6">
                  <c:v>4.7699999999999996</c:v>
                </c:pt>
                <c:pt idx="7">
                  <c:v>4.09</c:v>
                </c:pt>
                <c:pt idx="8">
                  <c:v>2.67</c:v>
                </c:pt>
                <c:pt idx="9">
                  <c:v>1.19</c:v>
                </c:pt>
                <c:pt idx="10">
                  <c:v>0.7</c:v>
                </c:pt>
                <c:pt idx="11">
                  <c:v>9.1</c:v>
                </c:pt>
                <c:pt idx="12">
                  <c:v>13.9</c:v>
                </c:pt>
                <c:pt idx="13">
                  <c:v>2.25</c:v>
                </c:pt>
                <c:pt idx="14">
                  <c:v>1.75</c:v>
                </c:pt>
                <c:pt idx="15">
                  <c:v>1.65</c:v>
                </c:pt>
                <c:pt idx="16">
                  <c:v>3</c:v>
                </c:pt>
                <c:pt idx="17">
                  <c:v>4.04</c:v>
                </c:pt>
                <c:pt idx="18">
                  <c:v>3.2</c:v>
                </c:pt>
                <c:pt idx="19">
                  <c:v>1.028</c:v>
                </c:pt>
                <c:pt idx="20">
                  <c:v>4</c:v>
                </c:pt>
                <c:pt idx="21">
                  <c:v>10.58</c:v>
                </c:pt>
                <c:pt idx="22">
                  <c:v>4.07</c:v>
                </c:pt>
                <c:pt idx="23">
                  <c:v>7.6680000000000001</c:v>
                </c:pt>
                <c:pt idx="24">
                  <c:v>96.916000000000025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6D-4DF6-8D4C-FD4740DCCEC7}"/>
            </c:ext>
          </c:extLst>
        </c:ser>
        <c:ser>
          <c:idx val="3"/>
          <c:order val="3"/>
          <c:tx>
            <c:strRef>
              <c:f>' road inventory 2024'!$E$6:$E$8</c:f>
              <c:strCache>
                <c:ptCount val="3"/>
                <c:pt idx="0">
                  <c:v>  LENGTH
(KM)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2024'!$E$9:$E$33</c:f>
            </c:numRef>
          </c:val>
          <c:extLst>
            <c:ext xmlns:c16="http://schemas.microsoft.com/office/drawing/2014/chart" uri="{C3380CC4-5D6E-409C-BE32-E72D297353CC}">
              <c16:uniqueId val="{00000003-BE6D-4DF6-8D4C-FD4740DCCEC7}"/>
            </c:ext>
          </c:extLst>
        </c:ser>
        <c:ser>
          <c:idx val="4"/>
          <c:order val="4"/>
          <c:tx>
            <c:strRef>
              <c:f>' road inventory 2024'!$F$6:$F$8</c:f>
              <c:strCache>
                <c:ptCount val="3"/>
                <c:pt idx="0">
                  <c:v> SURFACE TYPE (KM) </c:v>
                </c:pt>
                <c:pt idx="1">
                  <c:v> CONCRETE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2024'!$F$9:$F$33</c:f>
              <c:numCache>
                <c:formatCode>#,##0.000</c:formatCode>
                <c:ptCount val="25"/>
                <c:pt idx="0">
                  <c:v>0.68</c:v>
                </c:pt>
                <c:pt idx="1">
                  <c:v>0</c:v>
                </c:pt>
                <c:pt idx="2">
                  <c:v>0.43</c:v>
                </c:pt>
                <c:pt idx="3">
                  <c:v>5.5</c:v>
                </c:pt>
                <c:pt idx="4">
                  <c:v>0.19</c:v>
                </c:pt>
                <c:pt idx="5">
                  <c:v>3.69</c:v>
                </c:pt>
                <c:pt idx="6">
                  <c:v>0</c:v>
                </c:pt>
                <c:pt idx="7">
                  <c:v>3.5369999999999999</c:v>
                </c:pt>
                <c:pt idx="8">
                  <c:v>2.67</c:v>
                </c:pt>
                <c:pt idx="9">
                  <c:v>1.19</c:v>
                </c:pt>
                <c:pt idx="10">
                  <c:v>0.7</c:v>
                </c:pt>
                <c:pt idx="11">
                  <c:v>9.1</c:v>
                </c:pt>
                <c:pt idx="12">
                  <c:v>13.19</c:v>
                </c:pt>
                <c:pt idx="13">
                  <c:v>2.25</c:v>
                </c:pt>
                <c:pt idx="14">
                  <c:v>0</c:v>
                </c:pt>
                <c:pt idx="15">
                  <c:v>0.86</c:v>
                </c:pt>
                <c:pt idx="16">
                  <c:v>0.32500000000000001</c:v>
                </c:pt>
                <c:pt idx="17">
                  <c:v>4.04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10.58</c:v>
                </c:pt>
                <c:pt idx="22">
                  <c:v>1.56</c:v>
                </c:pt>
                <c:pt idx="23">
                  <c:v>7.6680000000000001</c:v>
                </c:pt>
                <c:pt idx="24">
                  <c:v>72.160000000000011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6D-4DF6-8D4C-FD4740DCCEC7}"/>
            </c:ext>
          </c:extLst>
        </c:ser>
        <c:ser>
          <c:idx val="5"/>
          <c:order val="5"/>
          <c:tx>
            <c:strRef>
              <c:f>' road inventory 2024'!$G$6:$G$8</c:f>
              <c:strCache>
                <c:ptCount val="3"/>
                <c:pt idx="0">
                  <c:v> SURFACE TYPE (KM) </c:v>
                </c:pt>
                <c:pt idx="1">
                  <c:v> ASPHALT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2024'!$G$9:$G$33</c:f>
              <c:numCache>
                <c:formatCode>#,##0.000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6D-4DF6-8D4C-FD4740DCCEC7}"/>
            </c:ext>
          </c:extLst>
        </c:ser>
        <c:ser>
          <c:idx val="6"/>
          <c:order val="6"/>
          <c:tx>
            <c:strRef>
              <c:f>' road inventory 2024'!$H$6:$H$8</c:f>
              <c:strCache>
                <c:ptCount val="3"/>
                <c:pt idx="0">
                  <c:v> SURFACE TYPE (KM) </c:v>
                </c:pt>
                <c:pt idx="1">
                  <c:v> EARTH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2024'!$H$9:$H$33</c:f>
              <c:numCache>
                <c:formatCode>#,##0.000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6D-4DF6-8D4C-FD4740DCCEC7}"/>
            </c:ext>
          </c:extLst>
        </c:ser>
        <c:ser>
          <c:idx val="7"/>
          <c:order val="7"/>
          <c:tx>
            <c:strRef>
              <c:f>' road inventory 2024'!$I$6:$I$8</c:f>
              <c:strCache>
                <c:ptCount val="3"/>
                <c:pt idx="0">
                  <c:v> SURFACE TYPE (KM) </c:v>
                </c:pt>
                <c:pt idx="1">
                  <c:v> GRAVEL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2024'!$I$9:$I$33</c:f>
              <c:numCache>
                <c:formatCode>#,##0.000</c:formatCode>
                <c:ptCount val="25"/>
                <c:pt idx="0">
                  <c:v>0</c:v>
                </c:pt>
                <c:pt idx="1">
                  <c:v>3.47</c:v>
                </c:pt>
                <c:pt idx="2">
                  <c:v>0.44</c:v>
                </c:pt>
                <c:pt idx="3">
                  <c:v>0</c:v>
                </c:pt>
                <c:pt idx="4">
                  <c:v>2.58</c:v>
                </c:pt>
                <c:pt idx="5">
                  <c:v>0.28000000000000025</c:v>
                </c:pt>
                <c:pt idx="6">
                  <c:v>4.7699999999999996</c:v>
                </c:pt>
                <c:pt idx="7">
                  <c:v>0.55299999999999994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0.71000000000000085</c:v>
                </c:pt>
                <c:pt idx="13">
                  <c:v>0</c:v>
                </c:pt>
                <c:pt idx="14">
                  <c:v>1.75</c:v>
                </c:pt>
                <c:pt idx="15">
                  <c:v>0.78999999999999992</c:v>
                </c:pt>
                <c:pt idx="16">
                  <c:v>2.6749999999999998</c:v>
                </c:pt>
                <c:pt idx="17">
                  <c:v>0</c:v>
                </c:pt>
                <c:pt idx="18">
                  <c:v>3.2</c:v>
                </c:pt>
                <c:pt idx="19">
                  <c:v>1.028</c:v>
                </c:pt>
                <c:pt idx="20">
                  <c:v>0</c:v>
                </c:pt>
                <c:pt idx="21">
                  <c:v>0</c:v>
                </c:pt>
                <c:pt idx="22">
                  <c:v>2.5100000000000002</c:v>
                </c:pt>
                <c:pt idx="23">
                  <c:v>0</c:v>
                </c:pt>
                <c:pt idx="24">
                  <c:v>24.756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6D-4DF6-8D4C-FD4740DCCEC7}"/>
            </c:ext>
          </c:extLst>
        </c:ser>
        <c:ser>
          <c:idx val="8"/>
          <c:order val="8"/>
          <c:tx>
            <c:strRef>
              <c:f>' road inventory 2024'!$J$6:$J$8</c:f>
              <c:strCache>
                <c:ptCount val="3"/>
                <c:pt idx="0">
                  <c:v>ROAD CONDITION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2024'!$J$9:$J$33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6D-4DF6-8D4C-FD4740DCCEC7}"/>
            </c:ext>
          </c:extLst>
        </c:ser>
        <c:ser>
          <c:idx val="9"/>
          <c:order val="9"/>
          <c:tx>
            <c:strRef>
              <c:f>' road inventory 2024'!$K$6:$K$8</c:f>
              <c:strCache>
                <c:ptCount val="3"/>
                <c:pt idx="0">
                  <c:v>ROAD CONDITION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2024'!$K$9:$K$33</c:f>
              <c:numCache>
                <c:formatCode>#,##0.000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9-BE6D-4DF6-8D4C-FD4740DCCEC7}"/>
            </c:ext>
          </c:extLst>
        </c:ser>
        <c:ser>
          <c:idx val="10"/>
          <c:order val="10"/>
          <c:tx>
            <c:strRef>
              <c:f>' road inventory 2024'!$N$6:$N$8</c:f>
              <c:strCache>
                <c:ptCount val="3"/>
                <c:pt idx="0">
                  <c:v>ROAD CONDITION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2024'!$N$9:$N$33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A-BE6D-4DF6-8D4C-FD4740DCCEC7}"/>
            </c:ext>
          </c:extLst>
        </c:ser>
        <c:ser>
          <c:idx val="11"/>
          <c:order val="11"/>
          <c:tx>
            <c:strRef>
              <c:f>' road inventory 2024'!$O$6:$O$8</c:f>
              <c:strCache>
                <c:ptCount val="3"/>
                <c:pt idx="0">
                  <c:v>ROAD CONDITION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2024'!$O$9:$O$33</c:f>
              <c:numCache>
                <c:formatCode>#,##0.000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B-BE6D-4DF6-8D4C-FD4740DCCEC7}"/>
            </c:ext>
          </c:extLst>
        </c:ser>
        <c:ser>
          <c:idx val="12"/>
          <c:order val="12"/>
          <c:tx>
            <c:strRef>
              <c:f>' road inventory 2024'!$P$6:$P$8</c:f>
              <c:strCache>
                <c:ptCount val="3"/>
                <c:pt idx="0">
                  <c:v>ROAD CONDITION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 road inventory 2024'!$A$9:$A$33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 road inventory 2024'!$P$9:$P$33</c:f>
              <c:numCache>
                <c:formatCode>#,##0.000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C-BE6D-4DF6-8D4C-FD4740DCC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442112"/>
        <c:axId val="290199744"/>
      </c:barChart>
      <c:catAx>
        <c:axId val="30044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99744"/>
        <c:crosses val="autoZero"/>
        <c:auto val="1"/>
        <c:lblAlgn val="ctr"/>
        <c:lblOffset val="100"/>
        <c:noMultiLvlLbl val="0"/>
      </c:catAx>
      <c:valAx>
        <c:axId val="2901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1753&quot;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4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Chart25">
    <tabColor rgb="FFC00000"/>
  </sheetPr>
  <sheetViews>
    <sheetView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553357</xdr:colOff>
      <xdr:row>0</xdr:row>
      <xdr:rowOff>27214</xdr:rowOff>
    </xdr:from>
    <xdr:to>
      <xdr:col>2</xdr:col>
      <xdr:colOff>1780970</xdr:colOff>
      <xdr:row>5</xdr:row>
      <xdr:rowOff>147665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0" y="27214"/>
          <a:ext cx="1227613" cy="1254380"/>
        </a:xfrm>
        <a:prstGeom prst="rect">
          <a:avLst/>
        </a:prstGeom>
      </xdr:spPr>
    </xdr:pic>
    <xdr:clientData/>
  </xdr:twoCellAnchor>
  <xdr:twoCellAnchor editAs="oneCell">
    <xdr:from>
      <xdr:col>6</xdr:col>
      <xdr:colOff>1071251</xdr:colOff>
      <xdr:row>0</xdr:row>
      <xdr:rowOff>50162</xdr:rowOff>
    </xdr:from>
    <xdr:to>
      <xdr:col>7</xdr:col>
      <xdr:colOff>709994</xdr:colOff>
      <xdr:row>5</xdr:row>
      <xdr:rowOff>126736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00965" y="50162"/>
          <a:ext cx="1189958" cy="12105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1216942</xdr:colOff>
      <xdr:row>0</xdr:row>
      <xdr:rowOff>49301</xdr:rowOff>
    </xdr:from>
    <xdr:to>
      <xdr:col>2</xdr:col>
      <xdr:colOff>2149734</xdr:colOff>
      <xdr:row>4</xdr:row>
      <xdr:rowOff>77043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5228" y="49301"/>
          <a:ext cx="932792" cy="934885"/>
        </a:xfrm>
        <a:prstGeom prst="rect">
          <a:avLst/>
        </a:prstGeom>
      </xdr:spPr>
    </xdr:pic>
    <xdr:clientData/>
  </xdr:twoCellAnchor>
  <xdr:twoCellAnchor editAs="oneCell">
    <xdr:from>
      <xdr:col>5</xdr:col>
      <xdr:colOff>1014422</xdr:colOff>
      <xdr:row>0</xdr:row>
      <xdr:rowOff>72178</xdr:rowOff>
    </xdr:from>
    <xdr:to>
      <xdr:col>6</xdr:col>
      <xdr:colOff>821160</xdr:colOff>
      <xdr:row>4</xdr:row>
      <xdr:rowOff>14410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53422" y="72178"/>
          <a:ext cx="840881" cy="849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159369</xdr:rowOff>
    </xdr:from>
    <xdr:to>
      <xdr:col>6</xdr:col>
      <xdr:colOff>971550</xdr:colOff>
      <xdr:row>24</xdr:row>
      <xdr:rowOff>63637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2069</xdr:colOff>
      <xdr:row>36</xdr:row>
      <xdr:rowOff>153778</xdr:rowOff>
    </xdr:from>
    <xdr:to>
      <xdr:col>6</xdr:col>
      <xdr:colOff>973206</xdr:colOff>
      <xdr:row>51</xdr:row>
      <xdr:rowOff>193260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41</xdr:row>
      <xdr:rowOff>0</xdr:rowOff>
    </xdr:from>
    <xdr:ext cx="12201525" cy="188595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819150" y="7810500"/>
          <a:ext cx="12201525" cy="188595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indicate total length of core roads for rehabilitation in the indicated year.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2823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1058334</xdr:colOff>
      <xdr:row>0</xdr:row>
      <xdr:rowOff>16933</xdr:rowOff>
    </xdr:from>
    <xdr:to>
      <xdr:col>2</xdr:col>
      <xdr:colOff>1814334</xdr:colOff>
      <xdr:row>3</xdr:row>
      <xdr:rowOff>87133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0009" y="16933"/>
          <a:ext cx="756000" cy="756000"/>
        </a:xfrm>
        <a:prstGeom prst="rect">
          <a:avLst/>
        </a:prstGeom>
      </xdr:spPr>
    </xdr:pic>
    <xdr:clientData/>
  </xdr:twoCellAnchor>
  <xdr:twoCellAnchor editAs="oneCell">
    <xdr:from>
      <xdr:col>6</xdr:col>
      <xdr:colOff>59266</xdr:colOff>
      <xdr:row>0</xdr:row>
      <xdr:rowOff>59266</xdr:rowOff>
    </xdr:from>
    <xdr:to>
      <xdr:col>7</xdr:col>
      <xdr:colOff>7313</xdr:colOff>
      <xdr:row>3</xdr:row>
      <xdr:rowOff>24954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1266" y="59266"/>
          <a:ext cx="748147" cy="6514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1085850</xdr:colOff>
      <xdr:row>0</xdr:row>
      <xdr:rowOff>12452</xdr:rowOff>
    </xdr:from>
    <xdr:to>
      <xdr:col>1</xdr:col>
      <xdr:colOff>1749962</xdr:colOff>
      <xdr:row>2</xdr:row>
      <xdr:rowOff>219364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2452"/>
          <a:ext cx="664112" cy="664112"/>
        </a:xfrm>
        <a:prstGeom prst="rect">
          <a:avLst/>
        </a:prstGeom>
      </xdr:spPr>
    </xdr:pic>
    <xdr:clientData/>
  </xdr:twoCellAnchor>
  <xdr:twoCellAnchor editAs="oneCell">
    <xdr:from>
      <xdr:col>5</xdr:col>
      <xdr:colOff>334433</xdr:colOff>
      <xdr:row>0</xdr:row>
      <xdr:rowOff>19050</xdr:rowOff>
    </xdr:from>
    <xdr:to>
      <xdr:col>6</xdr:col>
      <xdr:colOff>30348</xdr:colOff>
      <xdr:row>2</xdr:row>
      <xdr:rowOff>199891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6308" y="19050"/>
          <a:ext cx="743665" cy="6380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OAD-INVENTORY-updated-2019-FINAL-FI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DUMARAN/153%20ITANGIL%20LATUNGAY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Ellexzor\Desktop\PROVINCIAL%2520ROADS.WYBOLEN\DUMARAN\153%2520ITANGIL%2520LATUNGAY%2520ROA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DUMARAN/125%20ITANGIL%20-%20LAYOK%20ROA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DUMARAN/154%20CATAMA%20-%20TANTANAEN%20ROA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DUMARAN/127%20JUNCTION%20BANTAL%20-%20SAN%20JOSE%20ROA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DUMARAN/128%20JUNCTION%20SALOGON%20-%20DANLEG%20ROA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DUMARAN/155%20JUNCTION%20ALENG%20-%20ALENG%20DANLEG%20ROA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DUMARAN/129%20JUNCTION%20SWINE%20ROA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Ellexzor\Desktop\PROVINCIAL%2520ROADS.WYBOLEN\DUMARAN\130%2520LATUNGAY-BAGUMBAYAN%2520RD\130%2520LATUNGAY%2520-BAGUMBAYAN%2520ROA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DUMARAN/131%20STA%20TERESITA%20CAPAYAS%20ROA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DUMARAN/135%20TANATANAEN%20-%20MARAGOK%20ROA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ELNIDO/SIBALTAN%20SIWANGWANG/SIBALTAN%20SIWANGSIWANG%20ROA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ELNIDO/BAGONG%20BAYAN%20BEBELADAN/BAGONG%20BAYAN%20BEBELEDAN%20ROA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ELNIDO/NEW%20IBAJAY%20LAMORO/NEW%20IBAJAY%20LAMORO%20ROA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ELNIDO/MARANLAW%20DEMERAWAT/MARANLAW%20DEMERAWAT%20ROA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ELNIDO/BUCANA%20DULI/BUCANA-DULI%20ROA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talakaigan/TALAKAIGAN%20ROA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dumarao%20ilian%20ilian/dumarao%20ilian%20ili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antonino%20maragoc/antonino%20maragoc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esktop\BRYLLE%20INVENTORY%202024\NORTH\SAN%20VICENTE%202024\136%20-%20CANADCAN%20ALIMANGUAN\136%20-%20CANADCAN%20ALIMANGUAN.xlsx" TargetMode="External"/><Relationship Id="rId1" Type="http://schemas.openxmlformats.org/officeDocument/2006/relationships/externalLinkPath" Target="/Users/Administrator/Desktop/BRYLLE%20INVENTORY%202024/NORTH/SAN%20VICENTE%202024/136%20-%20CANADCAN%20ALIMANGUAN/136%20-%20CANADCAN%20ALIMANGU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SAN%20VICENTE/san%20jose%20port%20barton%20B/SAN%20JOS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c55974a25d60956/Desktop/lrmpa2020andarap2021/ROAD%20INVENTORY%20202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lexzor/Desktop/PROVINCIAL%20ROADS.WYBOLEN/DUMARAN/153%20ITANGIL%20LATUNGAY%20ROA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lexzor/Desktop/PROVINCIAL%20ROADS.WYBOLEN/DUMARAN/130%20LATUNGAY-BAGUMBAYAN%20RD/130%20LATUNGAY%20-BAGUMBAYAN%20ROA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2020%20ROAD%20INVENTORY%20AND%20ITS%20CONDITION%20(GOOD%20TO%20FAIR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jnct.%20salvacion/Junction%20Salvacion%20R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little%20caramay%20to%20caruray%20road%20b/little%20caramay%20to%20caruray%20road%20B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tagumpay%20maliko/TAGUMPAY-MALIKO%20ROA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jnct.%20new%20cuyo/NEW%20CUYO-RIZAL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san%20jose%20port%20barton%20road%20A/SAN%20JOSE%20PORT%20BARTON%20ROAD%20A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abaraon%20linapaoan/ABORAON%20LINAPAOA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jnct.%20tumarbong/JUNCTION%20TUMARBONG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tumarbong%20antonino/TUMARBONG-ANTONINO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ilian%20bagumbayan/ILIAN%20BAGUMBAYAN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dumarao%20subingao/DUMARAO%20SUBINGAO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roxas/tumarbong%20ilian/TUMARBONG%20ILIAN%20ILIAN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SAN%20VICENTE/CANDCAN%20ALIMANGUAN/CANADCAN%20ALIMANGUAN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SAN%20VICENTE/ALIMANGUAN%20KEMDENG/alimanguan%20kemdeng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SAN%20VICENTE/ALIMANGUAN%20STO%20NINO/ALIMANGUAN%20STO%20NINO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SAN%20VICENTE/little%20caramay%20to%20caruray%20road%20A/little%20caramay%20to%20caruray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SAN%20VICENTE/KEMDENG%20CARABAO/kemdeng%20carabao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SAN%20VICENTE/STO%20NINO%20BINGA/STO%20NINO%20BINGA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NVENTORY%202023/SAN%20VICENTE/BINGA%20CAUBAN/BINGA-CAUBAN%20ROAD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rom%20chen\ROAD%20INVENTORY%20updated%202019-%20FINAL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oad inventory 2018"/>
      <sheetName val="BRIDGE INVENTORY"/>
      <sheetName val="list of bridge"/>
      <sheetName val="CULVERT INVENTORY "/>
      <sheetName val="UPDATED (2019)"/>
      <sheetName val="GOOD TO FAIR"/>
      <sheetName val="POOR TO BAD"/>
      <sheetName val="GOOD"/>
      <sheetName val="FAIR"/>
      <sheetName val="POOR"/>
      <sheetName val="UPLOADED TO RBIS"/>
      <sheetName val="Sheet4"/>
    </sheetNames>
    <sheetDataSet>
      <sheetData sheetId="0" refreshError="1"/>
      <sheetData sheetId="1" refreshError="1">
        <row r="10">
          <cell r="C10">
            <v>0.65</v>
          </cell>
        </row>
        <row r="11">
          <cell r="C11">
            <v>5.5</v>
          </cell>
        </row>
        <row r="12">
          <cell r="C12">
            <v>0.8</v>
          </cell>
        </row>
        <row r="13">
          <cell r="C13">
            <v>4.9000000000000004</v>
          </cell>
        </row>
        <row r="14">
          <cell r="C14">
            <v>2.7</v>
          </cell>
        </row>
        <row r="15">
          <cell r="C15">
            <v>3.9</v>
          </cell>
        </row>
        <row r="16">
          <cell r="C16">
            <v>5.8</v>
          </cell>
        </row>
        <row r="17">
          <cell r="C17">
            <v>2.8</v>
          </cell>
        </row>
        <row r="18">
          <cell r="C18">
            <v>3.9</v>
          </cell>
        </row>
        <row r="19">
          <cell r="C19">
            <v>1.1000000000000001</v>
          </cell>
        </row>
        <row r="20">
          <cell r="C20">
            <v>0.6</v>
          </cell>
        </row>
        <row r="21">
          <cell r="C21">
            <v>9</v>
          </cell>
        </row>
        <row r="22">
          <cell r="C22">
            <v>13.6</v>
          </cell>
        </row>
        <row r="23">
          <cell r="C23">
            <v>2.2000000000000002</v>
          </cell>
        </row>
        <row r="24">
          <cell r="C24">
            <v>1.7</v>
          </cell>
        </row>
        <row r="25">
          <cell r="C25">
            <v>1.6</v>
          </cell>
        </row>
        <row r="26">
          <cell r="C26">
            <v>2.2999999999999998</v>
          </cell>
        </row>
        <row r="27">
          <cell r="C27">
            <v>4</v>
          </cell>
        </row>
        <row r="29">
          <cell r="C29">
            <v>1</v>
          </cell>
        </row>
        <row r="30">
          <cell r="C30">
            <v>4</v>
          </cell>
        </row>
        <row r="31">
          <cell r="C31">
            <v>10.5</v>
          </cell>
        </row>
        <row r="32">
          <cell r="C32">
            <v>5.2</v>
          </cell>
        </row>
        <row r="33">
          <cell r="C33">
            <v>7.6</v>
          </cell>
        </row>
        <row r="41">
          <cell r="C41">
            <v>4.3</v>
          </cell>
        </row>
        <row r="42">
          <cell r="C42">
            <v>3.9</v>
          </cell>
        </row>
        <row r="43">
          <cell r="C43">
            <v>4.3</v>
          </cell>
        </row>
        <row r="44">
          <cell r="C44">
            <v>7.5</v>
          </cell>
        </row>
        <row r="45">
          <cell r="C45">
            <v>1.7</v>
          </cell>
        </row>
        <row r="46">
          <cell r="C46">
            <v>5.9</v>
          </cell>
        </row>
        <row r="47">
          <cell r="C47">
            <v>1.9</v>
          </cell>
        </row>
        <row r="48">
          <cell r="C48">
            <v>5.6</v>
          </cell>
        </row>
        <row r="49">
          <cell r="C49">
            <v>0.8</v>
          </cell>
        </row>
        <row r="50">
          <cell r="C50">
            <v>2</v>
          </cell>
        </row>
        <row r="51">
          <cell r="C51">
            <v>3.2</v>
          </cell>
        </row>
        <row r="52">
          <cell r="C52">
            <v>0.8</v>
          </cell>
        </row>
        <row r="53">
          <cell r="C53">
            <v>3</v>
          </cell>
        </row>
        <row r="54">
          <cell r="C54">
            <v>2.4</v>
          </cell>
        </row>
        <row r="55">
          <cell r="C55">
            <v>4.2</v>
          </cell>
        </row>
        <row r="56">
          <cell r="C56">
            <v>3</v>
          </cell>
        </row>
        <row r="57">
          <cell r="C57">
            <v>6.2</v>
          </cell>
        </row>
        <row r="58">
          <cell r="C58">
            <v>1.6</v>
          </cell>
        </row>
        <row r="59">
          <cell r="C59">
            <v>4.4000000000000004</v>
          </cell>
        </row>
        <row r="60">
          <cell r="C60">
            <v>4.9000000000000004</v>
          </cell>
        </row>
        <row r="61">
          <cell r="C61">
            <v>3.6</v>
          </cell>
        </row>
        <row r="62">
          <cell r="C62">
            <v>1.5</v>
          </cell>
        </row>
        <row r="63">
          <cell r="C63">
            <v>2.8</v>
          </cell>
        </row>
        <row r="64">
          <cell r="C64">
            <v>1.5</v>
          </cell>
        </row>
        <row r="65">
          <cell r="C65">
            <v>12.7</v>
          </cell>
        </row>
        <row r="66">
          <cell r="C66">
            <v>5.3</v>
          </cell>
        </row>
        <row r="67">
          <cell r="C67">
            <v>3.1</v>
          </cell>
        </row>
        <row r="73">
          <cell r="C73">
            <v>2.5</v>
          </cell>
        </row>
        <row r="74">
          <cell r="C74">
            <v>1.3</v>
          </cell>
        </row>
        <row r="75">
          <cell r="C75">
            <v>0.6</v>
          </cell>
        </row>
        <row r="76">
          <cell r="C76">
            <v>17</v>
          </cell>
        </row>
        <row r="77">
          <cell r="C77">
            <v>2.6</v>
          </cell>
        </row>
        <row r="78">
          <cell r="C78">
            <v>4.3499999999999996</v>
          </cell>
        </row>
        <row r="79">
          <cell r="C79">
            <v>14.1</v>
          </cell>
        </row>
        <row r="86">
          <cell r="C86">
            <v>3.1</v>
          </cell>
        </row>
        <row r="93">
          <cell r="C93">
            <v>4.0999999999999996</v>
          </cell>
        </row>
        <row r="94">
          <cell r="C94">
            <v>7.2</v>
          </cell>
        </row>
        <row r="95">
          <cell r="C95">
            <v>7.8999999999999995</v>
          </cell>
        </row>
        <row r="96">
          <cell r="C96">
            <v>1.1000000000000001</v>
          </cell>
        </row>
        <row r="97">
          <cell r="C97">
            <v>0.4</v>
          </cell>
        </row>
        <row r="98">
          <cell r="C98">
            <v>4.8</v>
          </cell>
        </row>
        <row r="99">
          <cell r="C99">
            <v>12.3</v>
          </cell>
        </row>
        <row r="100">
          <cell r="C100">
            <v>1.3</v>
          </cell>
        </row>
        <row r="101">
          <cell r="C101">
            <v>7.2</v>
          </cell>
        </row>
        <row r="102">
          <cell r="C102">
            <v>7.8</v>
          </cell>
        </row>
        <row r="109">
          <cell r="C109">
            <v>2.1</v>
          </cell>
        </row>
        <row r="110">
          <cell r="C110">
            <v>7.6</v>
          </cell>
        </row>
        <row r="111">
          <cell r="C111">
            <v>3</v>
          </cell>
        </row>
        <row r="112">
          <cell r="C112">
            <v>6.5</v>
          </cell>
        </row>
        <row r="113">
          <cell r="C113">
            <v>6.4</v>
          </cell>
        </row>
        <row r="114">
          <cell r="C114">
            <v>1.6</v>
          </cell>
        </row>
        <row r="115">
          <cell r="C115">
            <v>1.2</v>
          </cell>
        </row>
        <row r="116">
          <cell r="C116">
            <v>4.0999999999999996</v>
          </cell>
        </row>
        <row r="117">
          <cell r="C117">
            <v>1.3</v>
          </cell>
        </row>
        <row r="118">
          <cell r="C118">
            <v>0.3</v>
          </cell>
        </row>
        <row r="119">
          <cell r="C119">
            <v>0.8</v>
          </cell>
        </row>
        <row r="120">
          <cell r="C120">
            <v>8.3000000000000007</v>
          </cell>
        </row>
        <row r="121">
          <cell r="C121">
            <v>5.7</v>
          </cell>
        </row>
        <row r="122">
          <cell r="C122">
            <v>9.1999999999999993</v>
          </cell>
        </row>
        <row r="123">
          <cell r="C123">
            <v>4.5</v>
          </cell>
        </row>
        <row r="124">
          <cell r="C124">
            <v>2</v>
          </cell>
        </row>
        <row r="125">
          <cell r="C125">
            <v>3</v>
          </cell>
        </row>
        <row r="126">
          <cell r="C126">
            <v>5.1000000000000005</v>
          </cell>
        </row>
        <row r="127">
          <cell r="C127">
            <v>3.6</v>
          </cell>
        </row>
        <row r="128">
          <cell r="C128">
            <v>5.6999999999999993</v>
          </cell>
        </row>
        <row r="129">
          <cell r="C129">
            <v>1.65</v>
          </cell>
        </row>
        <row r="130">
          <cell r="C130">
            <v>3.8000000000000003</v>
          </cell>
        </row>
        <row r="131">
          <cell r="C131">
            <v>1.9</v>
          </cell>
        </row>
        <row r="132">
          <cell r="C132">
            <v>1.5999999999999999</v>
          </cell>
        </row>
        <row r="133">
          <cell r="C133">
            <v>1.6</v>
          </cell>
        </row>
        <row r="136">
          <cell r="C136">
            <v>2.6</v>
          </cell>
        </row>
        <row r="137">
          <cell r="C137">
            <v>2.7</v>
          </cell>
        </row>
        <row r="138">
          <cell r="C138">
            <v>1.7</v>
          </cell>
        </row>
        <row r="139">
          <cell r="C139">
            <v>5.5</v>
          </cell>
        </row>
        <row r="140">
          <cell r="C140">
            <v>0.5</v>
          </cell>
        </row>
        <row r="141">
          <cell r="C141">
            <v>2.1</v>
          </cell>
        </row>
        <row r="142">
          <cell r="C142">
            <v>0.2</v>
          </cell>
        </row>
        <row r="149">
          <cell r="C149">
            <v>3</v>
          </cell>
        </row>
        <row r="150">
          <cell r="C150">
            <v>0.7</v>
          </cell>
        </row>
        <row r="151">
          <cell r="C151">
            <v>0.6</v>
          </cell>
        </row>
        <row r="152">
          <cell r="C152">
            <v>3.8</v>
          </cell>
        </row>
        <row r="153">
          <cell r="C153">
            <v>1.9000000000000001</v>
          </cell>
        </row>
        <row r="154">
          <cell r="C154">
            <v>15.7</v>
          </cell>
        </row>
        <row r="155">
          <cell r="C155">
            <v>3.8</v>
          </cell>
        </row>
        <row r="156">
          <cell r="C156">
            <v>5.4</v>
          </cell>
        </row>
        <row r="157">
          <cell r="C157">
            <v>4.2</v>
          </cell>
        </row>
        <row r="158">
          <cell r="C158">
            <v>1.2</v>
          </cell>
        </row>
        <row r="159">
          <cell r="C159">
            <v>2.8</v>
          </cell>
        </row>
        <row r="160">
          <cell r="C160">
            <v>2.5</v>
          </cell>
        </row>
        <row r="161">
          <cell r="C161">
            <v>0.5</v>
          </cell>
        </row>
        <row r="162">
          <cell r="C162">
            <v>3.2</v>
          </cell>
        </row>
        <row r="169">
          <cell r="C169">
            <v>12.9</v>
          </cell>
        </row>
        <row r="170">
          <cell r="C170">
            <v>5.6</v>
          </cell>
        </row>
        <row r="179">
          <cell r="C179">
            <v>0.63</v>
          </cell>
        </row>
        <row r="180">
          <cell r="C180">
            <v>2.5</v>
          </cell>
        </row>
        <row r="181">
          <cell r="C181">
            <v>7.3</v>
          </cell>
        </row>
        <row r="182">
          <cell r="C182">
            <v>15.4</v>
          </cell>
        </row>
        <row r="183">
          <cell r="C183">
            <v>8.4</v>
          </cell>
        </row>
        <row r="184">
          <cell r="C184">
            <v>1.5</v>
          </cell>
        </row>
        <row r="185">
          <cell r="C185">
            <v>9.5</v>
          </cell>
        </row>
        <row r="186">
          <cell r="C186">
            <v>10.700000000000001</v>
          </cell>
        </row>
        <row r="187">
          <cell r="C187">
            <v>8.6</v>
          </cell>
        </row>
        <row r="188">
          <cell r="C188">
            <v>3.4</v>
          </cell>
        </row>
        <row r="189">
          <cell r="C189">
            <v>13.5</v>
          </cell>
        </row>
        <row r="190">
          <cell r="C190">
            <v>8.9</v>
          </cell>
        </row>
        <row r="193">
          <cell r="C193">
            <v>3.25</v>
          </cell>
        </row>
        <row r="194">
          <cell r="C194">
            <v>6.1</v>
          </cell>
        </row>
        <row r="195">
          <cell r="C195">
            <v>4.4000000000000004</v>
          </cell>
        </row>
        <row r="196">
          <cell r="C196">
            <v>17</v>
          </cell>
        </row>
        <row r="197">
          <cell r="C197">
            <v>8.3000000000000007</v>
          </cell>
        </row>
        <row r="204">
          <cell r="C204">
            <v>11.3</v>
          </cell>
        </row>
        <row r="205">
          <cell r="C205">
            <v>12.5</v>
          </cell>
        </row>
        <row r="206">
          <cell r="C206">
            <v>5.5</v>
          </cell>
        </row>
        <row r="207">
          <cell r="C207">
            <v>10.75</v>
          </cell>
        </row>
        <row r="208">
          <cell r="C208">
            <v>19.52</v>
          </cell>
        </row>
        <row r="209">
          <cell r="C209">
            <v>5.0999999999999996</v>
          </cell>
        </row>
        <row r="210">
          <cell r="C210">
            <v>17</v>
          </cell>
        </row>
        <row r="211">
          <cell r="C211">
            <v>6</v>
          </cell>
        </row>
        <row r="218">
          <cell r="C218">
            <v>19.299999999999997</v>
          </cell>
        </row>
        <row r="219">
          <cell r="C219">
            <v>8.7999999999999989</v>
          </cell>
        </row>
        <row r="220">
          <cell r="C220">
            <v>7.8999999999999995</v>
          </cell>
        </row>
        <row r="221">
          <cell r="C221">
            <v>23.2</v>
          </cell>
        </row>
        <row r="222">
          <cell r="C222">
            <v>3.3</v>
          </cell>
        </row>
        <row r="223">
          <cell r="C223">
            <v>9.6</v>
          </cell>
        </row>
        <row r="224">
          <cell r="C224">
            <v>8.3000000000000007</v>
          </cell>
        </row>
        <row r="225">
          <cell r="C225">
            <v>4.2</v>
          </cell>
        </row>
        <row r="232">
          <cell r="C232">
            <v>3</v>
          </cell>
        </row>
        <row r="233">
          <cell r="C233">
            <v>5</v>
          </cell>
        </row>
        <row r="234">
          <cell r="C234">
            <v>11</v>
          </cell>
        </row>
        <row r="235">
          <cell r="C235">
            <v>4</v>
          </cell>
        </row>
        <row r="236">
          <cell r="C236">
            <v>4.5999999999999996</v>
          </cell>
        </row>
        <row r="243">
          <cell r="C243">
            <v>11</v>
          </cell>
        </row>
        <row r="244">
          <cell r="C244">
            <v>2.9</v>
          </cell>
        </row>
        <row r="245">
          <cell r="C245">
            <v>7</v>
          </cell>
        </row>
        <row r="249">
          <cell r="C249">
            <v>2.7</v>
          </cell>
        </row>
        <row r="250">
          <cell r="C250">
            <v>2.3000000000000003</v>
          </cell>
        </row>
        <row r="251">
          <cell r="C251">
            <v>3.7</v>
          </cell>
        </row>
        <row r="252">
          <cell r="C252">
            <v>2.7</v>
          </cell>
        </row>
        <row r="253">
          <cell r="C253">
            <v>20</v>
          </cell>
        </row>
        <row r="254">
          <cell r="C254">
            <v>8.6999999999999993</v>
          </cell>
        </row>
        <row r="255">
          <cell r="C255">
            <v>7.1999999999999993</v>
          </cell>
        </row>
        <row r="256">
          <cell r="C256">
            <v>4.8</v>
          </cell>
        </row>
        <row r="257">
          <cell r="C257">
            <v>6</v>
          </cell>
        </row>
        <row r="258">
          <cell r="C258">
            <v>5.2</v>
          </cell>
        </row>
        <row r="259">
          <cell r="C259">
            <v>4.4000000000000004</v>
          </cell>
        </row>
        <row r="266">
          <cell r="C266">
            <v>28</v>
          </cell>
        </row>
        <row r="267">
          <cell r="C267">
            <v>1.8</v>
          </cell>
        </row>
        <row r="268">
          <cell r="C268">
            <v>1.9</v>
          </cell>
        </row>
        <row r="269">
          <cell r="C269">
            <v>9</v>
          </cell>
        </row>
        <row r="270">
          <cell r="C270">
            <v>2.2000000000000002</v>
          </cell>
        </row>
        <row r="271">
          <cell r="C271">
            <v>3.5</v>
          </cell>
        </row>
        <row r="272">
          <cell r="C272">
            <v>2.8</v>
          </cell>
        </row>
        <row r="273">
          <cell r="C273">
            <v>5.5</v>
          </cell>
        </row>
        <row r="274">
          <cell r="C274">
            <v>2.8</v>
          </cell>
        </row>
        <row r="275">
          <cell r="C275">
            <v>1.3</v>
          </cell>
        </row>
        <row r="276">
          <cell r="C276">
            <v>3.2</v>
          </cell>
        </row>
        <row r="283">
          <cell r="C283">
            <v>12.700000000000001</v>
          </cell>
        </row>
        <row r="284">
          <cell r="C284">
            <v>6.6</v>
          </cell>
        </row>
        <row r="285">
          <cell r="C285">
            <v>5</v>
          </cell>
        </row>
        <row r="286">
          <cell r="C286">
            <v>1.1000000000000001</v>
          </cell>
        </row>
        <row r="287">
          <cell r="C287">
            <v>5.2</v>
          </cell>
        </row>
        <row r="288">
          <cell r="C288">
            <v>5.3000000000000007</v>
          </cell>
        </row>
        <row r="289">
          <cell r="C289">
            <v>3.8</v>
          </cell>
        </row>
        <row r="290">
          <cell r="C290">
            <v>9.3000000000000007</v>
          </cell>
        </row>
        <row r="298">
          <cell r="C298">
            <v>15.87</v>
          </cell>
        </row>
        <row r="299">
          <cell r="C299">
            <v>0.37</v>
          </cell>
        </row>
        <row r="300">
          <cell r="C300">
            <v>1.8599999999999999</v>
          </cell>
        </row>
        <row r="301">
          <cell r="C301">
            <v>2</v>
          </cell>
        </row>
        <row r="302">
          <cell r="C302">
            <v>3.38</v>
          </cell>
        </row>
        <row r="303">
          <cell r="C303">
            <v>0.1</v>
          </cell>
        </row>
        <row r="307">
          <cell r="C307">
            <v>3.8</v>
          </cell>
        </row>
        <row r="308">
          <cell r="C308">
            <v>4.3</v>
          </cell>
        </row>
        <row r="309">
          <cell r="C309">
            <v>2.6</v>
          </cell>
        </row>
        <row r="310">
          <cell r="C310">
            <v>0.8</v>
          </cell>
        </row>
        <row r="311">
          <cell r="C311">
            <v>0.7</v>
          </cell>
        </row>
        <row r="318">
          <cell r="C318">
            <v>4.5</v>
          </cell>
        </row>
        <row r="319">
          <cell r="C319">
            <v>2.75</v>
          </cell>
        </row>
        <row r="326">
          <cell r="C326">
            <v>1.5</v>
          </cell>
        </row>
        <row r="327">
          <cell r="C327">
            <v>0.2</v>
          </cell>
        </row>
        <row r="328">
          <cell r="C328">
            <v>3.6</v>
          </cell>
        </row>
        <row r="329">
          <cell r="C329">
            <v>20.5</v>
          </cell>
        </row>
        <row r="330">
          <cell r="C330">
            <v>13.5</v>
          </cell>
        </row>
        <row r="331">
          <cell r="C331">
            <v>5.7</v>
          </cell>
        </row>
        <row r="332">
          <cell r="C332">
            <v>25.54</v>
          </cell>
        </row>
        <row r="333">
          <cell r="C333">
            <v>9.4</v>
          </cell>
        </row>
        <row r="334">
          <cell r="C334">
            <v>2.42</v>
          </cell>
        </row>
        <row r="335">
          <cell r="C335">
            <v>4.9000000000000004</v>
          </cell>
        </row>
        <row r="336">
          <cell r="C336">
            <v>16</v>
          </cell>
        </row>
        <row r="337">
          <cell r="C337">
            <v>1.7</v>
          </cell>
        </row>
        <row r="338">
          <cell r="C338">
            <v>12</v>
          </cell>
        </row>
        <row r="345">
          <cell r="C345">
            <v>0.504</v>
          </cell>
        </row>
        <row r="346">
          <cell r="C346">
            <v>0.158</v>
          </cell>
        </row>
        <row r="347">
          <cell r="C347">
            <v>0.74199999999999999</v>
          </cell>
        </row>
        <row r="348">
          <cell r="C348">
            <v>10.9</v>
          </cell>
        </row>
        <row r="349">
          <cell r="C349">
            <v>10.5</v>
          </cell>
        </row>
        <row r="350">
          <cell r="C350">
            <v>17.5</v>
          </cell>
        </row>
        <row r="351">
          <cell r="C351">
            <v>3.5</v>
          </cell>
        </row>
        <row r="352">
          <cell r="C352">
            <v>1.58</v>
          </cell>
        </row>
        <row r="359">
          <cell r="C359">
            <v>17</v>
          </cell>
        </row>
        <row r="360">
          <cell r="C360">
            <v>1.8</v>
          </cell>
        </row>
        <row r="361">
          <cell r="C361">
            <v>5.3</v>
          </cell>
        </row>
        <row r="365">
          <cell r="C365">
            <v>3.9000000000000004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SPILLWAY AND OTHER STRUCTURES"/>
      <sheetName val="BRIDGE"/>
      <sheetName val="CULVERT"/>
      <sheetName val="SUMMARY"/>
    </sheetNames>
    <sheetDataSet>
      <sheetData sheetId="0" refreshError="1"/>
      <sheetData sheetId="1" refreshError="1"/>
      <sheetData sheetId="2" refreshError="1">
        <row r="13">
          <cell r="D13">
            <v>11.456999999999999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360">
          <cell r="V360">
            <v>4.8800000000000008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ARRIAGEWAY"/>
      <sheetName val="PLACES"/>
      <sheetName val="CULVERT"/>
      <sheetName val="SPILLWAY AND OTHER STRUCTURES"/>
      <sheetName val="BRIDGE"/>
    </sheetNames>
    <sheetDataSet>
      <sheetData sheetId="0" refreshError="1"/>
      <sheetData sheetId="1" refreshError="1">
        <row r="360">
          <cell r="V360">
            <v>1.9590000000000001</v>
          </cell>
          <cell r="X360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 refreshError="1"/>
      <sheetData sheetId="1" refreshError="1"/>
      <sheetData sheetId="2" refreshError="1">
        <row r="13">
          <cell r="D13">
            <v>2.9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 refreshError="1"/>
      <sheetData sheetId="1" refreshError="1"/>
      <sheetData sheetId="2" refreshError="1">
        <row r="13">
          <cell r="D13">
            <v>7.016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360">
          <cell r="V360">
            <v>0.27400000000000002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CULVERT"/>
      <sheetName val="SPILLWAY AND OTHER STRUCTURES"/>
      <sheetName val="BRIDGE"/>
      <sheetName val="SUMMARY"/>
    </sheetNames>
    <sheetDataSet>
      <sheetData sheetId="0" refreshError="1"/>
      <sheetData sheetId="1" refreshError="1"/>
      <sheetData sheetId="2" refreshError="1">
        <row r="13">
          <cell r="D13">
            <v>3.1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360">
          <cell r="V360">
            <v>1.5590000000000002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CULVERT"/>
      <sheetName val="SPILLWAY AND OTHER STRUCTURES"/>
      <sheetName val="BRIDGE"/>
      <sheetName val="SUMMARY"/>
    </sheetNames>
    <sheetDataSet>
      <sheetData sheetId="0" refreshError="1"/>
      <sheetData sheetId="1" refreshError="1"/>
      <sheetData sheetId="2" refreshError="1">
        <row r="13">
          <cell r="D13">
            <v>2.323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360">
          <cell r="V360">
            <v>2.1819999999999999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CULVERT"/>
      <sheetName val="SPILLWAY AND OTHER STRUCTURES"/>
      <sheetName val="BRIDGE"/>
      <sheetName val="SUMMARY"/>
    </sheetNames>
    <sheetDataSet>
      <sheetData sheetId="0" refreshError="1"/>
      <sheetData sheetId="1" refreshError="1"/>
      <sheetData sheetId="2" refreshError="1">
        <row r="13">
          <cell r="D13">
            <v>3.7970000000000002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CULVERT"/>
      <sheetName val="SPILLWAY AND OTHER STRUCTURES"/>
      <sheetName val="BRIDGE"/>
      <sheetName val="SUMMARY"/>
    </sheetNames>
    <sheetDataSet>
      <sheetData sheetId="0" refreshError="1"/>
      <sheetData sheetId="1" refreshError="1"/>
      <sheetData sheetId="2" refreshError="1">
        <row r="13">
          <cell r="D13">
            <v>2.7849999999999997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ARRIAGEWAY"/>
      <sheetName val="PLACES"/>
      <sheetName val="CULVERT"/>
      <sheetName val="SPILLWAY AND OTHER STRUCTURES"/>
      <sheetName val="BRIDGE"/>
    </sheetNames>
    <sheetDataSet>
      <sheetData sheetId="0" refreshError="1"/>
      <sheetData sheetId="1" refreshError="1">
        <row r="360">
          <cell r="V360">
            <v>0</v>
          </cell>
          <cell r="X360">
            <v>0</v>
          </cell>
          <cell r="Y360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CULVERT"/>
      <sheetName val="SPILLWAY AND OTHER STRUCTURES"/>
      <sheetName val="BRIDGE"/>
      <sheetName val="SUMMARY"/>
    </sheetNames>
    <sheetDataSet>
      <sheetData sheetId="0" refreshError="1"/>
      <sheetData sheetId="1" refreshError="1"/>
      <sheetData sheetId="2" refreshError="1">
        <row r="13">
          <cell r="D13">
            <v>5.3309999999999995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 refreshError="1"/>
      <sheetData sheetId="1" refreshError="1"/>
      <sheetData sheetId="2" refreshError="1">
        <row r="13">
          <cell r="D13">
            <v>4.4809999999999999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CULVERT"/>
      <sheetName val="SPILLWAY AND OTHER STRUCTURES"/>
      <sheetName val="BRIDGE"/>
      <sheetName val="SUMMARY"/>
    </sheetNames>
    <sheetDataSet>
      <sheetData sheetId="0" refreshError="1"/>
      <sheetData sheetId="1" refreshError="1"/>
      <sheetData sheetId="2" refreshError="1">
        <row r="13">
          <cell r="D13">
            <v>3.0760000000000005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CULVERT"/>
      <sheetName val="SPILLWAY AND OTHER STRUCTURES"/>
      <sheetName val="BRIDGE"/>
      <sheetName val="SUMMARY"/>
    </sheetNames>
    <sheetDataSet>
      <sheetData sheetId="0" refreshError="1"/>
      <sheetData sheetId="1" refreshError="1"/>
      <sheetData sheetId="2" refreshError="1">
        <row r="13">
          <cell r="D13">
            <v>5.0560000000000009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SPILLWAY AND OTHER STRUCTURES"/>
      <sheetName val="CULVERT"/>
      <sheetName val="SUMMARY"/>
    </sheetNames>
    <sheetDataSet>
      <sheetData sheetId="0" refreshError="1"/>
      <sheetData sheetId="1" refreshError="1"/>
      <sheetData sheetId="2" refreshError="1">
        <row r="13">
          <cell r="D13">
            <v>11.209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CULVERT"/>
      <sheetName val="SPILLWAY AND OTHER STRUCTURES"/>
      <sheetName val="BRIDGE"/>
      <sheetName val="SUMMARY"/>
    </sheetNames>
    <sheetDataSet>
      <sheetData sheetId="0" refreshError="1"/>
      <sheetData sheetId="1" refreshError="1"/>
      <sheetData sheetId="2" refreshError="1">
        <row r="13">
          <cell r="D13">
            <v>4.0670000000000002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 refreshError="1"/>
      <sheetData sheetId="1" refreshError="1"/>
      <sheetData sheetId="2" refreshError="1">
        <row r="13">
          <cell r="D13">
            <v>4.7160000000000002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 refreshError="1"/>
      <sheetData sheetId="1" refreshError="1"/>
      <sheetData sheetId="2" refreshError="1">
        <row r="13">
          <cell r="D13">
            <v>1.59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 refreshError="1"/>
      <sheetData sheetId="1" refreshError="1"/>
      <sheetData sheetId="2" refreshError="1">
        <row r="13">
          <cell r="D13">
            <v>6.319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SPILLWAY AND OTHER STRUCTURES"/>
      <sheetName val="CULVERT"/>
      <sheetName val="BRIDGE"/>
      <sheetName val="SUMMARY"/>
    </sheetNames>
    <sheetDataSet>
      <sheetData sheetId="0" refreshError="1"/>
      <sheetData sheetId="1" refreshError="1"/>
      <sheetData sheetId="2" refreshError="1">
        <row r="13">
          <cell r="D13">
            <v>8.4459999999999997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/>
      <sheetData sheetId="1"/>
      <sheetData sheetId="2">
        <row r="365">
          <cell r="V365">
            <v>10.639999999999999</v>
          </cell>
        </row>
        <row r="367">
          <cell r="V367">
            <v>11.565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 refreshError="1"/>
      <sheetData sheetId="1" refreshError="1"/>
      <sheetData sheetId="2" refreshError="1">
        <row r="13">
          <cell r="D13">
            <v>10.984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oad inventory 2018"/>
      <sheetName val="BRIDGE INVENTORY"/>
      <sheetName val="UPDATED (2019)"/>
      <sheetName val="GOOD TO FAIR"/>
      <sheetName val="condition sum"/>
      <sheetName val="Sheet1"/>
      <sheetName val="condition sum (2020)"/>
    </sheetNames>
    <sheetDataSet>
      <sheetData sheetId="0" refreshError="1"/>
      <sheetData sheetId="1" refreshError="1">
        <row r="10">
          <cell r="C10">
            <v>0.65</v>
          </cell>
        </row>
        <row r="11">
          <cell r="C11">
            <v>5.5</v>
          </cell>
        </row>
        <row r="12">
          <cell r="C12">
            <v>0.8</v>
          </cell>
        </row>
        <row r="13">
          <cell r="C13">
            <v>4.9000000000000004</v>
          </cell>
        </row>
        <row r="14">
          <cell r="C14">
            <v>2.7</v>
          </cell>
        </row>
        <row r="15">
          <cell r="C15">
            <v>3.9</v>
          </cell>
        </row>
        <row r="16">
          <cell r="C16">
            <v>5.8</v>
          </cell>
        </row>
        <row r="17">
          <cell r="C17">
            <v>2.8</v>
          </cell>
        </row>
        <row r="18">
          <cell r="C18">
            <v>3.9</v>
          </cell>
        </row>
        <row r="19">
          <cell r="C19">
            <v>1.1000000000000001</v>
          </cell>
        </row>
        <row r="20">
          <cell r="C20">
            <v>0.6</v>
          </cell>
        </row>
        <row r="21">
          <cell r="C21">
            <v>9</v>
          </cell>
        </row>
        <row r="22">
          <cell r="C22">
            <v>13.6</v>
          </cell>
        </row>
        <row r="23">
          <cell r="C23">
            <v>2.2000000000000002</v>
          </cell>
        </row>
        <row r="24">
          <cell r="C24">
            <v>1.7</v>
          </cell>
        </row>
        <row r="25">
          <cell r="C25">
            <v>1.6</v>
          </cell>
        </row>
        <row r="26">
          <cell r="C26">
            <v>2.2999999999999998</v>
          </cell>
        </row>
        <row r="27">
          <cell r="C27">
            <v>4</v>
          </cell>
        </row>
        <row r="28">
          <cell r="C28">
            <v>3.2</v>
          </cell>
        </row>
        <row r="29">
          <cell r="C29">
            <v>1</v>
          </cell>
        </row>
        <row r="30">
          <cell r="C30">
            <v>4</v>
          </cell>
        </row>
        <row r="31">
          <cell r="C31">
            <v>10.5</v>
          </cell>
        </row>
        <row r="32">
          <cell r="C32">
            <v>5.2</v>
          </cell>
        </row>
        <row r="33">
          <cell r="C33">
            <v>7.6</v>
          </cell>
        </row>
        <row r="41">
          <cell r="C41">
            <v>4.3</v>
          </cell>
        </row>
        <row r="42">
          <cell r="C42">
            <v>3.9</v>
          </cell>
        </row>
        <row r="43">
          <cell r="C43">
            <v>4.3</v>
          </cell>
        </row>
        <row r="44">
          <cell r="C44">
            <v>7.5</v>
          </cell>
        </row>
        <row r="45">
          <cell r="C45">
            <v>1.7</v>
          </cell>
        </row>
        <row r="46">
          <cell r="C46">
            <v>5.9</v>
          </cell>
        </row>
        <row r="47">
          <cell r="C47">
            <v>1.9</v>
          </cell>
        </row>
        <row r="48">
          <cell r="C48">
            <v>5.6</v>
          </cell>
        </row>
        <row r="49">
          <cell r="C49">
            <v>0.8</v>
          </cell>
        </row>
        <row r="50">
          <cell r="C50">
            <v>2</v>
          </cell>
        </row>
        <row r="51">
          <cell r="C51">
            <v>3.2</v>
          </cell>
        </row>
        <row r="52">
          <cell r="C52">
            <v>0.8</v>
          </cell>
        </row>
        <row r="53">
          <cell r="C53">
            <v>3</v>
          </cell>
        </row>
        <row r="54">
          <cell r="C54">
            <v>2.4</v>
          </cell>
        </row>
        <row r="55">
          <cell r="C55">
            <v>4.2</v>
          </cell>
        </row>
        <row r="56">
          <cell r="C56">
            <v>3</v>
          </cell>
        </row>
        <row r="57">
          <cell r="C57">
            <v>6.2</v>
          </cell>
        </row>
        <row r="58">
          <cell r="C58">
            <v>1.6</v>
          </cell>
        </row>
        <row r="59">
          <cell r="C59">
            <v>4.4000000000000004</v>
          </cell>
        </row>
        <row r="60">
          <cell r="C60">
            <v>4.9000000000000004</v>
          </cell>
        </row>
        <row r="61">
          <cell r="C61">
            <v>3.6</v>
          </cell>
        </row>
        <row r="62">
          <cell r="C62">
            <v>1.5</v>
          </cell>
        </row>
        <row r="63">
          <cell r="C63">
            <v>2.8</v>
          </cell>
        </row>
        <row r="64">
          <cell r="C64">
            <v>1.5</v>
          </cell>
        </row>
        <row r="65">
          <cell r="C65">
            <v>12.7</v>
          </cell>
        </row>
        <row r="66">
          <cell r="C66">
            <v>5.3</v>
          </cell>
        </row>
        <row r="67">
          <cell r="C67">
            <v>3.1</v>
          </cell>
        </row>
        <row r="73">
          <cell r="C73">
            <v>2.5</v>
          </cell>
        </row>
        <row r="74">
          <cell r="C74">
            <v>1.3</v>
          </cell>
        </row>
        <row r="75">
          <cell r="C75">
            <v>0.6</v>
          </cell>
        </row>
        <row r="76">
          <cell r="C76">
            <v>17</v>
          </cell>
        </row>
        <row r="77">
          <cell r="C77">
            <v>2.6</v>
          </cell>
        </row>
        <row r="78">
          <cell r="C78">
            <v>4.3499999999999996</v>
          </cell>
        </row>
        <row r="79">
          <cell r="C79">
            <v>14.1</v>
          </cell>
        </row>
        <row r="86">
          <cell r="C86">
            <v>3.1</v>
          </cell>
        </row>
        <row r="93">
          <cell r="C93">
            <v>4.0999999999999996</v>
          </cell>
        </row>
        <row r="94">
          <cell r="C94">
            <v>7.2</v>
          </cell>
        </row>
        <row r="95">
          <cell r="C95">
            <v>7.8999999999999995</v>
          </cell>
        </row>
        <row r="96">
          <cell r="C96">
            <v>1.1000000000000001</v>
          </cell>
        </row>
        <row r="97">
          <cell r="C97">
            <v>0.4</v>
          </cell>
        </row>
        <row r="98">
          <cell r="C98">
            <v>4.8</v>
          </cell>
        </row>
        <row r="99">
          <cell r="C99">
            <v>12.3</v>
          </cell>
        </row>
        <row r="100">
          <cell r="C100">
            <v>1.3</v>
          </cell>
        </row>
        <row r="101">
          <cell r="C101">
            <v>7.2</v>
          </cell>
        </row>
        <row r="102">
          <cell r="C102">
            <v>7.8</v>
          </cell>
        </row>
        <row r="109">
          <cell r="C109">
            <v>2.1</v>
          </cell>
        </row>
        <row r="110">
          <cell r="C110">
            <v>7.6</v>
          </cell>
        </row>
        <row r="111">
          <cell r="C111">
            <v>3</v>
          </cell>
        </row>
        <row r="112">
          <cell r="C112">
            <v>6.5</v>
          </cell>
        </row>
        <row r="113">
          <cell r="C113">
            <v>6.4</v>
          </cell>
        </row>
        <row r="114">
          <cell r="C114">
            <v>1.6</v>
          </cell>
        </row>
        <row r="115">
          <cell r="C115">
            <v>1.2</v>
          </cell>
        </row>
        <row r="116">
          <cell r="C116">
            <v>4.0999999999999996</v>
          </cell>
        </row>
        <row r="117">
          <cell r="C117">
            <v>1.3</v>
          </cell>
        </row>
        <row r="118">
          <cell r="C118">
            <v>0.3</v>
          </cell>
        </row>
        <row r="119">
          <cell r="C119">
            <v>0.8</v>
          </cell>
        </row>
        <row r="120">
          <cell r="C120">
            <v>8.3000000000000007</v>
          </cell>
        </row>
        <row r="121">
          <cell r="C121">
            <v>5.7</v>
          </cell>
        </row>
        <row r="122">
          <cell r="C122">
            <v>9.1999999999999993</v>
          </cell>
        </row>
        <row r="123">
          <cell r="C123">
            <v>4.5</v>
          </cell>
        </row>
        <row r="124">
          <cell r="C124">
            <v>2</v>
          </cell>
        </row>
        <row r="125">
          <cell r="C125">
            <v>3</v>
          </cell>
        </row>
        <row r="126">
          <cell r="C126">
            <v>5.1000000000000005</v>
          </cell>
        </row>
        <row r="127">
          <cell r="C127">
            <v>3.6</v>
          </cell>
        </row>
        <row r="128">
          <cell r="C128">
            <v>5.6999999999999993</v>
          </cell>
        </row>
        <row r="129">
          <cell r="C129">
            <v>1.65</v>
          </cell>
        </row>
        <row r="130">
          <cell r="C130">
            <v>3.8000000000000003</v>
          </cell>
        </row>
        <row r="131">
          <cell r="C131">
            <v>1.9</v>
          </cell>
        </row>
        <row r="132">
          <cell r="C132">
            <v>1.5999999999999999</v>
          </cell>
        </row>
        <row r="133">
          <cell r="C133">
            <v>1.6</v>
          </cell>
        </row>
        <row r="136">
          <cell r="C136">
            <v>2.6</v>
          </cell>
        </row>
        <row r="137">
          <cell r="C137">
            <v>2.7</v>
          </cell>
        </row>
        <row r="138">
          <cell r="C138">
            <v>1.7</v>
          </cell>
        </row>
        <row r="139">
          <cell r="C139">
            <v>5.5</v>
          </cell>
        </row>
        <row r="140">
          <cell r="C140">
            <v>0.5</v>
          </cell>
        </row>
        <row r="141">
          <cell r="C141">
            <v>2.1</v>
          </cell>
        </row>
        <row r="142">
          <cell r="C142">
            <v>0.2</v>
          </cell>
        </row>
        <row r="149">
          <cell r="C149">
            <v>3</v>
          </cell>
        </row>
        <row r="150">
          <cell r="C150">
            <v>0.7</v>
          </cell>
        </row>
        <row r="151">
          <cell r="C151">
            <v>0.6</v>
          </cell>
        </row>
        <row r="152">
          <cell r="C152">
            <v>3.8</v>
          </cell>
        </row>
        <row r="153">
          <cell r="C153">
            <v>1.9000000000000001</v>
          </cell>
        </row>
        <row r="154">
          <cell r="C154">
            <v>15.7</v>
          </cell>
        </row>
        <row r="155">
          <cell r="C155">
            <v>3.8</v>
          </cell>
        </row>
        <row r="156">
          <cell r="C156">
            <v>5.4</v>
          </cell>
        </row>
        <row r="157">
          <cell r="C157">
            <v>4.2</v>
          </cell>
        </row>
        <row r="158">
          <cell r="C158">
            <v>1.2</v>
          </cell>
        </row>
        <row r="159">
          <cell r="C159">
            <v>2.8</v>
          </cell>
        </row>
        <row r="160">
          <cell r="C160">
            <v>2.5</v>
          </cell>
        </row>
        <row r="161">
          <cell r="C161">
            <v>0.5</v>
          </cell>
        </row>
        <row r="162">
          <cell r="C162">
            <v>3.2</v>
          </cell>
        </row>
        <row r="169">
          <cell r="C169">
            <v>12.9</v>
          </cell>
        </row>
        <row r="170">
          <cell r="C170">
            <v>5.6</v>
          </cell>
        </row>
        <row r="179">
          <cell r="C179">
            <v>0.63</v>
          </cell>
        </row>
        <row r="180">
          <cell r="C180">
            <v>2.5</v>
          </cell>
        </row>
        <row r="181">
          <cell r="C181">
            <v>7.3</v>
          </cell>
        </row>
        <row r="182">
          <cell r="C182">
            <v>15.4</v>
          </cell>
        </row>
        <row r="183">
          <cell r="C183">
            <v>8.4</v>
          </cell>
        </row>
        <row r="184">
          <cell r="C184">
            <v>1.5</v>
          </cell>
        </row>
        <row r="185">
          <cell r="C185">
            <v>9.5</v>
          </cell>
        </row>
        <row r="186">
          <cell r="C186">
            <v>10.700000000000001</v>
          </cell>
        </row>
        <row r="187">
          <cell r="C187">
            <v>8.6</v>
          </cell>
        </row>
        <row r="188">
          <cell r="C188">
            <v>3.4</v>
          </cell>
        </row>
        <row r="189">
          <cell r="C189">
            <v>13.5</v>
          </cell>
        </row>
        <row r="190">
          <cell r="C190">
            <v>8.9</v>
          </cell>
        </row>
        <row r="193">
          <cell r="C193">
            <v>3.25</v>
          </cell>
        </row>
        <row r="194">
          <cell r="C194">
            <v>6.1</v>
          </cell>
        </row>
        <row r="195">
          <cell r="C195">
            <v>4.4000000000000004</v>
          </cell>
        </row>
        <row r="196">
          <cell r="C196">
            <v>17</v>
          </cell>
        </row>
        <row r="197">
          <cell r="C197">
            <v>8.3000000000000007</v>
          </cell>
        </row>
        <row r="204">
          <cell r="C204">
            <v>11.3</v>
          </cell>
        </row>
        <row r="205">
          <cell r="C205">
            <v>12.5</v>
          </cell>
        </row>
        <row r="206">
          <cell r="C206">
            <v>5.5</v>
          </cell>
        </row>
        <row r="207">
          <cell r="C207">
            <v>10.75</v>
          </cell>
        </row>
        <row r="208">
          <cell r="C208">
            <v>19.52</v>
          </cell>
        </row>
        <row r="209">
          <cell r="C209">
            <v>5.0999999999999996</v>
          </cell>
        </row>
        <row r="210">
          <cell r="C210">
            <v>17</v>
          </cell>
        </row>
        <row r="211">
          <cell r="C211">
            <v>6</v>
          </cell>
        </row>
        <row r="218">
          <cell r="C218">
            <v>19.299999999999997</v>
          </cell>
        </row>
        <row r="219">
          <cell r="C219">
            <v>8.7999999999999989</v>
          </cell>
        </row>
        <row r="220">
          <cell r="C220">
            <v>7.8999999999999995</v>
          </cell>
        </row>
        <row r="221">
          <cell r="C221">
            <v>23.2</v>
          </cell>
        </row>
        <row r="222">
          <cell r="C222">
            <v>3.3</v>
          </cell>
        </row>
        <row r="223">
          <cell r="C223">
            <v>9.6</v>
          </cell>
        </row>
        <row r="224">
          <cell r="C224">
            <v>8.3000000000000007</v>
          </cell>
        </row>
        <row r="225">
          <cell r="C225">
            <v>4.2</v>
          </cell>
        </row>
        <row r="232">
          <cell r="C232">
            <v>3</v>
          </cell>
        </row>
        <row r="233">
          <cell r="C233">
            <v>5</v>
          </cell>
        </row>
        <row r="234">
          <cell r="C234">
            <v>11</v>
          </cell>
        </row>
        <row r="235">
          <cell r="C235">
            <v>4</v>
          </cell>
        </row>
        <row r="236">
          <cell r="C236">
            <v>4.5999999999999996</v>
          </cell>
        </row>
        <row r="243">
          <cell r="C243">
            <v>11</v>
          </cell>
        </row>
        <row r="244">
          <cell r="C244">
            <v>2.9</v>
          </cell>
        </row>
        <row r="245">
          <cell r="C245">
            <v>7</v>
          </cell>
        </row>
        <row r="249">
          <cell r="C249">
            <v>2.7</v>
          </cell>
        </row>
        <row r="250">
          <cell r="C250">
            <v>2.3000000000000003</v>
          </cell>
        </row>
        <row r="251">
          <cell r="C251">
            <v>3.7</v>
          </cell>
        </row>
        <row r="252">
          <cell r="C252">
            <v>2.7</v>
          </cell>
        </row>
        <row r="253">
          <cell r="C253">
            <v>20</v>
          </cell>
        </row>
        <row r="254">
          <cell r="C254">
            <v>8.6999999999999993</v>
          </cell>
        </row>
        <row r="255">
          <cell r="C255">
            <v>7.1999999999999993</v>
          </cell>
        </row>
        <row r="256">
          <cell r="C256">
            <v>4.8</v>
          </cell>
        </row>
        <row r="257">
          <cell r="C257">
            <v>6</v>
          </cell>
        </row>
        <row r="258">
          <cell r="C258">
            <v>5.2</v>
          </cell>
        </row>
        <row r="259">
          <cell r="C259">
            <v>4.4000000000000004</v>
          </cell>
        </row>
        <row r="266">
          <cell r="C266">
            <v>28</v>
          </cell>
        </row>
        <row r="267">
          <cell r="C267">
            <v>1.8</v>
          </cell>
        </row>
        <row r="268">
          <cell r="C268">
            <v>1.9</v>
          </cell>
        </row>
        <row r="269">
          <cell r="C269">
            <v>9</v>
          </cell>
        </row>
        <row r="270">
          <cell r="C270">
            <v>2.2000000000000002</v>
          </cell>
        </row>
        <row r="271">
          <cell r="C271">
            <v>3.5</v>
          </cell>
        </row>
        <row r="272">
          <cell r="C272">
            <v>2.8</v>
          </cell>
        </row>
        <row r="273">
          <cell r="C273">
            <v>5.5</v>
          </cell>
        </row>
        <row r="274">
          <cell r="C274">
            <v>2.8</v>
          </cell>
        </row>
        <row r="275">
          <cell r="C275">
            <v>1.3</v>
          </cell>
        </row>
        <row r="276">
          <cell r="C276">
            <v>3.2</v>
          </cell>
        </row>
        <row r="283">
          <cell r="C283">
            <v>12.700000000000001</v>
          </cell>
        </row>
        <row r="284">
          <cell r="C284">
            <v>6.6</v>
          </cell>
        </row>
        <row r="285">
          <cell r="C285">
            <v>5</v>
          </cell>
        </row>
        <row r="286">
          <cell r="C286">
            <v>1.1000000000000001</v>
          </cell>
        </row>
        <row r="287">
          <cell r="C287">
            <v>5.2</v>
          </cell>
        </row>
        <row r="288">
          <cell r="C288">
            <v>5.3000000000000007</v>
          </cell>
        </row>
        <row r="289">
          <cell r="C289">
            <v>3.8</v>
          </cell>
        </row>
        <row r="290">
          <cell r="C290">
            <v>9.3000000000000007</v>
          </cell>
        </row>
        <row r="298">
          <cell r="C298">
            <v>15.87</v>
          </cell>
        </row>
        <row r="299">
          <cell r="C299">
            <v>0.37</v>
          </cell>
        </row>
        <row r="300">
          <cell r="C300">
            <v>1.8599999999999999</v>
          </cell>
        </row>
        <row r="301">
          <cell r="C301">
            <v>2</v>
          </cell>
        </row>
        <row r="302">
          <cell r="C302">
            <v>3.38</v>
          </cell>
        </row>
        <row r="303">
          <cell r="C303">
            <v>0.1</v>
          </cell>
        </row>
        <row r="307">
          <cell r="C307">
            <v>3.8</v>
          </cell>
        </row>
        <row r="308">
          <cell r="C308">
            <v>4.3</v>
          </cell>
        </row>
        <row r="309">
          <cell r="C309">
            <v>2.6</v>
          </cell>
        </row>
        <row r="310">
          <cell r="C310">
            <v>0.8</v>
          </cell>
        </row>
        <row r="311">
          <cell r="C311">
            <v>0.7</v>
          </cell>
        </row>
        <row r="318">
          <cell r="C318">
            <v>4.5</v>
          </cell>
        </row>
        <row r="319">
          <cell r="C319">
            <v>2.75</v>
          </cell>
        </row>
        <row r="326">
          <cell r="C326">
            <v>1.5</v>
          </cell>
        </row>
        <row r="327">
          <cell r="C327">
            <v>0.2</v>
          </cell>
        </row>
        <row r="328">
          <cell r="C328">
            <v>3.6</v>
          </cell>
        </row>
        <row r="329">
          <cell r="C329">
            <v>20.5</v>
          </cell>
        </row>
        <row r="330">
          <cell r="C330">
            <v>13.5</v>
          </cell>
        </row>
        <row r="331">
          <cell r="C331">
            <v>5.7</v>
          </cell>
        </row>
        <row r="332">
          <cell r="C332">
            <v>25.54</v>
          </cell>
        </row>
        <row r="333">
          <cell r="C333">
            <v>9.4</v>
          </cell>
        </row>
        <row r="334">
          <cell r="C334">
            <v>2.42</v>
          </cell>
        </row>
        <row r="335">
          <cell r="C335">
            <v>4.9000000000000004</v>
          </cell>
        </row>
        <row r="336">
          <cell r="C336">
            <v>16</v>
          </cell>
        </row>
        <row r="337">
          <cell r="C337">
            <v>1.7</v>
          </cell>
        </row>
        <row r="338">
          <cell r="C338">
            <v>12</v>
          </cell>
        </row>
        <row r="345">
          <cell r="C345">
            <v>0.504</v>
          </cell>
        </row>
        <row r="346">
          <cell r="C346">
            <v>0.158</v>
          </cell>
        </row>
        <row r="347">
          <cell r="C347">
            <v>0.74199999999999999</v>
          </cell>
        </row>
        <row r="348">
          <cell r="C348">
            <v>10.9</v>
          </cell>
        </row>
        <row r="349">
          <cell r="C349">
            <v>10.5</v>
          </cell>
        </row>
        <row r="350">
          <cell r="C350">
            <v>17.5</v>
          </cell>
        </row>
        <row r="351">
          <cell r="C351">
            <v>3.5</v>
          </cell>
        </row>
        <row r="352">
          <cell r="C352">
            <v>1.58</v>
          </cell>
        </row>
        <row r="359">
          <cell r="C359">
            <v>17</v>
          </cell>
        </row>
        <row r="360">
          <cell r="C360">
            <v>1.8</v>
          </cell>
        </row>
        <row r="361">
          <cell r="C361">
            <v>5.3</v>
          </cell>
        </row>
        <row r="365">
          <cell r="C365">
            <v>3.9000000000000004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ARRIAGEWAY"/>
      <sheetName val="PLACES"/>
      <sheetName val="CULVERT"/>
      <sheetName val="SPILLWAY AND OTHER STRUCTURES"/>
      <sheetName val="BRIDGE"/>
    </sheetNames>
    <sheetDataSet>
      <sheetData sheetId="0" refreshError="1"/>
      <sheetData sheetId="1" refreshError="1">
        <row r="360">
          <cell r="V360">
            <v>1.9590000000000001</v>
          </cell>
          <cell r="X360">
            <v>0</v>
          </cell>
          <cell r="Z360">
            <v>0</v>
          </cell>
        </row>
        <row r="361">
          <cell r="Z361" t="str">
            <v>FAIR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ARRIAGEWAY"/>
      <sheetName val="PLACES"/>
      <sheetName val="CULVERT"/>
      <sheetName val="SPILLWAY AND OTHER STRUCTURES"/>
      <sheetName val="BRIDGE"/>
    </sheetNames>
    <sheetDataSet>
      <sheetData sheetId="0" refreshError="1"/>
      <sheetData sheetId="1" refreshError="1">
        <row r="360">
          <cell r="V360">
            <v>0</v>
          </cell>
          <cell r="X360">
            <v>0</v>
          </cell>
          <cell r="Y360">
            <v>0</v>
          </cell>
        </row>
        <row r="361">
          <cell r="Z361" t="str">
            <v>POOR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 INVENTORY"/>
      <sheetName val="GOOD TO FAIR"/>
    </sheetNames>
    <sheetDataSet>
      <sheetData sheetId="0"/>
      <sheetData sheetId="1">
        <row r="315">
          <cell r="C315">
            <v>918.02600000000007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/>
      <sheetData sheetId="1"/>
      <sheetData sheetId="2">
        <row r="13">
          <cell r="D13">
            <v>7.04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SPILLWAY AND OTHER STRUCTURES"/>
      <sheetName val="CULVERT"/>
      <sheetName val="SUMMARY"/>
    </sheetNames>
    <sheetDataSet>
      <sheetData sheetId="0"/>
      <sheetData sheetId="1"/>
      <sheetData sheetId="2">
        <row r="13">
          <cell r="D13">
            <v>15.472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/>
      <sheetData sheetId="1"/>
      <sheetData sheetId="2">
        <row r="13">
          <cell r="D13">
            <v>8.3879999999999999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CULVERT"/>
      <sheetName val="BRIDGE"/>
      <sheetName val="SPILLWAY AND OTHER STRUCTURES"/>
      <sheetName val="SUMMARY"/>
    </sheetNames>
    <sheetDataSet>
      <sheetData sheetId="0"/>
      <sheetData sheetId="1"/>
      <sheetData sheetId="2">
        <row r="13">
          <cell r="D13">
            <v>9.5949999999999989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SPILLWAY AND OTHER STRUCTURES"/>
      <sheetName val="CULVERT"/>
      <sheetName val="SUMMARY"/>
    </sheetNames>
    <sheetDataSet>
      <sheetData sheetId="0"/>
      <sheetData sheetId="1"/>
      <sheetData sheetId="2">
        <row r="13">
          <cell r="D13">
            <v>11.143000000000001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/>
      <sheetData sheetId="1"/>
      <sheetData sheetId="2">
        <row r="13">
          <cell r="D13">
            <v>8.0359999999999996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SPILLWAY AND OTHER STRUCTURES"/>
      <sheetName val="CULVERT"/>
      <sheetName val="SUMMARY"/>
    </sheetNames>
    <sheetDataSet>
      <sheetData sheetId="0"/>
      <sheetData sheetId="1"/>
      <sheetData sheetId="2">
        <row r="13">
          <cell r="D13">
            <v>13.338000000000001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SPILLWAY AND OTHER STRUCTURES"/>
      <sheetName val="CULVERT"/>
      <sheetName val="BRIDGE"/>
      <sheetName val="SUMMARY"/>
    </sheetNames>
    <sheetDataSet>
      <sheetData sheetId="0"/>
      <sheetData sheetId="1"/>
      <sheetData sheetId="2">
        <row r="13">
          <cell r="D13">
            <v>9.1479999999999997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CULVERT"/>
      <sheetName val="BRIDGE"/>
      <sheetName val="SPILLWAY AND OTHER STRUCTURES"/>
      <sheetName val="SUMMARY"/>
    </sheetNames>
    <sheetDataSet>
      <sheetData sheetId="0"/>
      <sheetData sheetId="1"/>
      <sheetData sheetId="2">
        <row r="13">
          <cell r="D13">
            <v>3.8559999999999999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/>
      <sheetData sheetId="1"/>
      <sheetData sheetId="2">
        <row r="13">
          <cell r="D13">
            <v>5.2159999999999993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SPILLWAY AND OTHER STRUCTURES"/>
      <sheetName val="BRIDGE"/>
      <sheetName val="CULVERT"/>
      <sheetName val="SUMMARY"/>
    </sheetNames>
    <sheetDataSet>
      <sheetData sheetId="0"/>
      <sheetData sheetId="1"/>
      <sheetData sheetId="2">
        <row r="13">
          <cell r="D13">
            <v>17.454000000000001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SPILLWAY AND OTHER STRUCTURES"/>
      <sheetName val="CULVERT"/>
      <sheetName val="SUMMARY"/>
    </sheetNames>
    <sheetDataSet>
      <sheetData sheetId="0"/>
      <sheetData sheetId="1"/>
      <sheetData sheetId="2">
        <row r="13">
          <cell r="D13">
            <v>11.460999999999999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SPILLWAY AND OTHER STRUCTURES"/>
      <sheetName val="BRIDGE"/>
      <sheetName val="CULVERT"/>
      <sheetName val="SUMMARY"/>
    </sheetNames>
    <sheetDataSet>
      <sheetData sheetId="0"/>
      <sheetData sheetId="1"/>
      <sheetData sheetId="2">
        <row r="13">
          <cell r="D13">
            <v>14.598999999999998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/>
      <sheetData sheetId="1"/>
      <sheetData sheetId="2">
        <row r="13">
          <cell r="D13">
            <v>5.5349999999999993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/>
      <sheetData sheetId="1"/>
      <sheetData sheetId="2">
        <row r="13">
          <cell r="D13">
            <v>20.084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BRIDGE"/>
      <sheetName val="CULVERT"/>
      <sheetName val="SPILLWAY AND OTHER STRUCTURES"/>
      <sheetName val="SUMMARY"/>
    </sheetNames>
    <sheetDataSet>
      <sheetData sheetId="0"/>
      <sheetData sheetId="1"/>
      <sheetData sheetId="2">
        <row r="13">
          <cell r="D13">
            <v>5.6609999999999996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CULVERT"/>
      <sheetName val="BRIDGE"/>
      <sheetName val="SPILLWAY AND OTHER STRUCTURES"/>
      <sheetName val="SUMMARY"/>
    </sheetNames>
    <sheetDataSet>
      <sheetData sheetId="0"/>
      <sheetData sheetId="1"/>
      <sheetData sheetId="2">
        <row r="13">
          <cell r="D13">
            <v>17.052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CES"/>
      <sheetName val="CARRIAGEWAY"/>
      <sheetName val="SPILLWAY AND OTHER STRUCTURES"/>
      <sheetName val="BRIDGE"/>
      <sheetName val="CULVERT"/>
      <sheetName val="SUMMARY"/>
    </sheetNames>
    <sheetDataSet>
      <sheetData sheetId="0"/>
      <sheetData sheetId="1"/>
      <sheetData sheetId="2">
        <row r="13">
          <cell r="D13">
            <v>1.925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oad inventory 2018"/>
      <sheetName val="BRIDGE INVENTORY"/>
      <sheetName val="list of bridge"/>
      <sheetName val="CULVERT INVENTORY "/>
      <sheetName val="UPDATED (2019)"/>
      <sheetName val="GOOD TO FAIR"/>
      <sheetName val="POOR TO BAD"/>
      <sheetName val="GOOD"/>
      <sheetName val="FAIR"/>
      <sheetName val="POOR"/>
      <sheetName val="UPLOADED TO RBIS"/>
      <sheetName val="Sheet4"/>
    </sheetNames>
    <sheetDataSet>
      <sheetData sheetId="0"/>
      <sheetData sheetId="1"/>
      <sheetData sheetId="2"/>
      <sheetData sheetId="3">
        <row r="389">
          <cell r="B389" t="str">
            <v xml:space="preserve"> Araceli - Dumaran Road A</v>
          </cell>
          <cell r="C389" t="str">
            <v>Araceli Bridge I</v>
          </cell>
        </row>
        <row r="390">
          <cell r="C390" t="str">
            <v>Km. Sta. 5+900</v>
          </cell>
        </row>
        <row r="392">
          <cell r="C392" t="str">
            <v>Araceli Bridge 2</v>
          </cell>
        </row>
        <row r="393">
          <cell r="C393" t="str">
            <v>Km. Sta. 6+200</v>
          </cell>
        </row>
        <row r="395">
          <cell r="C395" t="str">
            <v>Araceli Bridge 3</v>
          </cell>
        </row>
        <row r="396">
          <cell r="C396" t="str">
            <v>Km. Sta. 18+100</v>
          </cell>
        </row>
        <row r="398">
          <cell r="B398" t="str">
            <v xml:space="preserve"> Mauringen - Balogo Road</v>
          </cell>
          <cell r="C398" t="str">
            <v>Mauringen Bridge</v>
          </cell>
        </row>
        <row r="399">
          <cell r="C399" t="str">
            <v>Km. Sta. 0+600</v>
          </cell>
        </row>
        <row r="401">
          <cell r="B401" t="str">
            <v xml:space="preserve"> Baeng - Balogo Road</v>
          </cell>
          <cell r="C401" t="str">
            <v>Balogo Bridge</v>
          </cell>
        </row>
        <row r="402">
          <cell r="C402" t="str">
            <v>Km. Sta. 2+500</v>
          </cell>
        </row>
        <row r="409">
          <cell r="C409" t="str">
            <v>Km. Sta. 0+100</v>
          </cell>
        </row>
        <row r="412">
          <cell r="C412" t="str">
            <v>Km. Sta. 0+700</v>
          </cell>
        </row>
        <row r="417">
          <cell r="B417" t="str">
            <v xml:space="preserve"> San Nicolas - Borac Road</v>
          </cell>
          <cell r="C417" t="str">
            <v>Borac Bridge</v>
          </cell>
        </row>
        <row r="418">
          <cell r="C418" t="str">
            <v>Km. Sta. 4+200</v>
          </cell>
        </row>
        <row r="420">
          <cell r="C420" t="str">
            <v>San Nicolas Bridge</v>
          </cell>
        </row>
        <row r="421">
          <cell r="C421" t="str">
            <v>Km. Sta. 18+200</v>
          </cell>
        </row>
        <row r="423">
          <cell r="B423" t="str">
            <v xml:space="preserve"> YKR Busuanga Airport Road</v>
          </cell>
          <cell r="C423" t="str">
            <v>Guadalupe Bridge 1</v>
          </cell>
        </row>
        <row r="424">
          <cell r="C424" t="str">
            <v>Km. Sta. 1+600</v>
          </cell>
        </row>
        <row r="426">
          <cell r="C426" t="str">
            <v>Guadalupe Bridge 2</v>
          </cell>
        </row>
        <row r="427">
          <cell r="C427" t="str">
            <v>Km. Sta. 10+700</v>
          </cell>
        </row>
        <row r="429">
          <cell r="B429" t="str">
            <v xml:space="preserve"> San Nicolas - Decabobo Road</v>
          </cell>
          <cell r="C429" t="str">
            <v>San Nicolas Bridge</v>
          </cell>
        </row>
        <row r="430">
          <cell r="C430" t="str">
            <v>Km. Sta. 0+500</v>
          </cell>
        </row>
        <row r="436">
          <cell r="B436" t="str">
            <v xml:space="preserve"> New Busuanga - New Quezon Road</v>
          </cell>
          <cell r="C436" t="str">
            <v>New Busuanga Bridge 1</v>
          </cell>
        </row>
        <row r="437">
          <cell r="C437" t="str">
            <v>Km. Sta. 3+700</v>
          </cell>
        </row>
        <row r="439">
          <cell r="C439" t="str">
            <v>New Busuanga Bridge 2</v>
          </cell>
        </row>
        <row r="440">
          <cell r="C440" t="str">
            <v>Km. Sta. 6+600</v>
          </cell>
        </row>
        <row r="441">
          <cell r="B441" t="str">
            <v xml:space="preserve"> New Quezon Cheey Road</v>
          </cell>
          <cell r="C441" t="str">
            <v>New Quezon Bridge</v>
          </cell>
        </row>
        <row r="444">
          <cell r="B444" t="str">
            <v xml:space="preserve"> Cheey San Jose Road</v>
          </cell>
          <cell r="C444" t="str">
            <v>Cheey Bridge 1</v>
          </cell>
        </row>
        <row r="445">
          <cell r="C445" t="str">
            <v>Km. Sta. 6+800</v>
          </cell>
        </row>
        <row r="447">
          <cell r="C447" t="str">
            <v>Cheey Bridge 2</v>
          </cell>
        </row>
        <row r="448">
          <cell r="C448" t="str">
            <v>Km. Sta. 7+500</v>
          </cell>
        </row>
        <row r="450">
          <cell r="C450" t="str">
            <v>Cheey Bridge 3</v>
          </cell>
        </row>
        <row r="451">
          <cell r="C451" t="str">
            <v>Km. Sta. 8+100</v>
          </cell>
        </row>
        <row r="453">
          <cell r="B453" t="str">
            <v xml:space="preserve"> Sinabayan - Patache Road</v>
          </cell>
          <cell r="C453" t="str">
            <v xml:space="preserve"> Sinabayan Bridge</v>
          </cell>
        </row>
        <row r="460">
          <cell r="B460" t="str">
            <v xml:space="preserve"> Balala - Malaking Patag Road</v>
          </cell>
          <cell r="C460" t="str">
            <v>Malaking Patag Bridge</v>
          </cell>
        </row>
        <row r="461">
          <cell r="C461" t="str">
            <v xml:space="preserve"> Km. Sta. 10+300 </v>
          </cell>
        </row>
        <row r="463">
          <cell r="B463" t="str">
            <v xml:space="preserve"> Cabulihan Malaking Patag Road</v>
          </cell>
          <cell r="C463" t="str">
            <v>Malaking Patag Bridge</v>
          </cell>
        </row>
        <row r="464">
          <cell r="C464" t="str">
            <v xml:space="preserve"> Km. Sta. 4+500 </v>
          </cell>
        </row>
        <row r="466">
          <cell r="B466" t="str">
            <v xml:space="preserve"> Binudac - Botnogan - Malaking Patag Road</v>
          </cell>
          <cell r="C466" t="str">
            <v>Binudac Bridge</v>
          </cell>
        </row>
      </sheetData>
      <sheetData sheetId="4"/>
      <sheetData sheetId="5">
        <row r="37">
          <cell r="A37" t="str">
            <v>MUNICIPALITY OF NARRA</v>
          </cell>
        </row>
        <row r="84">
          <cell r="A84" t="str">
            <v>MUNICIPALITY OF RIZAL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305">
          <cell r="A305" t="str">
            <v>MUNICIPALITY OF MAGSAYSAY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</row>
        <row r="326">
          <cell r="A326" t="str">
            <v>MUNICIPALITY OF AGUTAYA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</row>
        <row r="382">
          <cell r="A382" t="str">
            <v>MUNICIPALITY OF CAGAYANCILLO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E12B-1629-4B8D-924A-E2112943F6A5}">
  <sheetPr>
    <tabColor rgb="FFC00000"/>
    <pageSetUpPr fitToPage="1"/>
  </sheetPr>
  <dimension ref="A1:U176"/>
  <sheetViews>
    <sheetView view="pageBreakPreview" topLeftCell="A145" zoomScale="55" zoomScaleNormal="70" zoomScaleSheetLayoutView="55" zoomScalePageLayoutView="25" workbookViewId="0">
      <selection activeCell="D62" sqref="D62"/>
    </sheetView>
  </sheetViews>
  <sheetFormatPr defaultRowHeight="18" x14ac:dyDescent="0.35"/>
  <cols>
    <col min="1" max="1" width="8.54296875" style="329" customWidth="1"/>
    <col min="2" max="2" width="20.54296875" style="354" customWidth="1"/>
    <col min="3" max="3" width="38.54296875" style="327" customWidth="1"/>
    <col min="4" max="4" width="14.54296875" style="327" customWidth="1"/>
    <col min="5" max="5" width="12.81640625" style="329" hidden="1" customWidth="1"/>
    <col min="6" max="9" width="22.1796875" style="329" customWidth="1"/>
    <col min="10" max="10" width="14.54296875" style="329" customWidth="1"/>
    <col min="11" max="12" width="15.54296875" style="329" customWidth="1"/>
    <col min="13" max="13" width="26.81640625" style="329" customWidth="1"/>
    <col min="14" max="14" width="23.7265625" style="327" customWidth="1"/>
    <col min="15" max="15" width="24.453125" style="452" customWidth="1"/>
    <col min="16" max="16" width="22.54296875" style="327" customWidth="1"/>
    <col min="17" max="17" width="20" style="329" customWidth="1"/>
    <col min="18" max="18" width="15.54296875" style="329" customWidth="1"/>
    <col min="19" max="19" width="16.26953125" style="329" customWidth="1"/>
    <col min="20" max="20" width="9.1796875" style="329" customWidth="1"/>
    <col min="21" max="21" width="9.7265625" style="329" customWidth="1"/>
    <col min="22" max="23" width="9.1796875" style="329" customWidth="1"/>
    <col min="24" max="259" width="8.7265625" style="329"/>
    <col min="260" max="260" width="13.26953125" style="329" customWidth="1"/>
    <col min="261" max="261" width="27.453125" style="329" customWidth="1"/>
    <col min="262" max="263" width="9.54296875" style="329" customWidth="1"/>
    <col min="264" max="264" width="9.7265625" style="329" customWidth="1"/>
    <col min="265" max="265" width="9.54296875" style="329" customWidth="1"/>
    <col min="266" max="266" width="12.54296875" style="329" customWidth="1"/>
    <col min="267" max="267" width="10" style="329" customWidth="1"/>
    <col min="268" max="268" width="9.7265625" style="329" customWidth="1"/>
    <col min="269" max="271" width="9.1796875" style="329" customWidth="1"/>
    <col min="272" max="515" width="8.7265625" style="329"/>
    <col min="516" max="516" width="13.26953125" style="329" customWidth="1"/>
    <col min="517" max="517" width="27.453125" style="329" customWidth="1"/>
    <col min="518" max="519" width="9.54296875" style="329" customWidth="1"/>
    <col min="520" max="520" width="9.7265625" style="329" customWidth="1"/>
    <col min="521" max="521" width="9.54296875" style="329" customWidth="1"/>
    <col min="522" max="522" width="12.54296875" style="329" customWidth="1"/>
    <col min="523" max="523" width="10" style="329" customWidth="1"/>
    <col min="524" max="524" width="9.7265625" style="329" customWidth="1"/>
    <col min="525" max="527" width="9.1796875" style="329" customWidth="1"/>
    <col min="528" max="771" width="8.7265625" style="329"/>
    <col min="772" max="772" width="13.26953125" style="329" customWidth="1"/>
    <col min="773" max="773" width="27.453125" style="329" customWidth="1"/>
    <col min="774" max="775" width="9.54296875" style="329" customWidth="1"/>
    <col min="776" max="776" width="9.7265625" style="329" customWidth="1"/>
    <col min="777" max="777" width="9.54296875" style="329" customWidth="1"/>
    <col min="778" max="778" width="12.54296875" style="329" customWidth="1"/>
    <col min="779" max="779" width="10" style="329" customWidth="1"/>
    <col min="780" max="780" width="9.7265625" style="329" customWidth="1"/>
    <col min="781" max="783" width="9.1796875" style="329" customWidth="1"/>
    <col min="784" max="1027" width="8.7265625" style="329"/>
    <col min="1028" max="1028" width="13.26953125" style="329" customWidth="1"/>
    <col min="1029" max="1029" width="27.453125" style="329" customWidth="1"/>
    <col min="1030" max="1031" width="9.54296875" style="329" customWidth="1"/>
    <col min="1032" max="1032" width="9.7265625" style="329" customWidth="1"/>
    <col min="1033" max="1033" width="9.54296875" style="329" customWidth="1"/>
    <col min="1034" max="1034" width="12.54296875" style="329" customWidth="1"/>
    <col min="1035" max="1035" width="10" style="329" customWidth="1"/>
    <col min="1036" max="1036" width="9.7265625" style="329" customWidth="1"/>
    <col min="1037" max="1039" width="9.1796875" style="329" customWidth="1"/>
    <col min="1040" max="1283" width="8.7265625" style="329"/>
    <col min="1284" max="1284" width="13.26953125" style="329" customWidth="1"/>
    <col min="1285" max="1285" width="27.453125" style="329" customWidth="1"/>
    <col min="1286" max="1287" width="9.54296875" style="329" customWidth="1"/>
    <col min="1288" max="1288" width="9.7265625" style="329" customWidth="1"/>
    <col min="1289" max="1289" width="9.54296875" style="329" customWidth="1"/>
    <col min="1290" max="1290" width="12.54296875" style="329" customWidth="1"/>
    <col min="1291" max="1291" width="10" style="329" customWidth="1"/>
    <col min="1292" max="1292" width="9.7265625" style="329" customWidth="1"/>
    <col min="1293" max="1295" width="9.1796875" style="329" customWidth="1"/>
    <col min="1296" max="1539" width="8.7265625" style="329"/>
    <col min="1540" max="1540" width="13.26953125" style="329" customWidth="1"/>
    <col min="1541" max="1541" width="27.453125" style="329" customWidth="1"/>
    <col min="1542" max="1543" width="9.54296875" style="329" customWidth="1"/>
    <col min="1544" max="1544" width="9.7265625" style="329" customWidth="1"/>
    <col min="1545" max="1545" width="9.54296875" style="329" customWidth="1"/>
    <col min="1546" max="1546" width="12.54296875" style="329" customWidth="1"/>
    <col min="1547" max="1547" width="10" style="329" customWidth="1"/>
    <col min="1548" max="1548" width="9.7265625" style="329" customWidth="1"/>
    <col min="1549" max="1551" width="9.1796875" style="329" customWidth="1"/>
    <col min="1552" max="1795" width="8.7265625" style="329"/>
    <col min="1796" max="1796" width="13.26953125" style="329" customWidth="1"/>
    <col min="1797" max="1797" width="27.453125" style="329" customWidth="1"/>
    <col min="1798" max="1799" width="9.54296875" style="329" customWidth="1"/>
    <col min="1800" max="1800" width="9.7265625" style="329" customWidth="1"/>
    <col min="1801" max="1801" width="9.54296875" style="329" customWidth="1"/>
    <col min="1802" max="1802" width="12.54296875" style="329" customWidth="1"/>
    <col min="1803" max="1803" width="10" style="329" customWidth="1"/>
    <col min="1804" max="1804" width="9.7265625" style="329" customWidth="1"/>
    <col min="1805" max="1807" width="9.1796875" style="329" customWidth="1"/>
    <col min="1808" max="2051" width="8.7265625" style="329"/>
    <col min="2052" max="2052" width="13.26953125" style="329" customWidth="1"/>
    <col min="2053" max="2053" width="27.453125" style="329" customWidth="1"/>
    <col min="2054" max="2055" width="9.54296875" style="329" customWidth="1"/>
    <col min="2056" max="2056" width="9.7265625" style="329" customWidth="1"/>
    <col min="2057" max="2057" width="9.54296875" style="329" customWidth="1"/>
    <col min="2058" max="2058" width="12.54296875" style="329" customWidth="1"/>
    <col min="2059" max="2059" width="10" style="329" customWidth="1"/>
    <col min="2060" max="2060" width="9.7265625" style="329" customWidth="1"/>
    <col min="2061" max="2063" width="9.1796875" style="329" customWidth="1"/>
    <col min="2064" max="2307" width="8.7265625" style="329"/>
    <col min="2308" max="2308" width="13.26953125" style="329" customWidth="1"/>
    <col min="2309" max="2309" width="27.453125" style="329" customWidth="1"/>
    <col min="2310" max="2311" width="9.54296875" style="329" customWidth="1"/>
    <col min="2312" max="2312" width="9.7265625" style="329" customWidth="1"/>
    <col min="2313" max="2313" width="9.54296875" style="329" customWidth="1"/>
    <col min="2314" max="2314" width="12.54296875" style="329" customWidth="1"/>
    <col min="2315" max="2315" width="10" style="329" customWidth="1"/>
    <col min="2316" max="2316" width="9.7265625" style="329" customWidth="1"/>
    <col min="2317" max="2319" width="9.1796875" style="329" customWidth="1"/>
    <col min="2320" max="2563" width="8.7265625" style="329"/>
    <col min="2564" max="2564" width="13.26953125" style="329" customWidth="1"/>
    <col min="2565" max="2565" width="27.453125" style="329" customWidth="1"/>
    <col min="2566" max="2567" width="9.54296875" style="329" customWidth="1"/>
    <col min="2568" max="2568" width="9.7265625" style="329" customWidth="1"/>
    <col min="2569" max="2569" width="9.54296875" style="329" customWidth="1"/>
    <col min="2570" max="2570" width="12.54296875" style="329" customWidth="1"/>
    <col min="2571" max="2571" width="10" style="329" customWidth="1"/>
    <col min="2572" max="2572" width="9.7265625" style="329" customWidth="1"/>
    <col min="2573" max="2575" width="9.1796875" style="329" customWidth="1"/>
    <col min="2576" max="2819" width="8.7265625" style="329"/>
    <col min="2820" max="2820" width="13.26953125" style="329" customWidth="1"/>
    <col min="2821" max="2821" width="27.453125" style="329" customWidth="1"/>
    <col min="2822" max="2823" width="9.54296875" style="329" customWidth="1"/>
    <col min="2824" max="2824" width="9.7265625" style="329" customWidth="1"/>
    <col min="2825" max="2825" width="9.54296875" style="329" customWidth="1"/>
    <col min="2826" max="2826" width="12.54296875" style="329" customWidth="1"/>
    <col min="2827" max="2827" width="10" style="329" customWidth="1"/>
    <col min="2828" max="2828" width="9.7265625" style="329" customWidth="1"/>
    <col min="2829" max="2831" width="9.1796875" style="329" customWidth="1"/>
    <col min="2832" max="3075" width="8.7265625" style="329"/>
    <col min="3076" max="3076" width="13.26953125" style="329" customWidth="1"/>
    <col min="3077" max="3077" width="27.453125" style="329" customWidth="1"/>
    <col min="3078" max="3079" width="9.54296875" style="329" customWidth="1"/>
    <col min="3080" max="3080" width="9.7265625" style="329" customWidth="1"/>
    <col min="3081" max="3081" width="9.54296875" style="329" customWidth="1"/>
    <col min="3082" max="3082" width="12.54296875" style="329" customWidth="1"/>
    <col min="3083" max="3083" width="10" style="329" customWidth="1"/>
    <col min="3084" max="3084" width="9.7265625" style="329" customWidth="1"/>
    <col min="3085" max="3087" width="9.1796875" style="329" customWidth="1"/>
    <col min="3088" max="3331" width="8.7265625" style="329"/>
    <col min="3332" max="3332" width="13.26953125" style="329" customWidth="1"/>
    <col min="3333" max="3333" width="27.453125" style="329" customWidth="1"/>
    <col min="3334" max="3335" width="9.54296875" style="329" customWidth="1"/>
    <col min="3336" max="3336" width="9.7265625" style="329" customWidth="1"/>
    <col min="3337" max="3337" width="9.54296875" style="329" customWidth="1"/>
    <col min="3338" max="3338" width="12.54296875" style="329" customWidth="1"/>
    <col min="3339" max="3339" width="10" style="329" customWidth="1"/>
    <col min="3340" max="3340" width="9.7265625" style="329" customWidth="1"/>
    <col min="3341" max="3343" width="9.1796875" style="329" customWidth="1"/>
    <col min="3344" max="3587" width="8.7265625" style="329"/>
    <col min="3588" max="3588" width="13.26953125" style="329" customWidth="1"/>
    <col min="3589" max="3589" width="27.453125" style="329" customWidth="1"/>
    <col min="3590" max="3591" width="9.54296875" style="329" customWidth="1"/>
    <col min="3592" max="3592" width="9.7265625" style="329" customWidth="1"/>
    <col min="3593" max="3593" width="9.54296875" style="329" customWidth="1"/>
    <col min="3594" max="3594" width="12.54296875" style="329" customWidth="1"/>
    <col min="3595" max="3595" width="10" style="329" customWidth="1"/>
    <col min="3596" max="3596" width="9.7265625" style="329" customWidth="1"/>
    <col min="3597" max="3599" width="9.1796875" style="329" customWidth="1"/>
    <col min="3600" max="3843" width="8.7265625" style="329"/>
    <col min="3844" max="3844" width="13.26953125" style="329" customWidth="1"/>
    <col min="3845" max="3845" width="27.453125" style="329" customWidth="1"/>
    <col min="3846" max="3847" width="9.54296875" style="329" customWidth="1"/>
    <col min="3848" max="3848" width="9.7265625" style="329" customWidth="1"/>
    <col min="3849" max="3849" width="9.54296875" style="329" customWidth="1"/>
    <col min="3850" max="3850" width="12.54296875" style="329" customWidth="1"/>
    <col min="3851" max="3851" width="10" style="329" customWidth="1"/>
    <col min="3852" max="3852" width="9.7265625" style="329" customWidth="1"/>
    <col min="3853" max="3855" width="9.1796875" style="329" customWidth="1"/>
    <col min="3856" max="4099" width="8.7265625" style="329"/>
    <col min="4100" max="4100" width="13.26953125" style="329" customWidth="1"/>
    <col min="4101" max="4101" width="27.453125" style="329" customWidth="1"/>
    <col min="4102" max="4103" width="9.54296875" style="329" customWidth="1"/>
    <col min="4104" max="4104" width="9.7265625" style="329" customWidth="1"/>
    <col min="4105" max="4105" width="9.54296875" style="329" customWidth="1"/>
    <col min="4106" max="4106" width="12.54296875" style="329" customWidth="1"/>
    <col min="4107" max="4107" width="10" style="329" customWidth="1"/>
    <col min="4108" max="4108" width="9.7265625" style="329" customWidth="1"/>
    <col min="4109" max="4111" width="9.1796875" style="329" customWidth="1"/>
    <col min="4112" max="4355" width="8.7265625" style="329"/>
    <col min="4356" max="4356" width="13.26953125" style="329" customWidth="1"/>
    <col min="4357" max="4357" width="27.453125" style="329" customWidth="1"/>
    <col min="4358" max="4359" width="9.54296875" style="329" customWidth="1"/>
    <col min="4360" max="4360" width="9.7265625" style="329" customWidth="1"/>
    <col min="4361" max="4361" width="9.54296875" style="329" customWidth="1"/>
    <col min="4362" max="4362" width="12.54296875" style="329" customWidth="1"/>
    <col min="4363" max="4363" width="10" style="329" customWidth="1"/>
    <col min="4364" max="4364" width="9.7265625" style="329" customWidth="1"/>
    <col min="4365" max="4367" width="9.1796875" style="329" customWidth="1"/>
    <col min="4368" max="4611" width="8.7265625" style="329"/>
    <col min="4612" max="4612" width="13.26953125" style="329" customWidth="1"/>
    <col min="4613" max="4613" width="27.453125" style="329" customWidth="1"/>
    <col min="4614" max="4615" width="9.54296875" style="329" customWidth="1"/>
    <col min="4616" max="4616" width="9.7265625" style="329" customWidth="1"/>
    <col min="4617" max="4617" width="9.54296875" style="329" customWidth="1"/>
    <col min="4618" max="4618" width="12.54296875" style="329" customWidth="1"/>
    <col min="4619" max="4619" width="10" style="329" customWidth="1"/>
    <col min="4620" max="4620" width="9.7265625" style="329" customWidth="1"/>
    <col min="4621" max="4623" width="9.1796875" style="329" customWidth="1"/>
    <col min="4624" max="4867" width="8.7265625" style="329"/>
    <col min="4868" max="4868" width="13.26953125" style="329" customWidth="1"/>
    <col min="4869" max="4869" width="27.453125" style="329" customWidth="1"/>
    <col min="4870" max="4871" width="9.54296875" style="329" customWidth="1"/>
    <col min="4872" max="4872" width="9.7265625" style="329" customWidth="1"/>
    <col min="4873" max="4873" width="9.54296875" style="329" customWidth="1"/>
    <col min="4874" max="4874" width="12.54296875" style="329" customWidth="1"/>
    <col min="4875" max="4875" width="10" style="329" customWidth="1"/>
    <col min="4876" max="4876" width="9.7265625" style="329" customWidth="1"/>
    <col min="4877" max="4879" width="9.1796875" style="329" customWidth="1"/>
    <col min="4880" max="5123" width="8.7265625" style="329"/>
    <col min="5124" max="5124" width="13.26953125" style="329" customWidth="1"/>
    <col min="5125" max="5125" width="27.453125" style="329" customWidth="1"/>
    <col min="5126" max="5127" width="9.54296875" style="329" customWidth="1"/>
    <col min="5128" max="5128" width="9.7265625" style="329" customWidth="1"/>
    <col min="5129" max="5129" width="9.54296875" style="329" customWidth="1"/>
    <col min="5130" max="5130" width="12.54296875" style="329" customWidth="1"/>
    <col min="5131" max="5131" width="10" style="329" customWidth="1"/>
    <col min="5132" max="5132" width="9.7265625" style="329" customWidth="1"/>
    <col min="5133" max="5135" width="9.1796875" style="329" customWidth="1"/>
    <col min="5136" max="5379" width="8.7265625" style="329"/>
    <col min="5380" max="5380" width="13.26953125" style="329" customWidth="1"/>
    <col min="5381" max="5381" width="27.453125" style="329" customWidth="1"/>
    <col min="5382" max="5383" width="9.54296875" style="329" customWidth="1"/>
    <col min="5384" max="5384" width="9.7265625" style="329" customWidth="1"/>
    <col min="5385" max="5385" width="9.54296875" style="329" customWidth="1"/>
    <col min="5386" max="5386" width="12.54296875" style="329" customWidth="1"/>
    <col min="5387" max="5387" width="10" style="329" customWidth="1"/>
    <col min="5388" max="5388" width="9.7265625" style="329" customWidth="1"/>
    <col min="5389" max="5391" width="9.1796875" style="329" customWidth="1"/>
    <col min="5392" max="5635" width="8.7265625" style="329"/>
    <col min="5636" max="5636" width="13.26953125" style="329" customWidth="1"/>
    <col min="5637" max="5637" width="27.453125" style="329" customWidth="1"/>
    <col min="5638" max="5639" width="9.54296875" style="329" customWidth="1"/>
    <col min="5640" max="5640" width="9.7265625" style="329" customWidth="1"/>
    <col min="5641" max="5641" width="9.54296875" style="329" customWidth="1"/>
    <col min="5642" max="5642" width="12.54296875" style="329" customWidth="1"/>
    <col min="5643" max="5643" width="10" style="329" customWidth="1"/>
    <col min="5644" max="5644" width="9.7265625" style="329" customWidth="1"/>
    <col min="5645" max="5647" width="9.1796875" style="329" customWidth="1"/>
    <col min="5648" max="5891" width="8.7265625" style="329"/>
    <col min="5892" max="5892" width="13.26953125" style="329" customWidth="1"/>
    <col min="5893" max="5893" width="27.453125" style="329" customWidth="1"/>
    <col min="5894" max="5895" width="9.54296875" style="329" customWidth="1"/>
    <col min="5896" max="5896" width="9.7265625" style="329" customWidth="1"/>
    <col min="5897" max="5897" width="9.54296875" style="329" customWidth="1"/>
    <col min="5898" max="5898" width="12.54296875" style="329" customWidth="1"/>
    <col min="5899" max="5899" width="10" style="329" customWidth="1"/>
    <col min="5900" max="5900" width="9.7265625" style="329" customWidth="1"/>
    <col min="5901" max="5903" width="9.1796875" style="329" customWidth="1"/>
    <col min="5904" max="6147" width="8.7265625" style="329"/>
    <col min="6148" max="6148" width="13.26953125" style="329" customWidth="1"/>
    <col min="6149" max="6149" width="27.453125" style="329" customWidth="1"/>
    <col min="6150" max="6151" width="9.54296875" style="329" customWidth="1"/>
    <col min="6152" max="6152" width="9.7265625" style="329" customWidth="1"/>
    <col min="6153" max="6153" width="9.54296875" style="329" customWidth="1"/>
    <col min="6154" max="6154" width="12.54296875" style="329" customWidth="1"/>
    <col min="6155" max="6155" width="10" style="329" customWidth="1"/>
    <col min="6156" max="6156" width="9.7265625" style="329" customWidth="1"/>
    <col min="6157" max="6159" width="9.1796875" style="329" customWidth="1"/>
    <col min="6160" max="6403" width="8.7265625" style="329"/>
    <col min="6404" max="6404" width="13.26953125" style="329" customWidth="1"/>
    <col min="6405" max="6405" width="27.453125" style="329" customWidth="1"/>
    <col min="6406" max="6407" width="9.54296875" style="329" customWidth="1"/>
    <col min="6408" max="6408" width="9.7265625" style="329" customWidth="1"/>
    <col min="6409" max="6409" width="9.54296875" style="329" customWidth="1"/>
    <col min="6410" max="6410" width="12.54296875" style="329" customWidth="1"/>
    <col min="6411" max="6411" width="10" style="329" customWidth="1"/>
    <col min="6412" max="6412" width="9.7265625" style="329" customWidth="1"/>
    <col min="6413" max="6415" width="9.1796875" style="329" customWidth="1"/>
    <col min="6416" max="6659" width="8.7265625" style="329"/>
    <col min="6660" max="6660" width="13.26953125" style="329" customWidth="1"/>
    <col min="6661" max="6661" width="27.453125" style="329" customWidth="1"/>
    <col min="6662" max="6663" width="9.54296875" style="329" customWidth="1"/>
    <col min="6664" max="6664" width="9.7265625" style="329" customWidth="1"/>
    <col min="6665" max="6665" width="9.54296875" style="329" customWidth="1"/>
    <col min="6666" max="6666" width="12.54296875" style="329" customWidth="1"/>
    <col min="6667" max="6667" width="10" style="329" customWidth="1"/>
    <col min="6668" max="6668" width="9.7265625" style="329" customWidth="1"/>
    <col min="6669" max="6671" width="9.1796875" style="329" customWidth="1"/>
    <col min="6672" max="6915" width="8.7265625" style="329"/>
    <col min="6916" max="6916" width="13.26953125" style="329" customWidth="1"/>
    <col min="6917" max="6917" width="27.453125" style="329" customWidth="1"/>
    <col min="6918" max="6919" width="9.54296875" style="329" customWidth="1"/>
    <col min="6920" max="6920" width="9.7265625" style="329" customWidth="1"/>
    <col min="6921" max="6921" width="9.54296875" style="329" customWidth="1"/>
    <col min="6922" max="6922" width="12.54296875" style="329" customWidth="1"/>
    <col min="6923" max="6923" width="10" style="329" customWidth="1"/>
    <col min="6924" max="6924" width="9.7265625" style="329" customWidth="1"/>
    <col min="6925" max="6927" width="9.1796875" style="329" customWidth="1"/>
    <col min="6928" max="7171" width="8.7265625" style="329"/>
    <col min="7172" max="7172" width="13.26953125" style="329" customWidth="1"/>
    <col min="7173" max="7173" width="27.453125" style="329" customWidth="1"/>
    <col min="7174" max="7175" width="9.54296875" style="329" customWidth="1"/>
    <col min="7176" max="7176" width="9.7265625" style="329" customWidth="1"/>
    <col min="7177" max="7177" width="9.54296875" style="329" customWidth="1"/>
    <col min="7178" max="7178" width="12.54296875" style="329" customWidth="1"/>
    <col min="7179" max="7179" width="10" style="329" customWidth="1"/>
    <col min="7180" max="7180" width="9.7265625" style="329" customWidth="1"/>
    <col min="7181" max="7183" width="9.1796875" style="329" customWidth="1"/>
    <col min="7184" max="7427" width="8.7265625" style="329"/>
    <col min="7428" max="7428" width="13.26953125" style="329" customWidth="1"/>
    <col min="7429" max="7429" width="27.453125" style="329" customWidth="1"/>
    <col min="7430" max="7431" width="9.54296875" style="329" customWidth="1"/>
    <col min="7432" max="7432" width="9.7265625" style="329" customWidth="1"/>
    <col min="7433" max="7433" width="9.54296875" style="329" customWidth="1"/>
    <col min="7434" max="7434" width="12.54296875" style="329" customWidth="1"/>
    <col min="7435" max="7435" width="10" style="329" customWidth="1"/>
    <col min="7436" max="7436" width="9.7265625" style="329" customWidth="1"/>
    <col min="7437" max="7439" width="9.1796875" style="329" customWidth="1"/>
    <col min="7440" max="7683" width="8.7265625" style="329"/>
    <col min="7684" max="7684" width="13.26953125" style="329" customWidth="1"/>
    <col min="7685" max="7685" width="27.453125" style="329" customWidth="1"/>
    <col min="7686" max="7687" width="9.54296875" style="329" customWidth="1"/>
    <col min="7688" max="7688" width="9.7265625" style="329" customWidth="1"/>
    <col min="7689" max="7689" width="9.54296875" style="329" customWidth="1"/>
    <col min="7690" max="7690" width="12.54296875" style="329" customWidth="1"/>
    <col min="7691" max="7691" width="10" style="329" customWidth="1"/>
    <col min="7692" max="7692" width="9.7265625" style="329" customWidth="1"/>
    <col min="7693" max="7695" width="9.1796875" style="329" customWidth="1"/>
    <col min="7696" max="7939" width="8.7265625" style="329"/>
    <col min="7940" max="7940" width="13.26953125" style="329" customWidth="1"/>
    <col min="7941" max="7941" width="27.453125" style="329" customWidth="1"/>
    <col min="7942" max="7943" width="9.54296875" style="329" customWidth="1"/>
    <col min="7944" max="7944" width="9.7265625" style="329" customWidth="1"/>
    <col min="7945" max="7945" width="9.54296875" style="329" customWidth="1"/>
    <col min="7946" max="7946" width="12.54296875" style="329" customWidth="1"/>
    <col min="7947" max="7947" width="10" style="329" customWidth="1"/>
    <col min="7948" max="7948" width="9.7265625" style="329" customWidth="1"/>
    <col min="7949" max="7951" width="9.1796875" style="329" customWidth="1"/>
    <col min="7952" max="8195" width="8.7265625" style="329"/>
    <col min="8196" max="8196" width="13.26953125" style="329" customWidth="1"/>
    <col min="8197" max="8197" width="27.453125" style="329" customWidth="1"/>
    <col min="8198" max="8199" width="9.54296875" style="329" customWidth="1"/>
    <col min="8200" max="8200" width="9.7265625" style="329" customWidth="1"/>
    <col min="8201" max="8201" width="9.54296875" style="329" customWidth="1"/>
    <col min="8202" max="8202" width="12.54296875" style="329" customWidth="1"/>
    <col min="8203" max="8203" width="10" style="329" customWidth="1"/>
    <col min="8204" max="8204" width="9.7265625" style="329" customWidth="1"/>
    <col min="8205" max="8207" width="9.1796875" style="329" customWidth="1"/>
    <col min="8208" max="8451" width="8.7265625" style="329"/>
    <col min="8452" max="8452" width="13.26953125" style="329" customWidth="1"/>
    <col min="8453" max="8453" width="27.453125" style="329" customWidth="1"/>
    <col min="8454" max="8455" width="9.54296875" style="329" customWidth="1"/>
    <col min="8456" max="8456" width="9.7265625" style="329" customWidth="1"/>
    <col min="8457" max="8457" width="9.54296875" style="329" customWidth="1"/>
    <col min="8458" max="8458" width="12.54296875" style="329" customWidth="1"/>
    <col min="8459" max="8459" width="10" style="329" customWidth="1"/>
    <col min="8460" max="8460" width="9.7265625" style="329" customWidth="1"/>
    <col min="8461" max="8463" width="9.1796875" style="329" customWidth="1"/>
    <col min="8464" max="8707" width="8.7265625" style="329"/>
    <col min="8708" max="8708" width="13.26953125" style="329" customWidth="1"/>
    <col min="8709" max="8709" width="27.453125" style="329" customWidth="1"/>
    <col min="8710" max="8711" width="9.54296875" style="329" customWidth="1"/>
    <col min="8712" max="8712" width="9.7265625" style="329" customWidth="1"/>
    <col min="8713" max="8713" width="9.54296875" style="329" customWidth="1"/>
    <col min="8714" max="8714" width="12.54296875" style="329" customWidth="1"/>
    <col min="8715" max="8715" width="10" style="329" customWidth="1"/>
    <col min="8716" max="8716" width="9.7265625" style="329" customWidth="1"/>
    <col min="8717" max="8719" width="9.1796875" style="329" customWidth="1"/>
    <col min="8720" max="8963" width="8.7265625" style="329"/>
    <col min="8964" max="8964" width="13.26953125" style="329" customWidth="1"/>
    <col min="8965" max="8965" width="27.453125" style="329" customWidth="1"/>
    <col min="8966" max="8967" width="9.54296875" style="329" customWidth="1"/>
    <col min="8968" max="8968" width="9.7265625" style="329" customWidth="1"/>
    <col min="8969" max="8969" width="9.54296875" style="329" customWidth="1"/>
    <col min="8970" max="8970" width="12.54296875" style="329" customWidth="1"/>
    <col min="8971" max="8971" width="10" style="329" customWidth="1"/>
    <col min="8972" max="8972" width="9.7265625" style="329" customWidth="1"/>
    <col min="8973" max="8975" width="9.1796875" style="329" customWidth="1"/>
    <col min="8976" max="9219" width="8.7265625" style="329"/>
    <col min="9220" max="9220" width="13.26953125" style="329" customWidth="1"/>
    <col min="9221" max="9221" width="27.453125" style="329" customWidth="1"/>
    <col min="9222" max="9223" width="9.54296875" style="329" customWidth="1"/>
    <col min="9224" max="9224" width="9.7265625" style="329" customWidth="1"/>
    <col min="9225" max="9225" width="9.54296875" style="329" customWidth="1"/>
    <col min="9226" max="9226" width="12.54296875" style="329" customWidth="1"/>
    <col min="9227" max="9227" width="10" style="329" customWidth="1"/>
    <col min="9228" max="9228" width="9.7265625" style="329" customWidth="1"/>
    <col min="9229" max="9231" width="9.1796875" style="329" customWidth="1"/>
    <col min="9232" max="9475" width="8.7265625" style="329"/>
    <col min="9476" max="9476" width="13.26953125" style="329" customWidth="1"/>
    <col min="9477" max="9477" width="27.453125" style="329" customWidth="1"/>
    <col min="9478" max="9479" width="9.54296875" style="329" customWidth="1"/>
    <col min="9480" max="9480" width="9.7265625" style="329" customWidth="1"/>
    <col min="9481" max="9481" width="9.54296875" style="329" customWidth="1"/>
    <col min="9482" max="9482" width="12.54296875" style="329" customWidth="1"/>
    <col min="9483" max="9483" width="10" style="329" customWidth="1"/>
    <col min="9484" max="9484" width="9.7265625" style="329" customWidth="1"/>
    <col min="9485" max="9487" width="9.1796875" style="329" customWidth="1"/>
    <col min="9488" max="9731" width="8.7265625" style="329"/>
    <col min="9732" max="9732" width="13.26953125" style="329" customWidth="1"/>
    <col min="9733" max="9733" width="27.453125" style="329" customWidth="1"/>
    <col min="9734" max="9735" width="9.54296875" style="329" customWidth="1"/>
    <col min="9736" max="9736" width="9.7265625" style="329" customWidth="1"/>
    <col min="9737" max="9737" width="9.54296875" style="329" customWidth="1"/>
    <col min="9738" max="9738" width="12.54296875" style="329" customWidth="1"/>
    <col min="9739" max="9739" width="10" style="329" customWidth="1"/>
    <col min="9740" max="9740" width="9.7265625" style="329" customWidth="1"/>
    <col min="9741" max="9743" width="9.1796875" style="329" customWidth="1"/>
    <col min="9744" max="9987" width="8.7265625" style="329"/>
    <col min="9988" max="9988" width="13.26953125" style="329" customWidth="1"/>
    <col min="9989" max="9989" width="27.453125" style="329" customWidth="1"/>
    <col min="9990" max="9991" width="9.54296875" style="329" customWidth="1"/>
    <col min="9992" max="9992" width="9.7265625" style="329" customWidth="1"/>
    <col min="9993" max="9993" width="9.54296875" style="329" customWidth="1"/>
    <col min="9994" max="9994" width="12.54296875" style="329" customWidth="1"/>
    <col min="9995" max="9995" width="10" style="329" customWidth="1"/>
    <col min="9996" max="9996" width="9.7265625" style="329" customWidth="1"/>
    <col min="9997" max="9999" width="9.1796875" style="329" customWidth="1"/>
    <col min="10000" max="10243" width="8.7265625" style="329"/>
    <col min="10244" max="10244" width="13.26953125" style="329" customWidth="1"/>
    <col min="10245" max="10245" width="27.453125" style="329" customWidth="1"/>
    <col min="10246" max="10247" width="9.54296875" style="329" customWidth="1"/>
    <col min="10248" max="10248" width="9.7265625" style="329" customWidth="1"/>
    <col min="10249" max="10249" width="9.54296875" style="329" customWidth="1"/>
    <col min="10250" max="10250" width="12.54296875" style="329" customWidth="1"/>
    <col min="10251" max="10251" width="10" style="329" customWidth="1"/>
    <col min="10252" max="10252" width="9.7265625" style="329" customWidth="1"/>
    <col min="10253" max="10255" width="9.1796875" style="329" customWidth="1"/>
    <col min="10256" max="10499" width="8.7265625" style="329"/>
    <col min="10500" max="10500" width="13.26953125" style="329" customWidth="1"/>
    <col min="10501" max="10501" width="27.453125" style="329" customWidth="1"/>
    <col min="10502" max="10503" width="9.54296875" style="329" customWidth="1"/>
    <col min="10504" max="10504" width="9.7265625" style="329" customWidth="1"/>
    <col min="10505" max="10505" width="9.54296875" style="329" customWidth="1"/>
    <col min="10506" max="10506" width="12.54296875" style="329" customWidth="1"/>
    <col min="10507" max="10507" width="10" style="329" customWidth="1"/>
    <col min="10508" max="10508" width="9.7265625" style="329" customWidth="1"/>
    <col min="10509" max="10511" width="9.1796875" style="329" customWidth="1"/>
    <col min="10512" max="10755" width="8.7265625" style="329"/>
    <col min="10756" max="10756" width="13.26953125" style="329" customWidth="1"/>
    <col min="10757" max="10757" width="27.453125" style="329" customWidth="1"/>
    <col min="10758" max="10759" width="9.54296875" style="329" customWidth="1"/>
    <col min="10760" max="10760" width="9.7265625" style="329" customWidth="1"/>
    <col min="10761" max="10761" width="9.54296875" style="329" customWidth="1"/>
    <col min="10762" max="10762" width="12.54296875" style="329" customWidth="1"/>
    <col min="10763" max="10763" width="10" style="329" customWidth="1"/>
    <col min="10764" max="10764" width="9.7265625" style="329" customWidth="1"/>
    <col min="10765" max="10767" width="9.1796875" style="329" customWidth="1"/>
    <col min="10768" max="11011" width="8.7265625" style="329"/>
    <col min="11012" max="11012" width="13.26953125" style="329" customWidth="1"/>
    <col min="11013" max="11013" width="27.453125" style="329" customWidth="1"/>
    <col min="11014" max="11015" width="9.54296875" style="329" customWidth="1"/>
    <col min="11016" max="11016" width="9.7265625" style="329" customWidth="1"/>
    <col min="11017" max="11017" width="9.54296875" style="329" customWidth="1"/>
    <col min="11018" max="11018" width="12.54296875" style="329" customWidth="1"/>
    <col min="11019" max="11019" width="10" style="329" customWidth="1"/>
    <col min="11020" max="11020" width="9.7265625" style="329" customWidth="1"/>
    <col min="11021" max="11023" width="9.1796875" style="329" customWidth="1"/>
    <col min="11024" max="11267" width="8.7265625" style="329"/>
    <col min="11268" max="11268" width="13.26953125" style="329" customWidth="1"/>
    <col min="11269" max="11269" width="27.453125" style="329" customWidth="1"/>
    <col min="11270" max="11271" width="9.54296875" style="329" customWidth="1"/>
    <col min="11272" max="11272" width="9.7265625" style="329" customWidth="1"/>
    <col min="11273" max="11273" width="9.54296875" style="329" customWidth="1"/>
    <col min="11274" max="11274" width="12.54296875" style="329" customWidth="1"/>
    <col min="11275" max="11275" width="10" style="329" customWidth="1"/>
    <col min="11276" max="11276" width="9.7265625" style="329" customWidth="1"/>
    <col min="11277" max="11279" width="9.1796875" style="329" customWidth="1"/>
    <col min="11280" max="11523" width="8.7265625" style="329"/>
    <col min="11524" max="11524" width="13.26953125" style="329" customWidth="1"/>
    <col min="11525" max="11525" width="27.453125" style="329" customWidth="1"/>
    <col min="11526" max="11527" width="9.54296875" style="329" customWidth="1"/>
    <col min="11528" max="11528" width="9.7265625" style="329" customWidth="1"/>
    <col min="11529" max="11529" width="9.54296875" style="329" customWidth="1"/>
    <col min="11530" max="11530" width="12.54296875" style="329" customWidth="1"/>
    <col min="11531" max="11531" width="10" style="329" customWidth="1"/>
    <col min="11532" max="11532" width="9.7265625" style="329" customWidth="1"/>
    <col min="11533" max="11535" width="9.1796875" style="329" customWidth="1"/>
    <col min="11536" max="11779" width="8.7265625" style="329"/>
    <col min="11780" max="11780" width="13.26953125" style="329" customWidth="1"/>
    <col min="11781" max="11781" width="27.453125" style="329" customWidth="1"/>
    <col min="11782" max="11783" width="9.54296875" style="329" customWidth="1"/>
    <col min="11784" max="11784" width="9.7265625" style="329" customWidth="1"/>
    <col min="11785" max="11785" width="9.54296875" style="329" customWidth="1"/>
    <col min="11786" max="11786" width="12.54296875" style="329" customWidth="1"/>
    <col min="11787" max="11787" width="10" style="329" customWidth="1"/>
    <col min="11788" max="11788" width="9.7265625" style="329" customWidth="1"/>
    <col min="11789" max="11791" width="9.1796875" style="329" customWidth="1"/>
    <col min="11792" max="12035" width="8.7265625" style="329"/>
    <col min="12036" max="12036" width="13.26953125" style="329" customWidth="1"/>
    <col min="12037" max="12037" width="27.453125" style="329" customWidth="1"/>
    <col min="12038" max="12039" width="9.54296875" style="329" customWidth="1"/>
    <col min="12040" max="12040" width="9.7265625" style="329" customWidth="1"/>
    <col min="12041" max="12041" width="9.54296875" style="329" customWidth="1"/>
    <col min="12042" max="12042" width="12.54296875" style="329" customWidth="1"/>
    <col min="12043" max="12043" width="10" style="329" customWidth="1"/>
    <col min="12044" max="12044" width="9.7265625" style="329" customWidth="1"/>
    <col min="12045" max="12047" width="9.1796875" style="329" customWidth="1"/>
    <col min="12048" max="12291" width="8.7265625" style="329"/>
    <col min="12292" max="12292" width="13.26953125" style="329" customWidth="1"/>
    <col min="12293" max="12293" width="27.453125" style="329" customWidth="1"/>
    <col min="12294" max="12295" width="9.54296875" style="329" customWidth="1"/>
    <col min="12296" max="12296" width="9.7265625" style="329" customWidth="1"/>
    <col min="12297" max="12297" width="9.54296875" style="329" customWidth="1"/>
    <col min="12298" max="12298" width="12.54296875" style="329" customWidth="1"/>
    <col min="12299" max="12299" width="10" style="329" customWidth="1"/>
    <col min="12300" max="12300" width="9.7265625" style="329" customWidth="1"/>
    <col min="12301" max="12303" width="9.1796875" style="329" customWidth="1"/>
    <col min="12304" max="12547" width="8.7265625" style="329"/>
    <col min="12548" max="12548" width="13.26953125" style="329" customWidth="1"/>
    <col min="12549" max="12549" width="27.453125" style="329" customWidth="1"/>
    <col min="12550" max="12551" width="9.54296875" style="329" customWidth="1"/>
    <col min="12552" max="12552" width="9.7265625" style="329" customWidth="1"/>
    <col min="12553" max="12553" width="9.54296875" style="329" customWidth="1"/>
    <col min="12554" max="12554" width="12.54296875" style="329" customWidth="1"/>
    <col min="12555" max="12555" width="10" style="329" customWidth="1"/>
    <col min="12556" max="12556" width="9.7265625" style="329" customWidth="1"/>
    <col min="12557" max="12559" width="9.1796875" style="329" customWidth="1"/>
    <col min="12560" max="12803" width="8.7265625" style="329"/>
    <col min="12804" max="12804" width="13.26953125" style="329" customWidth="1"/>
    <col min="12805" max="12805" width="27.453125" style="329" customWidth="1"/>
    <col min="12806" max="12807" width="9.54296875" style="329" customWidth="1"/>
    <col min="12808" max="12808" width="9.7265625" style="329" customWidth="1"/>
    <col min="12809" max="12809" width="9.54296875" style="329" customWidth="1"/>
    <col min="12810" max="12810" width="12.54296875" style="329" customWidth="1"/>
    <col min="12811" max="12811" width="10" style="329" customWidth="1"/>
    <col min="12812" max="12812" width="9.7265625" style="329" customWidth="1"/>
    <col min="12813" max="12815" width="9.1796875" style="329" customWidth="1"/>
    <col min="12816" max="13059" width="8.7265625" style="329"/>
    <col min="13060" max="13060" width="13.26953125" style="329" customWidth="1"/>
    <col min="13061" max="13061" width="27.453125" style="329" customWidth="1"/>
    <col min="13062" max="13063" width="9.54296875" style="329" customWidth="1"/>
    <col min="13064" max="13064" width="9.7265625" style="329" customWidth="1"/>
    <col min="13065" max="13065" width="9.54296875" style="329" customWidth="1"/>
    <col min="13066" max="13066" width="12.54296875" style="329" customWidth="1"/>
    <col min="13067" max="13067" width="10" style="329" customWidth="1"/>
    <col min="13068" max="13068" width="9.7265625" style="329" customWidth="1"/>
    <col min="13069" max="13071" width="9.1796875" style="329" customWidth="1"/>
    <col min="13072" max="13315" width="8.7265625" style="329"/>
    <col min="13316" max="13316" width="13.26953125" style="329" customWidth="1"/>
    <col min="13317" max="13317" width="27.453125" style="329" customWidth="1"/>
    <col min="13318" max="13319" width="9.54296875" style="329" customWidth="1"/>
    <col min="13320" max="13320" width="9.7265625" style="329" customWidth="1"/>
    <col min="13321" max="13321" width="9.54296875" style="329" customWidth="1"/>
    <col min="13322" max="13322" width="12.54296875" style="329" customWidth="1"/>
    <col min="13323" max="13323" width="10" style="329" customWidth="1"/>
    <col min="13324" max="13324" width="9.7265625" style="329" customWidth="1"/>
    <col min="13325" max="13327" width="9.1796875" style="329" customWidth="1"/>
    <col min="13328" max="13571" width="8.7265625" style="329"/>
    <col min="13572" max="13572" width="13.26953125" style="329" customWidth="1"/>
    <col min="13573" max="13573" width="27.453125" style="329" customWidth="1"/>
    <col min="13574" max="13575" width="9.54296875" style="329" customWidth="1"/>
    <col min="13576" max="13576" width="9.7265625" style="329" customWidth="1"/>
    <col min="13577" max="13577" width="9.54296875" style="329" customWidth="1"/>
    <col min="13578" max="13578" width="12.54296875" style="329" customWidth="1"/>
    <col min="13579" max="13579" width="10" style="329" customWidth="1"/>
    <col min="13580" max="13580" width="9.7265625" style="329" customWidth="1"/>
    <col min="13581" max="13583" width="9.1796875" style="329" customWidth="1"/>
    <col min="13584" max="13827" width="8.7265625" style="329"/>
    <col min="13828" max="13828" width="13.26953125" style="329" customWidth="1"/>
    <col min="13829" max="13829" width="27.453125" style="329" customWidth="1"/>
    <col min="13830" max="13831" width="9.54296875" style="329" customWidth="1"/>
    <col min="13832" max="13832" width="9.7265625" style="329" customWidth="1"/>
    <col min="13833" max="13833" width="9.54296875" style="329" customWidth="1"/>
    <col min="13834" max="13834" width="12.54296875" style="329" customWidth="1"/>
    <col min="13835" max="13835" width="10" style="329" customWidth="1"/>
    <col min="13836" max="13836" width="9.7265625" style="329" customWidth="1"/>
    <col min="13837" max="13839" width="9.1796875" style="329" customWidth="1"/>
    <col min="13840" max="14083" width="8.7265625" style="329"/>
    <col min="14084" max="14084" width="13.26953125" style="329" customWidth="1"/>
    <col min="14085" max="14085" width="27.453125" style="329" customWidth="1"/>
    <col min="14086" max="14087" width="9.54296875" style="329" customWidth="1"/>
    <col min="14088" max="14088" width="9.7265625" style="329" customWidth="1"/>
    <col min="14089" max="14089" width="9.54296875" style="329" customWidth="1"/>
    <col min="14090" max="14090" width="12.54296875" style="329" customWidth="1"/>
    <col min="14091" max="14091" width="10" style="329" customWidth="1"/>
    <col min="14092" max="14092" width="9.7265625" style="329" customWidth="1"/>
    <col min="14093" max="14095" width="9.1796875" style="329" customWidth="1"/>
    <col min="14096" max="14339" width="8.7265625" style="329"/>
    <col min="14340" max="14340" width="13.26953125" style="329" customWidth="1"/>
    <col min="14341" max="14341" width="27.453125" style="329" customWidth="1"/>
    <col min="14342" max="14343" width="9.54296875" style="329" customWidth="1"/>
    <col min="14344" max="14344" width="9.7265625" style="329" customWidth="1"/>
    <col min="14345" max="14345" width="9.54296875" style="329" customWidth="1"/>
    <col min="14346" max="14346" width="12.54296875" style="329" customWidth="1"/>
    <col min="14347" max="14347" width="10" style="329" customWidth="1"/>
    <col min="14348" max="14348" width="9.7265625" style="329" customWidth="1"/>
    <col min="14349" max="14351" width="9.1796875" style="329" customWidth="1"/>
    <col min="14352" max="14595" width="8.7265625" style="329"/>
    <col min="14596" max="14596" width="13.26953125" style="329" customWidth="1"/>
    <col min="14597" max="14597" width="27.453125" style="329" customWidth="1"/>
    <col min="14598" max="14599" width="9.54296875" style="329" customWidth="1"/>
    <col min="14600" max="14600" width="9.7265625" style="329" customWidth="1"/>
    <col min="14601" max="14601" width="9.54296875" style="329" customWidth="1"/>
    <col min="14602" max="14602" width="12.54296875" style="329" customWidth="1"/>
    <col min="14603" max="14603" width="10" style="329" customWidth="1"/>
    <col min="14604" max="14604" width="9.7265625" style="329" customWidth="1"/>
    <col min="14605" max="14607" width="9.1796875" style="329" customWidth="1"/>
    <col min="14608" max="14851" width="8.7265625" style="329"/>
    <col min="14852" max="14852" width="13.26953125" style="329" customWidth="1"/>
    <col min="14853" max="14853" width="27.453125" style="329" customWidth="1"/>
    <col min="14854" max="14855" width="9.54296875" style="329" customWidth="1"/>
    <col min="14856" max="14856" width="9.7265625" style="329" customWidth="1"/>
    <col min="14857" max="14857" width="9.54296875" style="329" customWidth="1"/>
    <col min="14858" max="14858" width="12.54296875" style="329" customWidth="1"/>
    <col min="14859" max="14859" width="10" style="329" customWidth="1"/>
    <col min="14860" max="14860" width="9.7265625" style="329" customWidth="1"/>
    <col min="14861" max="14863" width="9.1796875" style="329" customWidth="1"/>
    <col min="14864" max="15107" width="8.7265625" style="329"/>
    <col min="15108" max="15108" width="13.26953125" style="329" customWidth="1"/>
    <col min="15109" max="15109" width="27.453125" style="329" customWidth="1"/>
    <col min="15110" max="15111" width="9.54296875" style="329" customWidth="1"/>
    <col min="15112" max="15112" width="9.7265625" style="329" customWidth="1"/>
    <col min="15113" max="15113" width="9.54296875" style="329" customWidth="1"/>
    <col min="15114" max="15114" width="12.54296875" style="329" customWidth="1"/>
    <col min="15115" max="15115" width="10" style="329" customWidth="1"/>
    <col min="15116" max="15116" width="9.7265625" style="329" customWidth="1"/>
    <col min="15117" max="15119" width="9.1796875" style="329" customWidth="1"/>
    <col min="15120" max="15363" width="8.7265625" style="329"/>
    <col min="15364" max="15364" width="13.26953125" style="329" customWidth="1"/>
    <col min="15365" max="15365" width="27.453125" style="329" customWidth="1"/>
    <col min="15366" max="15367" width="9.54296875" style="329" customWidth="1"/>
    <col min="15368" max="15368" width="9.7265625" style="329" customWidth="1"/>
    <col min="15369" max="15369" width="9.54296875" style="329" customWidth="1"/>
    <col min="15370" max="15370" width="12.54296875" style="329" customWidth="1"/>
    <col min="15371" max="15371" width="10" style="329" customWidth="1"/>
    <col min="15372" max="15372" width="9.7265625" style="329" customWidth="1"/>
    <col min="15373" max="15375" width="9.1796875" style="329" customWidth="1"/>
    <col min="15376" max="15619" width="8.7265625" style="329"/>
    <col min="15620" max="15620" width="13.26953125" style="329" customWidth="1"/>
    <col min="15621" max="15621" width="27.453125" style="329" customWidth="1"/>
    <col min="15622" max="15623" width="9.54296875" style="329" customWidth="1"/>
    <col min="15624" max="15624" width="9.7265625" style="329" customWidth="1"/>
    <col min="15625" max="15625" width="9.54296875" style="329" customWidth="1"/>
    <col min="15626" max="15626" width="12.54296875" style="329" customWidth="1"/>
    <col min="15627" max="15627" width="10" style="329" customWidth="1"/>
    <col min="15628" max="15628" width="9.7265625" style="329" customWidth="1"/>
    <col min="15629" max="15631" width="9.1796875" style="329" customWidth="1"/>
    <col min="15632" max="15875" width="8.7265625" style="329"/>
    <col min="15876" max="15876" width="13.26953125" style="329" customWidth="1"/>
    <col min="15877" max="15877" width="27.453125" style="329" customWidth="1"/>
    <col min="15878" max="15879" width="9.54296875" style="329" customWidth="1"/>
    <col min="15880" max="15880" width="9.7265625" style="329" customWidth="1"/>
    <col min="15881" max="15881" width="9.54296875" style="329" customWidth="1"/>
    <col min="15882" max="15882" width="12.54296875" style="329" customWidth="1"/>
    <col min="15883" max="15883" width="10" style="329" customWidth="1"/>
    <col min="15884" max="15884" width="9.7265625" style="329" customWidth="1"/>
    <col min="15885" max="15887" width="9.1796875" style="329" customWidth="1"/>
    <col min="15888" max="16131" width="8.7265625" style="329"/>
    <col min="16132" max="16132" width="13.26953125" style="329" customWidth="1"/>
    <col min="16133" max="16133" width="27.453125" style="329" customWidth="1"/>
    <col min="16134" max="16135" width="9.54296875" style="329" customWidth="1"/>
    <col min="16136" max="16136" width="9.7265625" style="329" customWidth="1"/>
    <col min="16137" max="16137" width="9.54296875" style="329" customWidth="1"/>
    <col min="16138" max="16138" width="12.54296875" style="329" customWidth="1"/>
    <col min="16139" max="16139" width="10" style="329" customWidth="1"/>
    <col min="16140" max="16140" width="9.7265625" style="329" customWidth="1"/>
    <col min="16141" max="16143" width="9.1796875" style="329" customWidth="1"/>
    <col min="16144" max="16383" width="8.7265625" style="329"/>
    <col min="16384" max="16384" width="8.81640625" style="329" customWidth="1"/>
  </cols>
  <sheetData>
    <row r="1" spans="1:21" x14ac:dyDescent="0.35">
      <c r="B1" s="1120"/>
      <c r="C1" s="1120"/>
      <c r="D1" s="1120"/>
      <c r="E1" s="1120"/>
      <c r="F1" s="1120"/>
      <c r="G1" s="1120"/>
      <c r="H1" s="1120"/>
      <c r="I1" s="1120"/>
      <c r="J1" s="1120"/>
      <c r="K1" s="361"/>
      <c r="L1" s="361"/>
      <c r="M1" s="361"/>
      <c r="N1" s="361"/>
      <c r="O1" s="329"/>
      <c r="P1" s="355"/>
      <c r="Q1" s="354"/>
    </row>
    <row r="2" spans="1:21" x14ac:dyDescent="0.35">
      <c r="A2" s="1120" t="s">
        <v>900</v>
      </c>
      <c r="B2" s="1120"/>
      <c r="C2" s="1120"/>
      <c r="D2" s="1120"/>
      <c r="E2" s="1120"/>
      <c r="F2" s="1120"/>
      <c r="G2" s="1120"/>
      <c r="H2" s="1120"/>
      <c r="I2" s="1120"/>
      <c r="J2" s="1072"/>
      <c r="K2" s="1072"/>
      <c r="L2" s="1072"/>
      <c r="M2" s="361"/>
      <c r="N2" s="361"/>
      <c r="O2" s="329"/>
      <c r="P2" s="355"/>
      <c r="Q2" s="354"/>
    </row>
    <row r="3" spans="1:21" x14ac:dyDescent="0.35">
      <c r="A3" s="1119" t="s">
        <v>901</v>
      </c>
      <c r="B3" s="1119"/>
      <c r="C3" s="1119"/>
      <c r="D3" s="1119"/>
      <c r="E3" s="1119"/>
      <c r="F3" s="1119"/>
      <c r="G3" s="1119"/>
      <c r="H3" s="1119"/>
      <c r="I3" s="1119"/>
      <c r="J3" s="1071"/>
      <c r="K3" s="1071"/>
      <c r="L3" s="1071"/>
      <c r="M3" s="361"/>
      <c r="N3" s="361"/>
      <c r="O3" s="329"/>
      <c r="P3" s="355"/>
      <c r="Q3" s="354"/>
    </row>
    <row r="4" spans="1:21" x14ac:dyDescent="0.35">
      <c r="A4" s="1119" t="s">
        <v>902</v>
      </c>
      <c r="B4" s="1119"/>
      <c r="C4" s="1119"/>
      <c r="D4" s="1119"/>
      <c r="E4" s="1119"/>
      <c r="F4" s="1119"/>
      <c r="G4" s="1119"/>
      <c r="H4" s="1119"/>
      <c r="I4" s="1119"/>
      <c r="J4" s="1071"/>
      <c r="K4" s="1071"/>
      <c r="L4" s="1071"/>
      <c r="M4" s="361"/>
      <c r="N4" s="361"/>
      <c r="O4" s="371"/>
      <c r="P4" s="355"/>
      <c r="Q4" s="354"/>
    </row>
    <row r="5" spans="1:21" x14ac:dyDescent="0.35">
      <c r="A5" s="1119" t="s">
        <v>903</v>
      </c>
      <c r="B5" s="1119"/>
      <c r="C5" s="1119"/>
      <c r="D5" s="1119"/>
      <c r="E5" s="1119"/>
      <c r="F5" s="1119"/>
      <c r="G5" s="1119"/>
      <c r="H5" s="1119"/>
      <c r="I5" s="1119"/>
      <c r="J5" s="1071"/>
      <c r="K5" s="1071"/>
      <c r="L5" s="1071"/>
      <c r="M5" s="361"/>
      <c r="N5" s="361"/>
      <c r="O5" s="371"/>
      <c r="P5" s="355"/>
      <c r="Q5" s="354"/>
    </row>
    <row r="6" spans="1:21" x14ac:dyDescent="0.35">
      <c r="B6" s="1037"/>
      <c r="C6" s="1037"/>
      <c r="D6" s="1037"/>
      <c r="E6" s="1037"/>
      <c r="F6" s="1037"/>
      <c r="G6" s="1037"/>
      <c r="H6" s="1037"/>
      <c r="I6" s="1037"/>
      <c r="J6" s="1037"/>
      <c r="K6" s="361"/>
      <c r="L6" s="361"/>
      <c r="M6" s="361"/>
      <c r="N6" s="361"/>
      <c r="O6" s="329"/>
      <c r="P6" s="355"/>
      <c r="Q6" s="354"/>
    </row>
    <row r="7" spans="1:21" x14ac:dyDescent="0.35">
      <c r="A7" s="1120" t="s">
        <v>297</v>
      </c>
      <c r="B7" s="1120"/>
      <c r="C7" s="1120"/>
      <c r="D7" s="1120"/>
      <c r="E7" s="1120"/>
      <c r="F7" s="1120"/>
      <c r="G7" s="1120"/>
      <c r="H7" s="1120"/>
      <c r="I7" s="1120"/>
      <c r="J7" s="1072"/>
      <c r="K7" s="1072"/>
      <c r="L7" s="1072"/>
      <c r="M7" s="361"/>
      <c r="N7" s="361"/>
      <c r="O7" s="329"/>
      <c r="P7" s="355"/>
      <c r="Q7" s="354"/>
    </row>
    <row r="8" spans="1:21" x14ac:dyDescent="0.35">
      <c r="A8" s="1119" t="s">
        <v>904</v>
      </c>
      <c r="B8" s="1119"/>
      <c r="C8" s="1119"/>
      <c r="D8" s="1119"/>
      <c r="E8" s="1119"/>
      <c r="F8" s="1119"/>
      <c r="G8" s="1119"/>
      <c r="H8" s="1119"/>
      <c r="I8" s="1119"/>
      <c r="J8" s="1071"/>
      <c r="K8" s="1071"/>
      <c r="L8" s="1071"/>
      <c r="M8" s="361"/>
      <c r="N8" s="361"/>
      <c r="O8" s="329"/>
      <c r="P8" s="355"/>
      <c r="Q8" s="354"/>
    </row>
    <row r="9" spans="1:21" x14ac:dyDescent="0.35">
      <c r="A9" s="1119" t="s">
        <v>905</v>
      </c>
      <c r="B9" s="1119"/>
      <c r="C9" s="1119"/>
      <c r="D9" s="1119"/>
      <c r="E9" s="1119"/>
      <c r="F9" s="1119"/>
      <c r="G9" s="1119"/>
      <c r="H9" s="1119"/>
      <c r="I9" s="1119"/>
      <c r="J9" s="1071"/>
      <c r="K9" s="1071"/>
      <c r="L9" s="1071"/>
      <c r="M9" s="361"/>
      <c r="N9" s="361"/>
      <c r="O9" s="371"/>
      <c r="P9" s="355"/>
      <c r="Q9" s="354"/>
    </row>
    <row r="10" spans="1:21" ht="18.5" thickBot="1" x14ac:dyDescent="0.4">
      <c r="B10" s="371"/>
      <c r="C10" s="371"/>
      <c r="D10" s="371"/>
      <c r="E10" s="371"/>
      <c r="F10" s="371"/>
      <c r="G10" s="371"/>
      <c r="H10" s="371"/>
      <c r="I10" s="371"/>
      <c r="J10" s="371"/>
      <c r="K10" s="361"/>
      <c r="L10" s="361"/>
      <c r="M10" s="361"/>
      <c r="N10" s="361"/>
      <c r="O10" s="371"/>
      <c r="P10" s="355"/>
      <c r="Q10" s="354"/>
    </row>
    <row r="11" spans="1:21" s="317" customFormat="1" ht="20.149999999999999" customHeight="1" x14ac:dyDescent="0.35">
      <c r="A11" s="1127" t="s">
        <v>899</v>
      </c>
      <c r="B11" s="1129" t="s">
        <v>302</v>
      </c>
      <c r="C11" s="1131" t="s">
        <v>28</v>
      </c>
      <c r="D11" s="1131" t="s">
        <v>894</v>
      </c>
      <c r="E11" s="1133" t="s">
        <v>729</v>
      </c>
      <c r="F11" s="1135" t="s">
        <v>728</v>
      </c>
      <c r="G11" s="1135"/>
      <c r="H11" s="1135"/>
      <c r="I11" s="1135"/>
      <c r="J11" s="1136" t="s">
        <v>29</v>
      </c>
      <c r="K11" s="1121" t="s">
        <v>907</v>
      </c>
      <c r="L11" s="1123" t="s">
        <v>908</v>
      </c>
      <c r="M11" s="1047" t="s">
        <v>898</v>
      </c>
      <c r="N11" s="1125" t="s">
        <v>886</v>
      </c>
      <c r="O11" s="1044" t="s">
        <v>306</v>
      </c>
      <c r="P11" s="451"/>
      <c r="Q11" s="319"/>
    </row>
    <row r="12" spans="1:21" s="317" customFormat="1" ht="48" customHeight="1" thickBot="1" x14ac:dyDescent="0.4">
      <c r="A12" s="1128"/>
      <c r="B12" s="1130"/>
      <c r="C12" s="1132"/>
      <c r="D12" s="1132"/>
      <c r="E12" s="1134"/>
      <c r="F12" s="1059" t="s">
        <v>308</v>
      </c>
      <c r="G12" s="1059" t="s">
        <v>309</v>
      </c>
      <c r="H12" s="1059" t="s">
        <v>310</v>
      </c>
      <c r="I12" s="1059" t="s">
        <v>311</v>
      </c>
      <c r="J12" s="1137"/>
      <c r="K12" s="1122"/>
      <c r="L12" s="1124"/>
      <c r="M12" s="1047"/>
      <c r="N12" s="1126"/>
      <c r="O12" s="1045"/>
      <c r="P12" s="451"/>
      <c r="Q12" s="319"/>
      <c r="R12" s="320"/>
      <c r="T12" s="320"/>
    </row>
    <row r="13" spans="1:21" ht="18.75" customHeight="1" x14ac:dyDescent="0.35">
      <c r="A13" s="1049"/>
      <c r="B13" s="993" t="s">
        <v>3</v>
      </c>
      <c r="C13" s="994"/>
      <c r="D13" s="994"/>
      <c r="E13" s="994"/>
      <c r="F13" s="994"/>
      <c r="G13" s="994"/>
      <c r="H13" s="994"/>
      <c r="I13" s="994"/>
      <c r="J13" s="995"/>
      <c r="K13" s="987"/>
      <c r="L13" s="1068"/>
      <c r="M13" s="987"/>
      <c r="N13" s="329"/>
    </row>
    <row r="14" spans="1:21" ht="20.149999999999999" customHeight="1" x14ac:dyDescent="0.35">
      <c r="A14" s="1051">
        <v>1</v>
      </c>
      <c r="B14" s="1021">
        <v>1</v>
      </c>
      <c r="C14" s="330" t="s">
        <v>314</v>
      </c>
      <c r="D14" s="339">
        <v>3.47</v>
      </c>
      <c r="E14" s="323">
        <f>'[1]road inventory 2018'!C11</f>
        <v>5.5</v>
      </c>
      <c r="F14" s="323">
        <v>0</v>
      </c>
      <c r="G14" s="323">
        <v>0</v>
      </c>
      <c r="H14" s="323">
        <v>0</v>
      </c>
      <c r="I14" s="323">
        <f t="shared" ref="I14:I27" si="0">D14-F14</f>
        <v>3.47</v>
      </c>
      <c r="J14" s="326" t="s">
        <v>10</v>
      </c>
      <c r="K14" s="323">
        <f t="shared" ref="K14:K27" si="1">SUM(F14:I14)</f>
        <v>3.47</v>
      </c>
      <c r="L14" s="1052">
        <f t="shared" ref="L14:L27" si="2">SUM(G14:J14)</f>
        <v>3.47</v>
      </c>
      <c r="M14" s="1067" t="s">
        <v>892</v>
      </c>
      <c r="N14" s="326" t="s">
        <v>315</v>
      </c>
      <c r="O14" s="363"/>
      <c r="P14" s="328"/>
      <c r="Q14" s="951">
        <v>23</v>
      </c>
      <c r="S14" s="331"/>
      <c r="U14" s="331"/>
    </row>
    <row r="15" spans="1:21" ht="20.149999999999999" customHeight="1" x14ac:dyDescent="0.35">
      <c r="A15" s="1051">
        <v>2</v>
      </c>
      <c r="B15" s="1021">
        <v>93</v>
      </c>
      <c r="C15" s="330" t="s">
        <v>13</v>
      </c>
      <c r="D15" s="339">
        <v>3.97</v>
      </c>
      <c r="E15" s="323">
        <f>'[1]road inventory 2018'!C15</f>
        <v>3.9</v>
      </c>
      <c r="F15" s="323">
        <v>3.69</v>
      </c>
      <c r="G15" s="323">
        <v>0</v>
      </c>
      <c r="H15" s="323">
        <v>0</v>
      </c>
      <c r="I15" s="323">
        <f t="shared" si="0"/>
        <v>0.28000000000000025</v>
      </c>
      <c r="J15" s="325" t="s">
        <v>12</v>
      </c>
      <c r="K15" s="323">
        <f t="shared" si="1"/>
        <v>3.97</v>
      </c>
      <c r="L15" s="1052">
        <f t="shared" si="2"/>
        <v>0.28000000000000025</v>
      </c>
      <c r="M15" s="1038"/>
      <c r="N15" s="326" t="s">
        <v>320</v>
      </c>
      <c r="O15" s="363" t="s">
        <v>881</v>
      </c>
      <c r="P15" s="328"/>
      <c r="Q15" s="952">
        <v>14</v>
      </c>
      <c r="S15" s="331"/>
    </row>
    <row r="16" spans="1:21" ht="20.149999999999999" customHeight="1" x14ac:dyDescent="0.35">
      <c r="A16" s="1051">
        <v>3</v>
      </c>
      <c r="B16" s="1021">
        <v>4</v>
      </c>
      <c r="C16" s="330" t="s">
        <v>211</v>
      </c>
      <c r="D16" s="339">
        <v>2.77</v>
      </c>
      <c r="E16" s="323">
        <f>'[1]road inventory 2018'!C14</f>
        <v>2.7</v>
      </c>
      <c r="F16" s="323">
        <v>0.19</v>
      </c>
      <c r="G16" s="323">
        <v>0</v>
      </c>
      <c r="H16" s="323">
        <v>0</v>
      </c>
      <c r="I16" s="323">
        <f t="shared" si="0"/>
        <v>2.58</v>
      </c>
      <c r="J16" s="325" t="s">
        <v>12</v>
      </c>
      <c r="K16" s="323">
        <f t="shared" si="1"/>
        <v>2.77</v>
      </c>
      <c r="L16" s="1052">
        <f t="shared" si="2"/>
        <v>2.58</v>
      </c>
      <c r="M16" s="1038"/>
      <c r="N16" s="326" t="s">
        <v>320</v>
      </c>
      <c r="O16" s="363"/>
      <c r="P16" s="328"/>
      <c r="Q16" s="952">
        <v>13</v>
      </c>
    </row>
    <row r="17" spans="1:19" ht="20.149999999999999" customHeight="1" x14ac:dyDescent="0.35">
      <c r="A17" s="1051">
        <v>4</v>
      </c>
      <c r="B17" s="1021">
        <v>13</v>
      </c>
      <c r="C17" s="330" t="s">
        <v>218</v>
      </c>
      <c r="D17" s="339">
        <v>1.75</v>
      </c>
      <c r="E17" s="323">
        <f>'[1]road inventory 2018'!C24</f>
        <v>1.7</v>
      </c>
      <c r="F17" s="323">
        <v>0</v>
      </c>
      <c r="G17" s="323">
        <v>0</v>
      </c>
      <c r="H17" s="323">
        <v>0</v>
      </c>
      <c r="I17" s="323">
        <f t="shared" si="0"/>
        <v>1.75</v>
      </c>
      <c r="J17" s="325" t="s">
        <v>33</v>
      </c>
      <c r="K17" s="323">
        <f t="shared" si="1"/>
        <v>1.75</v>
      </c>
      <c r="L17" s="1052">
        <f t="shared" si="2"/>
        <v>1.75</v>
      </c>
      <c r="M17" s="1038"/>
      <c r="N17" s="326" t="s">
        <v>329</v>
      </c>
      <c r="O17" s="363" t="s">
        <v>881</v>
      </c>
      <c r="P17" s="328"/>
      <c r="Q17" s="951">
        <v>7</v>
      </c>
      <c r="S17" s="331"/>
    </row>
    <row r="18" spans="1:19" ht="20.149999999999999" customHeight="1" x14ac:dyDescent="0.35">
      <c r="A18" s="1051">
        <v>5</v>
      </c>
      <c r="B18" s="1021">
        <v>220</v>
      </c>
      <c r="C18" s="330" t="s">
        <v>221</v>
      </c>
      <c r="D18" s="339">
        <v>3</v>
      </c>
      <c r="E18" s="323">
        <f>'[1]road inventory 2018'!C26</f>
        <v>2.2999999999999998</v>
      </c>
      <c r="F18" s="323">
        <v>0.32500000000000001</v>
      </c>
      <c r="G18" s="323">
        <v>0</v>
      </c>
      <c r="H18" s="323">
        <v>0</v>
      </c>
      <c r="I18" s="323">
        <f t="shared" si="0"/>
        <v>2.6749999999999998</v>
      </c>
      <c r="J18" s="325" t="s">
        <v>33</v>
      </c>
      <c r="K18" s="323">
        <f t="shared" si="1"/>
        <v>3</v>
      </c>
      <c r="L18" s="1052">
        <f t="shared" si="2"/>
        <v>2.6749999999999998</v>
      </c>
      <c r="M18" s="1038"/>
      <c r="N18" s="326" t="s">
        <v>333</v>
      </c>
      <c r="O18" s="363" t="s">
        <v>881</v>
      </c>
      <c r="P18" s="328"/>
      <c r="Q18" s="951">
        <v>6</v>
      </c>
      <c r="S18" s="331"/>
    </row>
    <row r="19" spans="1:19" ht="20.149999999999999" customHeight="1" x14ac:dyDescent="0.35">
      <c r="A19" s="1051">
        <v>6</v>
      </c>
      <c r="B19" s="1021">
        <v>12</v>
      </c>
      <c r="C19" s="330" t="s">
        <v>222</v>
      </c>
      <c r="D19" s="339">
        <v>1.65</v>
      </c>
      <c r="E19" s="323">
        <f>'[1]road inventory 2018'!C25</f>
        <v>1.6</v>
      </c>
      <c r="F19" s="323">
        <v>0.86</v>
      </c>
      <c r="G19" s="323">
        <v>0</v>
      </c>
      <c r="H19" s="323">
        <v>0</v>
      </c>
      <c r="I19" s="323">
        <f t="shared" si="0"/>
        <v>0.78999999999999992</v>
      </c>
      <c r="J19" s="325" t="s">
        <v>33</v>
      </c>
      <c r="K19" s="323">
        <f t="shared" si="1"/>
        <v>1.65</v>
      </c>
      <c r="L19" s="1052">
        <f t="shared" si="2"/>
        <v>0.78999999999999992</v>
      </c>
      <c r="M19" s="1038"/>
      <c r="N19" s="326" t="s">
        <v>331</v>
      </c>
      <c r="O19" s="363" t="s">
        <v>881</v>
      </c>
      <c r="P19" s="328"/>
      <c r="Q19" s="951">
        <v>8</v>
      </c>
      <c r="S19" s="331"/>
    </row>
    <row r="20" spans="1:19" ht="20.149999999999999" customHeight="1" x14ac:dyDescent="0.35">
      <c r="A20" s="1051">
        <v>7</v>
      </c>
      <c r="B20" s="1021">
        <v>16</v>
      </c>
      <c r="C20" s="330" t="s">
        <v>25</v>
      </c>
      <c r="D20" s="339">
        <v>1.028</v>
      </c>
      <c r="E20" s="323">
        <f>'[1]road inventory 2018'!C29</f>
        <v>1</v>
      </c>
      <c r="F20" s="323">
        <v>0</v>
      </c>
      <c r="G20" s="323">
        <v>0</v>
      </c>
      <c r="H20" s="323">
        <v>0</v>
      </c>
      <c r="I20" s="323">
        <f t="shared" si="0"/>
        <v>1.028</v>
      </c>
      <c r="J20" s="325" t="s">
        <v>12</v>
      </c>
      <c r="K20" s="323">
        <f t="shared" si="1"/>
        <v>1.028</v>
      </c>
      <c r="L20" s="1052">
        <f t="shared" si="2"/>
        <v>1.028</v>
      </c>
      <c r="M20" s="1038"/>
      <c r="N20" s="326" t="s">
        <v>337</v>
      </c>
      <c r="O20" s="363" t="s">
        <v>881</v>
      </c>
      <c r="P20" s="328"/>
      <c r="Q20" s="951">
        <v>5</v>
      </c>
      <c r="S20" s="331"/>
    </row>
    <row r="21" spans="1:19" ht="20.149999999999999" customHeight="1" x14ac:dyDescent="0.35">
      <c r="A21" s="1051">
        <v>8</v>
      </c>
      <c r="B21" s="1021">
        <v>15</v>
      </c>
      <c r="C21" s="330" t="s">
        <v>334</v>
      </c>
      <c r="D21" s="339">
        <v>3.2</v>
      </c>
      <c r="E21" s="323">
        <v>3.2</v>
      </c>
      <c r="F21" s="323">
        <v>0</v>
      </c>
      <c r="G21" s="323">
        <v>0</v>
      </c>
      <c r="H21" s="323">
        <v>0</v>
      </c>
      <c r="I21" s="323">
        <f t="shared" si="0"/>
        <v>3.2</v>
      </c>
      <c r="J21" s="325" t="s">
        <v>33</v>
      </c>
      <c r="K21" s="323">
        <f t="shared" si="1"/>
        <v>3.2</v>
      </c>
      <c r="L21" s="1052">
        <f t="shared" si="2"/>
        <v>3.2</v>
      </c>
      <c r="M21" s="1038"/>
      <c r="N21" s="326" t="s">
        <v>335</v>
      </c>
      <c r="O21" s="336" t="s">
        <v>336</v>
      </c>
      <c r="P21" s="328"/>
      <c r="Q21" s="951">
        <v>4</v>
      </c>
      <c r="S21" s="331"/>
    </row>
    <row r="22" spans="1:19" ht="20.149999999999999" customHeight="1" x14ac:dyDescent="0.35">
      <c r="A22" s="1051">
        <v>9</v>
      </c>
      <c r="B22" s="1021">
        <v>221</v>
      </c>
      <c r="C22" s="1064" t="s">
        <v>219</v>
      </c>
      <c r="D22" s="339">
        <v>4.07</v>
      </c>
      <c r="E22" s="323">
        <f>'[1]road inventory 2018'!C32</f>
        <v>5.2</v>
      </c>
      <c r="F22" s="323">
        <v>1.56</v>
      </c>
      <c r="G22" s="323">
        <v>0</v>
      </c>
      <c r="H22" s="323">
        <v>0</v>
      </c>
      <c r="I22" s="323">
        <f t="shared" si="0"/>
        <v>2.5100000000000002</v>
      </c>
      <c r="J22" s="325" t="s">
        <v>12</v>
      </c>
      <c r="K22" s="323">
        <f t="shared" si="1"/>
        <v>4.07</v>
      </c>
      <c r="L22" s="1052">
        <f t="shared" si="2"/>
        <v>2.5100000000000002</v>
      </c>
      <c r="M22" s="1038"/>
      <c r="N22" s="326" t="s">
        <v>340</v>
      </c>
      <c r="O22" s="363" t="s">
        <v>881</v>
      </c>
      <c r="P22" s="328"/>
      <c r="Q22" s="951">
        <v>3</v>
      </c>
      <c r="S22" s="331"/>
    </row>
    <row r="23" spans="1:19" ht="20.149999999999999" customHeight="1" x14ac:dyDescent="0.35">
      <c r="A23" s="1051">
        <v>10</v>
      </c>
      <c r="B23" s="1021">
        <v>10</v>
      </c>
      <c r="C23" s="330" t="s">
        <v>23</v>
      </c>
      <c r="D23" s="339">
        <v>13.9</v>
      </c>
      <c r="E23" s="323">
        <f>'[1]road inventory 2018'!C22</f>
        <v>13.6</v>
      </c>
      <c r="F23" s="323">
        <v>12.19</v>
      </c>
      <c r="G23" s="323">
        <v>0</v>
      </c>
      <c r="H23" s="323">
        <v>0</v>
      </c>
      <c r="I23" s="323">
        <f t="shared" si="0"/>
        <v>1.7100000000000009</v>
      </c>
      <c r="J23" s="325" t="s">
        <v>10</v>
      </c>
      <c r="K23" s="323">
        <f t="shared" si="1"/>
        <v>13.9</v>
      </c>
      <c r="L23" s="1052">
        <f t="shared" si="2"/>
        <v>1.7100000000000009</v>
      </c>
      <c r="M23" s="1038"/>
      <c r="N23" s="326" t="s">
        <v>327</v>
      </c>
      <c r="O23" s="363"/>
      <c r="P23" s="328"/>
      <c r="Q23" s="951">
        <v>19</v>
      </c>
      <c r="S23" s="331"/>
    </row>
    <row r="24" spans="1:19" ht="20.149999999999999" customHeight="1" x14ac:dyDescent="0.35">
      <c r="A24" s="1051">
        <v>11</v>
      </c>
      <c r="B24" s="1021">
        <v>218</v>
      </c>
      <c r="C24" s="330" t="s">
        <v>213</v>
      </c>
      <c r="D24" s="339">
        <v>4.7699999999999996</v>
      </c>
      <c r="E24" s="323">
        <f>'[1]road inventory 2018'!C16</f>
        <v>5.8</v>
      </c>
      <c r="F24" s="323">
        <v>0</v>
      </c>
      <c r="G24" s="323">
        <v>0</v>
      </c>
      <c r="H24" s="323">
        <v>0</v>
      </c>
      <c r="I24" s="323">
        <f t="shared" si="0"/>
        <v>4.7699999999999996</v>
      </c>
      <c r="J24" s="325" t="s">
        <v>12</v>
      </c>
      <c r="K24" s="323">
        <f t="shared" si="1"/>
        <v>4.7699999999999996</v>
      </c>
      <c r="L24" s="1052">
        <f t="shared" si="2"/>
        <v>4.7699999999999996</v>
      </c>
      <c r="M24" s="1038"/>
      <c r="N24" s="326" t="s">
        <v>316</v>
      </c>
      <c r="O24" s="363" t="s">
        <v>881</v>
      </c>
      <c r="P24" s="328"/>
      <c r="Q24" s="952">
        <v>21</v>
      </c>
      <c r="R24" s="329" t="s">
        <v>299</v>
      </c>
      <c r="S24" s="327" t="s">
        <v>846</v>
      </c>
    </row>
    <row r="25" spans="1:19" ht="20.149999999999999" customHeight="1" x14ac:dyDescent="0.35">
      <c r="A25" s="1051">
        <v>12</v>
      </c>
      <c r="B25" s="1021">
        <v>2</v>
      </c>
      <c r="C25" s="330" t="s">
        <v>212</v>
      </c>
      <c r="D25" s="339">
        <v>0.87</v>
      </c>
      <c r="E25" s="323">
        <f>'[1]road inventory 2018'!C12</f>
        <v>0.8</v>
      </c>
      <c r="F25" s="323">
        <v>0.43</v>
      </c>
      <c r="G25" s="323">
        <v>0</v>
      </c>
      <c r="H25" s="323">
        <v>0</v>
      </c>
      <c r="I25" s="323">
        <f t="shared" si="0"/>
        <v>0.44</v>
      </c>
      <c r="J25" s="326" t="s">
        <v>12</v>
      </c>
      <c r="K25" s="323">
        <f t="shared" si="1"/>
        <v>0.87</v>
      </c>
      <c r="L25" s="1052">
        <f t="shared" si="2"/>
        <v>0.44</v>
      </c>
      <c r="M25" s="1038"/>
      <c r="N25" s="326" t="s">
        <v>316</v>
      </c>
      <c r="O25" s="363"/>
      <c r="P25" s="328"/>
      <c r="Q25" s="329">
        <v>15</v>
      </c>
    </row>
    <row r="26" spans="1:19" ht="20.149999999999999" customHeight="1" x14ac:dyDescent="0.35">
      <c r="A26" s="1051">
        <v>13</v>
      </c>
      <c r="B26" s="1021">
        <v>5</v>
      </c>
      <c r="C26" s="330" t="s">
        <v>16</v>
      </c>
      <c r="D26" s="339">
        <v>4.09</v>
      </c>
      <c r="E26" s="323">
        <f>'[1]road inventory 2018'!C17</f>
        <v>2.8</v>
      </c>
      <c r="F26" s="323">
        <v>3.5369999999999999</v>
      </c>
      <c r="G26" s="323">
        <v>0</v>
      </c>
      <c r="H26" s="323">
        <v>0</v>
      </c>
      <c r="I26" s="323">
        <f t="shared" si="0"/>
        <v>0.55299999999999994</v>
      </c>
      <c r="J26" s="325" t="s">
        <v>12</v>
      </c>
      <c r="K26" s="323">
        <f t="shared" si="1"/>
        <v>4.09</v>
      </c>
      <c r="L26" s="1052">
        <f t="shared" si="2"/>
        <v>0.55299999999999994</v>
      </c>
      <c r="M26" s="1067" t="s">
        <v>891</v>
      </c>
      <c r="N26" s="326" t="s">
        <v>320</v>
      </c>
      <c r="O26" s="363"/>
      <c r="P26" s="328"/>
      <c r="Q26" s="952">
        <v>12</v>
      </c>
      <c r="R26" s="320" t="e">
        <f>E38+#REF!+E59+E97+E132+E145+E152+E168</f>
        <v>#REF!</v>
      </c>
      <c r="S26" s="331" t="e">
        <f>R26+#REF!</f>
        <v>#REF!</v>
      </c>
    </row>
    <row r="27" spans="1:19" ht="20.149999999999999" customHeight="1" x14ac:dyDescent="0.35">
      <c r="A27" s="1051">
        <v>14</v>
      </c>
      <c r="B27" s="1021">
        <v>20</v>
      </c>
      <c r="C27" s="330" t="s">
        <v>208</v>
      </c>
      <c r="D27" s="339">
        <v>7.6680000000000001</v>
      </c>
      <c r="E27" s="323">
        <f>'[1]road inventory 2018'!C33</f>
        <v>7.6</v>
      </c>
      <c r="F27" s="323">
        <v>6.73</v>
      </c>
      <c r="G27" s="323">
        <v>0</v>
      </c>
      <c r="H27" s="323">
        <v>0</v>
      </c>
      <c r="I27" s="323">
        <f t="shared" si="0"/>
        <v>0.93799999999999972</v>
      </c>
      <c r="J27" s="325" t="s">
        <v>10</v>
      </c>
      <c r="K27" s="323">
        <f t="shared" si="1"/>
        <v>7.6680000000000001</v>
      </c>
      <c r="L27" s="1052">
        <f t="shared" si="2"/>
        <v>0.93799999999999972</v>
      </c>
      <c r="M27" s="1038"/>
      <c r="N27" s="326"/>
      <c r="O27" s="363"/>
      <c r="P27" s="328"/>
      <c r="Q27" s="331"/>
    </row>
    <row r="28" spans="1:19" ht="20.149999999999999" customHeight="1" x14ac:dyDescent="0.35">
      <c r="A28" s="1051">
        <v>15</v>
      </c>
      <c r="B28" s="1021">
        <v>219</v>
      </c>
      <c r="C28" s="330" t="s">
        <v>214</v>
      </c>
      <c r="D28" s="339">
        <v>0.68</v>
      </c>
      <c r="E28" s="323">
        <f>'[1]road inventory 2018'!C10</f>
        <v>0.65</v>
      </c>
      <c r="F28" s="323">
        <v>0.68</v>
      </c>
      <c r="G28" s="323">
        <v>0</v>
      </c>
      <c r="H28" s="323">
        <v>0</v>
      </c>
      <c r="I28" s="323">
        <f t="shared" ref="I28:I37" si="3">D28-F28</f>
        <v>0</v>
      </c>
      <c r="J28" s="325" t="s">
        <v>12</v>
      </c>
      <c r="K28" s="323">
        <f t="shared" ref="K28:L37" si="4">SUM(F28:I28)</f>
        <v>0.68</v>
      </c>
      <c r="L28" s="1052">
        <f t="shared" si="4"/>
        <v>0</v>
      </c>
      <c r="M28" s="1038"/>
      <c r="N28" s="326" t="s">
        <v>313</v>
      </c>
      <c r="O28" s="363" t="s">
        <v>881</v>
      </c>
      <c r="P28" s="328"/>
      <c r="Q28" s="329">
        <v>20</v>
      </c>
    </row>
    <row r="29" spans="1:19" ht="20.149999999999999" customHeight="1" x14ac:dyDescent="0.35">
      <c r="A29" s="1051">
        <v>16</v>
      </c>
      <c r="B29" s="1021">
        <v>3</v>
      </c>
      <c r="C29" s="330" t="s">
        <v>217</v>
      </c>
      <c r="D29" s="339">
        <v>5.5</v>
      </c>
      <c r="E29" s="323">
        <f>'[1]road inventory 2018'!C13</f>
        <v>4.9000000000000004</v>
      </c>
      <c r="F29" s="323">
        <v>5.5</v>
      </c>
      <c r="G29" s="323">
        <v>0</v>
      </c>
      <c r="H29" s="323">
        <v>0</v>
      </c>
      <c r="I29" s="323">
        <f t="shared" si="3"/>
        <v>0</v>
      </c>
      <c r="J29" s="325" t="s">
        <v>12</v>
      </c>
      <c r="K29" s="323">
        <f t="shared" si="4"/>
        <v>5.5</v>
      </c>
      <c r="L29" s="1052">
        <f t="shared" si="4"/>
        <v>0</v>
      </c>
      <c r="M29" s="1067" t="s">
        <v>893</v>
      </c>
      <c r="N29" s="326" t="s">
        <v>318</v>
      </c>
      <c r="O29" s="363"/>
      <c r="P29" s="328"/>
      <c r="Q29" s="951">
        <v>22</v>
      </c>
    </row>
    <row r="30" spans="1:19" ht="20.149999999999999" customHeight="1" x14ac:dyDescent="0.35">
      <c r="A30" s="1051">
        <v>17</v>
      </c>
      <c r="B30" s="1021">
        <v>6</v>
      </c>
      <c r="C30" s="330" t="s">
        <v>220</v>
      </c>
      <c r="D30" s="339">
        <v>2.67</v>
      </c>
      <c r="E30" s="323">
        <f>'[1]road inventory 2018'!C18</f>
        <v>3.9</v>
      </c>
      <c r="F30" s="323">
        <v>2.67</v>
      </c>
      <c r="G30" s="323">
        <v>0</v>
      </c>
      <c r="H30" s="323">
        <v>0</v>
      </c>
      <c r="I30" s="323">
        <f t="shared" si="3"/>
        <v>0</v>
      </c>
      <c r="J30" s="325" t="s">
        <v>10</v>
      </c>
      <c r="K30" s="323">
        <f t="shared" si="4"/>
        <v>2.67</v>
      </c>
      <c r="L30" s="1052">
        <f t="shared" si="4"/>
        <v>0</v>
      </c>
      <c r="M30" s="1067" t="s">
        <v>890</v>
      </c>
      <c r="N30" s="326" t="s">
        <v>315</v>
      </c>
      <c r="O30" s="363"/>
      <c r="P30" s="328"/>
      <c r="Q30" s="952">
        <v>11</v>
      </c>
      <c r="S30" s="331" t="e">
        <f>S26+#REF!</f>
        <v>#REF!</v>
      </c>
    </row>
    <row r="31" spans="1:19" ht="20.149999999999999" customHeight="1" x14ac:dyDescent="0.35">
      <c r="A31" s="1051">
        <v>18</v>
      </c>
      <c r="B31" s="1021">
        <v>7</v>
      </c>
      <c r="C31" s="330" t="s">
        <v>205</v>
      </c>
      <c r="D31" s="339">
        <v>1.19</v>
      </c>
      <c r="E31" s="323">
        <f>'[1]road inventory 2018'!C19</f>
        <v>1.1000000000000001</v>
      </c>
      <c r="F31" s="323">
        <v>1.19</v>
      </c>
      <c r="G31" s="323">
        <v>0</v>
      </c>
      <c r="H31" s="323">
        <v>0</v>
      </c>
      <c r="I31" s="323">
        <f t="shared" si="3"/>
        <v>0</v>
      </c>
      <c r="J31" s="325" t="s">
        <v>12</v>
      </c>
      <c r="K31" s="323">
        <f t="shared" si="4"/>
        <v>1.19</v>
      </c>
      <c r="L31" s="1052">
        <f t="shared" si="4"/>
        <v>0</v>
      </c>
      <c r="M31" s="1038"/>
      <c r="N31" s="326" t="s">
        <v>321</v>
      </c>
      <c r="O31" s="363" t="s">
        <v>881</v>
      </c>
      <c r="P31" s="328"/>
      <c r="Q31" s="952">
        <v>9</v>
      </c>
    </row>
    <row r="32" spans="1:19" ht="20.149999999999999" customHeight="1" x14ac:dyDescent="0.35">
      <c r="A32" s="1051">
        <v>19</v>
      </c>
      <c r="B32" s="1021">
        <v>8</v>
      </c>
      <c r="C32" s="330" t="s">
        <v>324</v>
      </c>
      <c r="D32" s="339">
        <v>0.7</v>
      </c>
      <c r="E32" s="323">
        <f>'[1]road inventory 2018'!C20</f>
        <v>0.6</v>
      </c>
      <c r="F32" s="323">
        <v>0.7</v>
      </c>
      <c r="G32" s="323">
        <v>0</v>
      </c>
      <c r="H32" s="323">
        <v>0</v>
      </c>
      <c r="I32" s="323">
        <f t="shared" si="3"/>
        <v>0</v>
      </c>
      <c r="J32" s="325" t="s">
        <v>12</v>
      </c>
      <c r="K32" s="323">
        <f t="shared" si="4"/>
        <v>0.7</v>
      </c>
      <c r="L32" s="1052">
        <f t="shared" si="4"/>
        <v>0</v>
      </c>
      <c r="M32" s="1038"/>
      <c r="N32" s="326" t="s">
        <v>325</v>
      </c>
      <c r="O32" s="363" t="s">
        <v>881</v>
      </c>
      <c r="P32" s="328"/>
      <c r="Q32" s="952">
        <v>10</v>
      </c>
      <c r="S32" s="331"/>
    </row>
    <row r="33" spans="1:19" ht="20.149999999999999" customHeight="1" x14ac:dyDescent="0.35">
      <c r="A33" s="1051">
        <v>20</v>
      </c>
      <c r="B33" s="1021">
        <v>9</v>
      </c>
      <c r="C33" s="330" t="s">
        <v>19</v>
      </c>
      <c r="D33" s="339">
        <v>9.1</v>
      </c>
      <c r="E33" s="323">
        <f>'[1]road inventory 2018'!C21</f>
        <v>9</v>
      </c>
      <c r="F33" s="323">
        <v>9.1</v>
      </c>
      <c r="G33" s="323">
        <v>0</v>
      </c>
      <c r="H33" s="323">
        <v>0</v>
      </c>
      <c r="I33" s="323">
        <f t="shared" si="3"/>
        <v>0</v>
      </c>
      <c r="J33" s="325" t="s">
        <v>10</v>
      </c>
      <c r="K33" s="323">
        <f t="shared" si="4"/>
        <v>9.1</v>
      </c>
      <c r="L33" s="1052">
        <f t="shared" si="4"/>
        <v>0</v>
      </c>
      <c r="M33" s="1038"/>
      <c r="N33" s="326" t="s">
        <v>326</v>
      </c>
      <c r="O33" s="363"/>
      <c r="P33" s="328">
        <v>8.6460000000000008</v>
      </c>
      <c r="Q33" s="952">
        <v>18</v>
      </c>
      <c r="S33" s="331"/>
    </row>
    <row r="34" spans="1:19" ht="20.149999999999999" customHeight="1" x14ac:dyDescent="0.35">
      <c r="A34" s="1051">
        <v>21</v>
      </c>
      <c r="B34" s="1021">
        <v>11</v>
      </c>
      <c r="C34" s="330" t="s">
        <v>223</v>
      </c>
      <c r="D34" s="339">
        <v>2.25</v>
      </c>
      <c r="E34" s="323">
        <f>'[1]road inventory 2018'!C23</f>
        <v>2.2000000000000002</v>
      </c>
      <c r="F34" s="323">
        <v>2.25</v>
      </c>
      <c r="G34" s="323">
        <v>0</v>
      </c>
      <c r="H34" s="323">
        <v>0</v>
      </c>
      <c r="I34" s="323">
        <f t="shared" si="3"/>
        <v>0</v>
      </c>
      <c r="J34" s="325" t="s">
        <v>12</v>
      </c>
      <c r="K34" s="323">
        <f t="shared" si="4"/>
        <v>2.25</v>
      </c>
      <c r="L34" s="1052">
        <f t="shared" si="4"/>
        <v>0</v>
      </c>
      <c r="M34" s="1038"/>
      <c r="N34" s="326" t="s">
        <v>328</v>
      </c>
      <c r="O34" s="363" t="s">
        <v>881</v>
      </c>
      <c r="P34" s="328"/>
      <c r="Q34" s="951">
        <v>16</v>
      </c>
      <c r="S34" s="333"/>
    </row>
    <row r="35" spans="1:19" ht="20.149999999999999" customHeight="1" x14ac:dyDescent="0.35">
      <c r="A35" s="1051">
        <v>22</v>
      </c>
      <c r="B35" s="1021">
        <v>14</v>
      </c>
      <c r="C35" s="330" t="s">
        <v>215</v>
      </c>
      <c r="D35" s="339">
        <v>4.04</v>
      </c>
      <c r="E35" s="323">
        <f>'[1]road inventory 2018'!C27</f>
        <v>4</v>
      </c>
      <c r="F35" s="323">
        <v>4.04</v>
      </c>
      <c r="G35" s="323">
        <v>0</v>
      </c>
      <c r="H35" s="323">
        <v>0</v>
      </c>
      <c r="I35" s="323">
        <f t="shared" si="3"/>
        <v>0</v>
      </c>
      <c r="J35" s="325" t="s">
        <v>12</v>
      </c>
      <c r="K35" s="323">
        <f t="shared" si="4"/>
        <v>4.04</v>
      </c>
      <c r="L35" s="1052">
        <f t="shared" si="4"/>
        <v>0</v>
      </c>
      <c r="M35" s="1038"/>
      <c r="N35" s="326" t="s">
        <v>327</v>
      </c>
      <c r="O35" s="363" t="s">
        <v>881</v>
      </c>
      <c r="P35" s="328"/>
      <c r="Q35" s="951">
        <v>2</v>
      </c>
      <c r="S35" s="331"/>
    </row>
    <row r="36" spans="1:19" ht="20.149999999999999" customHeight="1" x14ac:dyDescent="0.35">
      <c r="A36" s="1051">
        <v>23</v>
      </c>
      <c r="B36" s="1021">
        <v>17</v>
      </c>
      <c r="C36" s="330" t="s">
        <v>216</v>
      </c>
      <c r="D36" s="339">
        <v>4</v>
      </c>
      <c r="E36" s="323">
        <f>'[1]road inventory 2018'!C30</f>
        <v>4</v>
      </c>
      <c r="F36" s="323">
        <v>4</v>
      </c>
      <c r="G36" s="323">
        <v>0</v>
      </c>
      <c r="H36" s="323">
        <v>0</v>
      </c>
      <c r="I36" s="323">
        <f t="shared" si="3"/>
        <v>0</v>
      </c>
      <c r="J36" s="325" t="s">
        <v>10</v>
      </c>
      <c r="K36" s="323">
        <f t="shared" si="4"/>
        <v>4</v>
      </c>
      <c r="L36" s="1052">
        <f t="shared" si="4"/>
        <v>0</v>
      </c>
      <c r="M36" s="1038"/>
      <c r="N36" s="326" t="s">
        <v>339</v>
      </c>
      <c r="O36" s="363" t="s">
        <v>881</v>
      </c>
      <c r="P36" s="328">
        <v>1.4219999999999999</v>
      </c>
      <c r="Q36" s="951">
        <v>17</v>
      </c>
      <c r="S36" s="331"/>
    </row>
    <row r="37" spans="1:19" ht="20.149999999999999" customHeight="1" x14ac:dyDescent="0.35">
      <c r="A37" s="1051">
        <v>24</v>
      </c>
      <c r="B37" s="1021">
        <v>18</v>
      </c>
      <c r="C37" s="330" t="s">
        <v>27</v>
      </c>
      <c r="D37" s="339">
        <v>10.58</v>
      </c>
      <c r="E37" s="323">
        <f>'[1]road inventory 2018'!C31</f>
        <v>10.5</v>
      </c>
      <c r="F37" s="323">
        <v>10.58</v>
      </c>
      <c r="G37" s="323">
        <v>0</v>
      </c>
      <c r="H37" s="323">
        <v>0</v>
      </c>
      <c r="I37" s="323">
        <f t="shared" si="3"/>
        <v>0</v>
      </c>
      <c r="J37" s="325" t="s">
        <v>12</v>
      </c>
      <c r="K37" s="323">
        <f t="shared" si="4"/>
        <v>10.58</v>
      </c>
      <c r="L37" s="1052">
        <f t="shared" si="4"/>
        <v>0</v>
      </c>
      <c r="M37" s="1038"/>
      <c r="N37" s="326" t="s">
        <v>335</v>
      </c>
      <c r="O37" s="363" t="s">
        <v>749</v>
      </c>
      <c r="P37" s="328" t="s">
        <v>881</v>
      </c>
      <c r="Q37" s="951">
        <v>1</v>
      </c>
      <c r="S37" s="331"/>
    </row>
    <row r="38" spans="1:19" s="317" customFormat="1" ht="20.149999999999999" customHeight="1" x14ac:dyDescent="0.35">
      <c r="A38" s="1049"/>
      <c r="B38" s="1094"/>
      <c r="C38" s="1095" t="s">
        <v>341</v>
      </c>
      <c r="D38" s="1096">
        <f>SUM(D14:D37)</f>
        <v>96.915999999999997</v>
      </c>
      <c r="E38" s="1097">
        <f>SUM(E28:E37)</f>
        <v>40.849999999999994</v>
      </c>
      <c r="F38" s="1096">
        <f>SUM(F14:F37)</f>
        <v>70.221999999999994</v>
      </c>
      <c r="G38" s="1096">
        <f>SUM(G14:G37)</f>
        <v>0</v>
      </c>
      <c r="H38" s="1096">
        <f>SUM(H14:H37)</f>
        <v>0</v>
      </c>
      <c r="I38" s="1096">
        <f>SUM(I14:I37)</f>
        <v>26.694000000000003</v>
      </c>
      <c r="J38" s="979" t="s">
        <v>863</v>
      </c>
      <c r="K38" s="979">
        <f>SUM(K14:K37)</f>
        <v>96.915999999999997</v>
      </c>
      <c r="L38" s="1060">
        <f>SUM(L14:L37)</f>
        <v>26.694000000000003</v>
      </c>
      <c r="M38" s="1048"/>
      <c r="N38" s="372"/>
      <c r="O38" s="453"/>
      <c r="P38" s="377"/>
      <c r="Q38" s="320"/>
      <c r="R38" s="317" t="s">
        <v>865</v>
      </c>
    </row>
    <row r="39" spans="1:19" ht="15" customHeight="1" x14ac:dyDescent="0.35">
      <c r="A39" s="325"/>
      <c r="B39" s="321"/>
      <c r="C39" s="330"/>
      <c r="D39" s="330"/>
      <c r="E39" s="323"/>
      <c r="F39" s="323"/>
      <c r="G39" s="323"/>
      <c r="H39" s="323"/>
      <c r="I39" s="323"/>
      <c r="J39" s="1088"/>
      <c r="K39" s="323"/>
      <c r="L39" s="1052"/>
      <c r="M39" s="1038"/>
      <c r="N39" s="323"/>
      <c r="O39" s="326"/>
      <c r="P39" s="363"/>
      <c r="Q39" s="328"/>
      <c r="R39" s="331"/>
    </row>
    <row r="40" spans="1:19" s="1103" customFormat="1" ht="56.5" customHeight="1" x14ac:dyDescent="0.35">
      <c r="A40" s="1101"/>
      <c r="B40" s="1115" t="s">
        <v>909</v>
      </c>
      <c r="C40" s="1115"/>
      <c r="D40" s="1101" t="s">
        <v>912</v>
      </c>
      <c r="E40" s="1101"/>
      <c r="F40" s="1101" t="s">
        <v>917</v>
      </c>
      <c r="G40" s="1101" t="s">
        <v>918</v>
      </c>
      <c r="H40" s="1115" t="s">
        <v>911</v>
      </c>
      <c r="I40" s="1115"/>
      <c r="J40" s="1102"/>
      <c r="K40" s="1102"/>
      <c r="L40" s="1102"/>
      <c r="M40" s="1102"/>
      <c r="N40" s="1102"/>
      <c r="O40" s="1102"/>
      <c r="P40" s="1102"/>
      <c r="Q40" s="1102"/>
      <c r="R40" s="1102"/>
      <c r="S40" s="1102"/>
    </row>
    <row r="41" spans="1:19" s="1103" customFormat="1" ht="20.25" customHeight="1" x14ac:dyDescent="0.35">
      <c r="A41" s="1101">
        <v>1</v>
      </c>
      <c r="B41" s="1117" t="s">
        <v>910</v>
      </c>
      <c r="C41" s="1118"/>
      <c r="D41" s="339">
        <f>L38</f>
        <v>26.694000000000003</v>
      </c>
      <c r="E41" s="326"/>
      <c r="F41" s="942">
        <v>0.1</v>
      </c>
      <c r="G41" s="1113">
        <v>7</v>
      </c>
      <c r="H41" s="326">
        <f>D41*F41*1000*G41</f>
        <v>18685.800000000003</v>
      </c>
      <c r="I41" s="1101" t="s">
        <v>913</v>
      </c>
      <c r="J41" s="1102"/>
      <c r="K41" s="1102"/>
      <c r="L41" s="1102" t="s">
        <v>863</v>
      </c>
      <c r="M41" s="1102">
        <f>H41</f>
        <v>18685.800000000003</v>
      </c>
      <c r="N41" s="1102"/>
      <c r="O41" s="1102"/>
      <c r="P41" s="1102"/>
      <c r="Q41" s="1102"/>
      <c r="R41" s="1102"/>
      <c r="S41" s="1102"/>
    </row>
    <row r="42" spans="1:19" ht="15" customHeight="1" thickBot="1" x14ac:dyDescent="0.4">
      <c r="A42" s="1053"/>
      <c r="B42" s="1098"/>
      <c r="C42" s="1099"/>
      <c r="D42" s="1099"/>
      <c r="E42" s="1100"/>
      <c r="F42" s="1100"/>
      <c r="G42" s="1100"/>
      <c r="H42" s="1100"/>
      <c r="I42" s="1100"/>
      <c r="J42" s="1057"/>
      <c r="K42" s="1056"/>
      <c r="L42" s="1058"/>
      <c r="M42" s="1038"/>
      <c r="N42" s="323"/>
      <c r="O42" s="326"/>
      <c r="P42" s="363"/>
      <c r="Q42" s="328"/>
      <c r="R42" s="331"/>
    </row>
    <row r="43" spans="1:19" ht="20.149999999999999" customHeight="1" x14ac:dyDescent="0.35">
      <c r="A43" s="1062"/>
      <c r="B43" s="986" t="s">
        <v>441</v>
      </c>
      <c r="C43" s="987"/>
      <c r="D43" s="987"/>
      <c r="E43" s="985"/>
      <c r="F43" s="985"/>
      <c r="G43" s="985"/>
      <c r="H43" s="985"/>
      <c r="I43" s="985"/>
      <c r="J43" s="988"/>
      <c r="K43" s="985"/>
      <c r="L43" s="1063"/>
      <c r="M43" s="989"/>
      <c r="N43" s="388"/>
      <c r="O43" s="454"/>
      <c r="P43" s="387"/>
    </row>
    <row r="44" spans="1:19" ht="20.149999999999999" customHeight="1" x14ac:dyDescent="0.35">
      <c r="A44" s="1051">
        <v>1</v>
      </c>
      <c r="B44" s="1021">
        <v>80</v>
      </c>
      <c r="C44" s="335" t="s">
        <v>282</v>
      </c>
      <c r="D44" s="339">
        <v>15.714</v>
      </c>
      <c r="E44" s="323">
        <f>'[1]road inventory 2018'!C154</f>
        <v>15.7</v>
      </c>
      <c r="F44" s="323">
        <v>2.57</v>
      </c>
      <c r="G44" s="323">
        <v>0</v>
      </c>
      <c r="H44" s="323">
        <v>0</v>
      </c>
      <c r="I44" s="323">
        <f>D44-F44</f>
        <v>13.144</v>
      </c>
      <c r="J44" s="325" t="s">
        <v>12</v>
      </c>
      <c r="K44" s="323">
        <f t="shared" ref="K44:K52" si="5">SUM(F44:I44)</f>
        <v>15.714</v>
      </c>
      <c r="L44" s="1052">
        <f t="shared" ref="L44:L52" si="6">SUM(G44:J44)</f>
        <v>13.144</v>
      </c>
      <c r="M44" s="1038"/>
      <c r="N44" s="326" t="s">
        <v>447</v>
      </c>
      <c r="O44" s="350" t="s">
        <v>862</v>
      </c>
      <c r="P44" s="328" t="s">
        <v>881</v>
      </c>
    </row>
    <row r="45" spans="1:19" ht="20.149999999999999" customHeight="1" x14ac:dyDescent="0.35">
      <c r="A45" s="1051">
        <v>2</v>
      </c>
      <c r="B45" s="1021">
        <v>83</v>
      </c>
      <c r="C45" s="335" t="s">
        <v>58</v>
      </c>
      <c r="D45" s="339">
        <v>4.2640000000000002</v>
      </c>
      <c r="E45" s="323">
        <f>'[1]road inventory 2018'!C157</f>
        <v>4.2</v>
      </c>
      <c r="F45" s="323">
        <f>0.328+0.091+0.13+0.039</f>
        <v>0.58800000000000008</v>
      </c>
      <c r="G45" s="323">
        <v>0</v>
      </c>
      <c r="H45" s="323">
        <v>0</v>
      </c>
      <c r="I45" s="323">
        <f>D45-F45</f>
        <v>3.6760000000000002</v>
      </c>
      <c r="J45" s="325" t="s">
        <v>12</v>
      </c>
      <c r="K45" s="323">
        <f t="shared" si="5"/>
        <v>4.2640000000000002</v>
      </c>
      <c r="L45" s="1052">
        <f t="shared" si="6"/>
        <v>3.6760000000000002</v>
      </c>
      <c r="M45" s="1038"/>
      <c r="N45" s="326" t="s">
        <v>447</v>
      </c>
      <c r="O45" s="350" t="s">
        <v>862</v>
      </c>
      <c r="P45" s="328" t="s">
        <v>881</v>
      </c>
    </row>
    <row r="46" spans="1:19" ht="20.149999999999999" customHeight="1" x14ac:dyDescent="0.35">
      <c r="A46" s="1051">
        <v>3</v>
      </c>
      <c r="B46" s="1021">
        <v>81</v>
      </c>
      <c r="C46" s="335" t="s">
        <v>279</v>
      </c>
      <c r="D46" s="339">
        <v>3.9</v>
      </c>
      <c r="E46" s="323">
        <f>'[1]road inventory 2018'!C155</f>
        <v>3.8</v>
      </c>
      <c r="F46" s="323">
        <v>0.23</v>
      </c>
      <c r="G46" s="323">
        <v>0</v>
      </c>
      <c r="H46" s="323">
        <v>0</v>
      </c>
      <c r="I46" s="323">
        <f>D46-F46</f>
        <v>3.67</v>
      </c>
      <c r="J46" s="325" t="s">
        <v>33</v>
      </c>
      <c r="K46" s="323">
        <f t="shared" si="5"/>
        <v>3.9</v>
      </c>
      <c r="L46" s="1052">
        <f t="shared" si="6"/>
        <v>3.67</v>
      </c>
      <c r="M46" s="1038"/>
      <c r="N46" s="326" t="s">
        <v>448</v>
      </c>
      <c r="O46" s="350" t="s">
        <v>862</v>
      </c>
      <c r="P46" s="328" t="s">
        <v>881</v>
      </c>
    </row>
    <row r="47" spans="1:19" ht="20.149999999999999" customHeight="1" x14ac:dyDescent="0.35">
      <c r="A47" s="1051">
        <v>4</v>
      </c>
      <c r="B47" s="1021">
        <v>88</v>
      </c>
      <c r="C47" s="335" t="s">
        <v>280</v>
      </c>
      <c r="D47" s="339">
        <v>3.25</v>
      </c>
      <c r="E47" s="323">
        <f>'[1]road inventory 2018'!C162</f>
        <v>3.2</v>
      </c>
      <c r="F47" s="323">
        <v>0</v>
      </c>
      <c r="G47" s="323">
        <v>0</v>
      </c>
      <c r="H47" s="323">
        <v>0</v>
      </c>
      <c r="I47" s="323">
        <f>D47-F47</f>
        <v>3.25</v>
      </c>
      <c r="J47" s="325" t="s">
        <v>41</v>
      </c>
      <c r="K47" s="323">
        <f t="shared" si="5"/>
        <v>3.25</v>
      </c>
      <c r="L47" s="1052">
        <f t="shared" si="6"/>
        <v>3.25</v>
      </c>
      <c r="M47" s="1038"/>
      <c r="N47" s="326" t="s">
        <v>454</v>
      </c>
      <c r="O47" s="350" t="s">
        <v>862</v>
      </c>
      <c r="P47" s="328" t="s">
        <v>882</v>
      </c>
    </row>
    <row r="48" spans="1:19" ht="20.149999999999999" customHeight="1" x14ac:dyDescent="0.35">
      <c r="A48" s="1051">
        <v>5</v>
      </c>
      <c r="B48" s="1021">
        <v>86</v>
      </c>
      <c r="C48" s="335" t="s">
        <v>275</v>
      </c>
      <c r="D48" s="339">
        <v>2.64</v>
      </c>
      <c r="E48" s="323">
        <f>'[1]road inventory 2018'!C160</f>
        <v>2.5</v>
      </c>
      <c r="F48" s="323">
        <v>0</v>
      </c>
      <c r="G48" s="323">
        <v>0</v>
      </c>
      <c r="H48" s="323">
        <v>2.5</v>
      </c>
      <c r="I48" s="323">
        <f>D48-F48-H48</f>
        <v>0.14000000000000012</v>
      </c>
      <c r="J48" s="325" t="s">
        <v>41</v>
      </c>
      <c r="K48" s="323">
        <f t="shared" si="5"/>
        <v>2.64</v>
      </c>
      <c r="L48" s="1052">
        <f t="shared" si="6"/>
        <v>2.64</v>
      </c>
      <c r="M48" s="1038"/>
      <c r="N48" s="326" t="s">
        <v>452</v>
      </c>
      <c r="O48" s="350" t="s">
        <v>862</v>
      </c>
      <c r="P48" s="328" t="s">
        <v>881</v>
      </c>
    </row>
    <row r="49" spans="1:19" ht="20.149999999999999" customHeight="1" x14ac:dyDescent="0.35">
      <c r="A49" s="1051">
        <v>6</v>
      </c>
      <c r="B49" s="1021">
        <v>85</v>
      </c>
      <c r="C49" s="335" t="s">
        <v>281</v>
      </c>
      <c r="D49" s="339">
        <v>2.851</v>
      </c>
      <c r="E49" s="323">
        <f>'[1]road inventory 2018'!C159</f>
        <v>2.8</v>
      </c>
      <c r="F49" s="323">
        <v>0</v>
      </c>
      <c r="G49" s="323">
        <v>0</v>
      </c>
      <c r="H49" s="323">
        <v>0</v>
      </c>
      <c r="I49" s="323">
        <f>D49-F49</f>
        <v>2.851</v>
      </c>
      <c r="J49" s="325" t="s">
        <v>12</v>
      </c>
      <c r="K49" s="323">
        <f t="shared" si="5"/>
        <v>2.851</v>
      </c>
      <c r="L49" s="1052">
        <f t="shared" si="6"/>
        <v>2.851</v>
      </c>
      <c r="M49" s="1038"/>
      <c r="N49" s="326" t="s">
        <v>451</v>
      </c>
      <c r="O49" s="350" t="s">
        <v>862</v>
      </c>
      <c r="P49" s="328" t="s">
        <v>882</v>
      </c>
    </row>
    <row r="50" spans="1:19" ht="19.5" customHeight="1" x14ac:dyDescent="0.35">
      <c r="A50" s="1051">
        <v>7</v>
      </c>
      <c r="B50" s="1021">
        <v>82</v>
      </c>
      <c r="C50" s="335" t="s">
        <v>859</v>
      </c>
      <c r="D50" s="339">
        <v>5.42</v>
      </c>
      <c r="E50" s="323">
        <f>'[1]road inventory 2018'!C156</f>
        <v>5.4</v>
      </c>
      <c r="F50" s="323">
        <f>3.12</f>
        <v>3.12</v>
      </c>
      <c r="G50" s="323">
        <v>0</v>
      </c>
      <c r="H50" s="323">
        <v>0.40400000000000003</v>
      </c>
      <c r="I50" s="323">
        <f>D50-F50-H50</f>
        <v>1.8959999999999999</v>
      </c>
      <c r="J50" s="325" t="s">
        <v>10</v>
      </c>
      <c r="K50" s="323">
        <f t="shared" si="5"/>
        <v>5.42</v>
      </c>
      <c r="L50" s="1052">
        <f t="shared" si="6"/>
        <v>2.2999999999999998</v>
      </c>
      <c r="M50" s="1038"/>
      <c r="N50" s="326" t="s">
        <v>449</v>
      </c>
      <c r="O50" s="350" t="s">
        <v>862</v>
      </c>
      <c r="P50" s="328"/>
    </row>
    <row r="51" spans="1:19" ht="20.149999999999999" customHeight="1" x14ac:dyDescent="0.35">
      <c r="A51" s="1051">
        <v>8</v>
      </c>
      <c r="B51" s="1021">
        <v>87</v>
      </c>
      <c r="C51" s="1065" t="s">
        <v>273</v>
      </c>
      <c r="D51" s="339">
        <v>0.60799999999999998</v>
      </c>
      <c r="E51" s="323">
        <v>0.5</v>
      </c>
      <c r="F51" s="323">
        <v>0</v>
      </c>
      <c r="G51" s="323">
        <v>0</v>
      </c>
      <c r="H51" s="323">
        <v>0</v>
      </c>
      <c r="I51" s="323">
        <f>D51-F51</f>
        <v>0.60799999999999998</v>
      </c>
      <c r="J51" s="325" t="s">
        <v>12</v>
      </c>
      <c r="K51" s="323">
        <f t="shared" si="5"/>
        <v>0.60799999999999998</v>
      </c>
      <c r="L51" s="1052">
        <f t="shared" si="6"/>
        <v>0.60799999999999998</v>
      </c>
      <c r="M51" s="1038"/>
      <c r="N51" s="326" t="s">
        <v>450</v>
      </c>
      <c r="O51" s="350" t="s">
        <v>862</v>
      </c>
      <c r="P51" s="328" t="s">
        <v>881</v>
      </c>
    </row>
    <row r="52" spans="1:19" ht="20.149999999999999" customHeight="1" x14ac:dyDescent="0.35">
      <c r="A52" s="1051">
        <v>9</v>
      </c>
      <c r="B52" s="1021">
        <v>84</v>
      </c>
      <c r="C52" s="1065" t="s">
        <v>274</v>
      </c>
      <c r="D52" s="339">
        <v>1.1140000000000001</v>
      </c>
      <c r="E52" s="323">
        <v>1.1000000000000001</v>
      </c>
      <c r="F52" s="323">
        <v>0.86</v>
      </c>
      <c r="G52" s="323">
        <v>0</v>
      </c>
      <c r="H52" s="323">
        <v>0</v>
      </c>
      <c r="I52" s="323">
        <f>D52-F52</f>
        <v>0.25400000000000011</v>
      </c>
      <c r="J52" s="325" t="s">
        <v>12</v>
      </c>
      <c r="K52" s="323">
        <f t="shared" si="5"/>
        <v>1.1140000000000001</v>
      </c>
      <c r="L52" s="1052">
        <f t="shared" si="6"/>
        <v>0.25400000000000011</v>
      </c>
      <c r="M52" s="1038"/>
      <c r="N52" s="326" t="s">
        <v>450</v>
      </c>
      <c r="O52" s="350" t="s">
        <v>862</v>
      </c>
      <c r="P52" s="328" t="s">
        <v>881</v>
      </c>
    </row>
    <row r="53" spans="1:19" ht="20.149999999999999" customHeight="1" x14ac:dyDescent="0.35">
      <c r="A53" s="1051">
        <v>10</v>
      </c>
      <c r="B53" s="1021">
        <v>95</v>
      </c>
      <c r="C53" s="335" t="s">
        <v>276</v>
      </c>
      <c r="D53" s="339">
        <v>2.0249999999999999</v>
      </c>
      <c r="E53" s="323">
        <v>2</v>
      </c>
      <c r="F53" s="323">
        <v>1.018</v>
      </c>
      <c r="G53" s="323">
        <v>0</v>
      </c>
      <c r="H53" s="323">
        <v>0</v>
      </c>
      <c r="I53" s="323">
        <f t="shared" ref="I53:I58" si="7">D53-F53</f>
        <v>1.0069999999999999</v>
      </c>
      <c r="J53" s="325" t="s">
        <v>12</v>
      </c>
      <c r="K53" s="323">
        <f t="shared" ref="K53:L58" si="8">SUM(F53:I53)</f>
        <v>2.0249999999999999</v>
      </c>
      <c r="L53" s="1052">
        <f t="shared" si="8"/>
        <v>1.0069999999999999</v>
      </c>
      <c r="M53" s="1038"/>
      <c r="N53" s="326" t="s">
        <v>442</v>
      </c>
      <c r="O53" s="350" t="s">
        <v>862</v>
      </c>
      <c r="P53" s="328" t="s">
        <v>881</v>
      </c>
    </row>
    <row r="54" spans="1:19" ht="20.149999999999999" customHeight="1" x14ac:dyDescent="0.35">
      <c r="A54" s="1051">
        <v>11</v>
      </c>
      <c r="B54" s="1021"/>
      <c r="C54" s="335" t="s">
        <v>861</v>
      </c>
      <c r="D54" s="339">
        <v>1.07</v>
      </c>
      <c r="E54" s="323">
        <v>1</v>
      </c>
      <c r="F54" s="323">
        <v>0.28999999999999998</v>
      </c>
      <c r="G54" s="323">
        <v>0</v>
      </c>
      <c r="H54" s="323">
        <v>0</v>
      </c>
      <c r="I54" s="323">
        <f t="shared" si="7"/>
        <v>0.78</v>
      </c>
      <c r="J54" s="325" t="s">
        <v>33</v>
      </c>
      <c r="K54" s="323">
        <f t="shared" si="8"/>
        <v>1.07</v>
      </c>
      <c r="L54" s="1052">
        <f t="shared" si="8"/>
        <v>0.78</v>
      </c>
      <c r="M54" s="1038"/>
      <c r="N54" s="326" t="s">
        <v>442</v>
      </c>
      <c r="O54" s="350" t="s">
        <v>862</v>
      </c>
      <c r="P54" s="328" t="s">
        <v>881</v>
      </c>
    </row>
    <row r="55" spans="1:19" ht="20.149999999999999" customHeight="1" x14ac:dyDescent="0.35">
      <c r="A55" s="1051">
        <v>12</v>
      </c>
      <c r="B55" s="1021">
        <v>94</v>
      </c>
      <c r="C55" s="335" t="s">
        <v>278</v>
      </c>
      <c r="D55" s="339">
        <v>0.63400000000000001</v>
      </c>
      <c r="E55" s="323">
        <f>'[1]road inventory 2018'!C151</f>
        <v>0.6</v>
      </c>
      <c r="F55" s="323">
        <v>0</v>
      </c>
      <c r="G55" s="323">
        <v>0</v>
      </c>
      <c r="H55" s="323">
        <v>0</v>
      </c>
      <c r="I55" s="323">
        <f>D55-F55</f>
        <v>0.63400000000000001</v>
      </c>
      <c r="J55" s="325" t="s">
        <v>12</v>
      </c>
      <c r="K55" s="323">
        <f t="shared" ref="K55:L57" si="9">SUM(F55:I55)</f>
        <v>0.63400000000000001</v>
      </c>
      <c r="L55" s="1052">
        <f t="shared" si="9"/>
        <v>0.63400000000000001</v>
      </c>
      <c r="M55" s="1038"/>
      <c r="N55" s="326" t="s">
        <v>444</v>
      </c>
      <c r="O55" s="350" t="s">
        <v>862</v>
      </c>
      <c r="P55" s="328"/>
    </row>
    <row r="56" spans="1:19" ht="19.5" customHeight="1" x14ac:dyDescent="0.35">
      <c r="A56" s="1051">
        <v>13</v>
      </c>
      <c r="B56" s="1021">
        <v>78</v>
      </c>
      <c r="C56" s="335" t="s">
        <v>277</v>
      </c>
      <c r="D56" s="339">
        <v>3.91</v>
      </c>
      <c r="E56" s="323">
        <f>'[1]road inventory 2018'!C152</f>
        <v>3.8</v>
      </c>
      <c r="F56" s="323">
        <v>0.70799999999999996</v>
      </c>
      <c r="G56" s="323">
        <v>0</v>
      </c>
      <c r="H56" s="323">
        <v>0</v>
      </c>
      <c r="I56" s="323">
        <f>D56-F56</f>
        <v>3.202</v>
      </c>
      <c r="J56" s="325" t="s">
        <v>12</v>
      </c>
      <c r="K56" s="323">
        <f t="shared" si="9"/>
        <v>3.91</v>
      </c>
      <c r="L56" s="1052">
        <f t="shared" si="9"/>
        <v>3.202</v>
      </c>
      <c r="M56" s="1038"/>
      <c r="N56" s="326" t="s">
        <v>445</v>
      </c>
      <c r="O56" s="350" t="s">
        <v>862</v>
      </c>
      <c r="P56" s="328" t="s">
        <v>881</v>
      </c>
    </row>
    <row r="57" spans="1:19" ht="20.149999999999999" customHeight="1" x14ac:dyDescent="0.35">
      <c r="A57" s="1051">
        <v>14</v>
      </c>
      <c r="B57" s="1021">
        <v>79</v>
      </c>
      <c r="C57" s="335" t="s">
        <v>272</v>
      </c>
      <c r="D57" s="339">
        <v>1.9430000000000001</v>
      </c>
      <c r="E57" s="323">
        <f>'[1]road inventory 2018'!C153</f>
        <v>1.9000000000000001</v>
      </c>
      <c r="F57" s="323">
        <v>0.12</v>
      </c>
      <c r="G57" s="323">
        <v>0</v>
      </c>
      <c r="H57" s="323">
        <v>0</v>
      </c>
      <c r="I57" s="323">
        <f>D57-F57</f>
        <v>1.823</v>
      </c>
      <c r="J57" s="325" t="s">
        <v>33</v>
      </c>
      <c r="K57" s="323">
        <f t="shared" si="9"/>
        <v>1.9430000000000001</v>
      </c>
      <c r="L57" s="1052">
        <f t="shared" si="9"/>
        <v>1.823</v>
      </c>
      <c r="M57" s="1038"/>
      <c r="N57" s="326" t="s">
        <v>446</v>
      </c>
      <c r="O57" s="350" t="s">
        <v>862</v>
      </c>
      <c r="P57" s="328" t="s">
        <v>881</v>
      </c>
    </row>
    <row r="58" spans="1:19" ht="20.149999999999999" customHeight="1" x14ac:dyDescent="0.35">
      <c r="A58" s="1051">
        <v>15</v>
      </c>
      <c r="B58" s="1021">
        <v>77</v>
      </c>
      <c r="C58" s="941" t="s">
        <v>271</v>
      </c>
      <c r="D58" s="339">
        <v>0.7</v>
      </c>
      <c r="E58" s="323">
        <f>'[1]road inventory 2018'!C150</f>
        <v>0.7</v>
      </c>
      <c r="F58" s="323">
        <v>0.7</v>
      </c>
      <c r="G58" s="323">
        <v>0</v>
      </c>
      <c r="H58" s="323">
        <v>0</v>
      </c>
      <c r="I58" s="323">
        <f t="shared" si="7"/>
        <v>0</v>
      </c>
      <c r="J58" s="325" t="s">
        <v>10</v>
      </c>
      <c r="K58" s="323">
        <f t="shared" si="8"/>
        <v>0.7</v>
      </c>
      <c r="L58" s="1052">
        <f t="shared" si="8"/>
        <v>0</v>
      </c>
      <c r="M58" s="1038"/>
      <c r="N58" s="326" t="s">
        <v>443</v>
      </c>
      <c r="O58" s="350" t="s">
        <v>862</v>
      </c>
      <c r="P58" s="328" t="s">
        <v>881</v>
      </c>
    </row>
    <row r="59" spans="1:19" s="317" customFormat="1" ht="20.149999999999999" customHeight="1" x14ac:dyDescent="0.35">
      <c r="A59" s="1049"/>
      <c r="B59" s="977"/>
      <c r="C59" s="978" t="s">
        <v>341</v>
      </c>
      <c r="D59" s="979">
        <f>SUM(D44:D58)</f>
        <v>50.042999999999992</v>
      </c>
      <c r="E59" s="980">
        <f>SUM(E53:E58)</f>
        <v>10</v>
      </c>
      <c r="F59" s="979">
        <f>SUM(F44:F58)</f>
        <v>10.203999999999999</v>
      </c>
      <c r="G59" s="979">
        <f>SUM(G44:G58)</f>
        <v>0</v>
      </c>
      <c r="H59" s="979">
        <f>SUM(H44:H58)</f>
        <v>2.9039999999999999</v>
      </c>
      <c r="I59" s="979">
        <f>SUM(I44:I58)</f>
        <v>36.935000000000009</v>
      </c>
      <c r="J59" s="981"/>
      <c r="K59" s="979">
        <f>SUM(K44:K58)</f>
        <v>50.042999999999992</v>
      </c>
      <c r="L59" s="1060">
        <f>SUM(L44:L58)</f>
        <v>39.838999999999999</v>
      </c>
      <c r="M59" s="1061"/>
      <c r="N59" s="372"/>
      <c r="O59" s="453"/>
      <c r="P59" s="377"/>
      <c r="Q59" s="320"/>
    </row>
    <row r="60" spans="1:19" ht="15" customHeight="1" x14ac:dyDescent="0.35">
      <c r="A60" s="1051"/>
      <c r="B60" s="1089"/>
      <c r="C60" s="1090"/>
      <c r="D60" s="1090"/>
      <c r="E60" s="1091"/>
      <c r="F60" s="1091"/>
      <c r="G60" s="1091"/>
      <c r="H60" s="1091"/>
      <c r="I60" s="1091"/>
      <c r="J60" s="1105"/>
      <c r="K60" s="1091"/>
      <c r="L60" s="1106"/>
      <c r="M60" s="1073"/>
      <c r="N60" s="1091"/>
      <c r="O60" s="1107"/>
      <c r="P60" s="363"/>
      <c r="Q60" s="328"/>
      <c r="R60" s="331"/>
    </row>
    <row r="61" spans="1:19" s="1103" customFormat="1" ht="56.5" customHeight="1" x14ac:dyDescent="0.35">
      <c r="A61" s="1101"/>
      <c r="B61" s="1115" t="s">
        <v>909</v>
      </c>
      <c r="C61" s="1115"/>
      <c r="D61" s="1101" t="s">
        <v>912</v>
      </c>
      <c r="E61" s="1101"/>
      <c r="F61" s="1101" t="s">
        <v>917</v>
      </c>
      <c r="G61" s="1101" t="s">
        <v>918</v>
      </c>
      <c r="H61" s="1115" t="s">
        <v>911</v>
      </c>
      <c r="I61" s="1115"/>
      <c r="J61" s="1102"/>
      <c r="K61" s="1102"/>
      <c r="L61" s="1102"/>
      <c r="M61" s="1102"/>
      <c r="N61" s="1102"/>
      <c r="O61" s="1102"/>
      <c r="P61" s="1102"/>
      <c r="Q61" s="1102"/>
      <c r="R61" s="1102"/>
      <c r="S61" s="1102"/>
    </row>
    <row r="62" spans="1:19" s="1103" customFormat="1" ht="20.25" customHeight="1" x14ac:dyDescent="0.35">
      <c r="A62" s="1101">
        <v>1</v>
      </c>
      <c r="B62" s="1117" t="s">
        <v>910</v>
      </c>
      <c r="C62" s="1118"/>
      <c r="D62" s="339">
        <f>L59</f>
        <v>39.838999999999999</v>
      </c>
      <c r="E62" s="326"/>
      <c r="F62" s="942">
        <v>0.1</v>
      </c>
      <c r="G62" s="1113">
        <v>7</v>
      </c>
      <c r="H62" s="326">
        <f>D62*F62*1000*G62</f>
        <v>27887.3</v>
      </c>
      <c r="I62" s="1101" t="s">
        <v>913</v>
      </c>
      <c r="J62" s="1102"/>
      <c r="K62" s="1102"/>
      <c r="L62" s="1102" t="s">
        <v>863</v>
      </c>
      <c r="M62" s="1102">
        <f>H62</f>
        <v>27887.3</v>
      </c>
      <c r="N62" s="1102"/>
      <c r="O62" s="1102"/>
      <c r="P62" s="1102"/>
      <c r="Q62" s="1102"/>
      <c r="R62" s="1102"/>
      <c r="S62" s="1102"/>
    </row>
    <row r="63" spans="1:19" ht="15" customHeight="1" thickBot="1" x14ac:dyDescent="0.4">
      <c r="A63" s="1053"/>
      <c r="B63" s="1098"/>
      <c r="C63" s="1099"/>
      <c r="D63" s="1099"/>
      <c r="E63" s="1100"/>
      <c r="F63" s="1100"/>
      <c r="G63" s="1100"/>
      <c r="H63" s="1100"/>
      <c r="I63" s="1100"/>
      <c r="J63" s="1108"/>
      <c r="K63" s="1100"/>
      <c r="L63" s="1109"/>
      <c r="M63" s="1074"/>
      <c r="N63" s="1092"/>
      <c r="O63" s="1110"/>
      <c r="P63" s="363"/>
      <c r="Q63" s="328"/>
      <c r="R63" s="331"/>
    </row>
    <row r="64" spans="1:19" ht="20.149999999999999" customHeight="1" x14ac:dyDescent="0.35">
      <c r="A64" s="1062"/>
      <c r="B64" s="986" t="s">
        <v>411</v>
      </c>
      <c r="C64" s="987"/>
      <c r="D64" s="987"/>
      <c r="E64" s="985"/>
      <c r="F64" s="985"/>
      <c r="G64" s="985"/>
      <c r="H64" s="985"/>
      <c r="I64" s="985"/>
      <c r="J64" s="988"/>
      <c r="K64" s="985"/>
      <c r="L64" s="1063"/>
      <c r="M64" s="989"/>
      <c r="N64" s="388"/>
      <c r="O64" s="454"/>
      <c r="P64" s="387"/>
    </row>
    <row r="65" spans="1:16" ht="20.149999999999999" customHeight="1" x14ac:dyDescent="0.35">
      <c r="A65" s="1051">
        <v>1</v>
      </c>
      <c r="B65" s="1021">
        <v>48</v>
      </c>
      <c r="C65" s="335" t="s">
        <v>254</v>
      </c>
      <c r="D65" s="339">
        <v>2.2290000000000001</v>
      </c>
      <c r="E65" s="323">
        <f>D65</f>
        <v>2.2290000000000001</v>
      </c>
      <c r="F65" s="323">
        <v>0</v>
      </c>
      <c r="G65" s="323">
        <v>0</v>
      </c>
      <c r="H65" s="323">
        <v>0</v>
      </c>
      <c r="I65" s="323">
        <f t="shared" ref="I65:I81" si="10">D65-F65</f>
        <v>2.2290000000000001</v>
      </c>
      <c r="J65" s="325" t="s">
        <v>33</v>
      </c>
      <c r="K65" s="323">
        <f t="shared" ref="K65:L94" si="11">SUM(F65:I65)</f>
        <v>2.2290000000000001</v>
      </c>
      <c r="L65" s="1052">
        <f t="shared" si="11"/>
        <v>2.2290000000000001</v>
      </c>
      <c r="M65" s="1038"/>
      <c r="N65" s="326" t="s">
        <v>412</v>
      </c>
      <c r="O65" s="350" t="s">
        <v>862</v>
      </c>
      <c r="P65" s="328"/>
    </row>
    <row r="66" spans="1:16" ht="20.149999999999999" customHeight="1" x14ac:dyDescent="0.35">
      <c r="A66" s="1051">
        <v>2</v>
      </c>
      <c r="B66" s="1021">
        <v>50</v>
      </c>
      <c r="C66" s="335" t="s">
        <v>255</v>
      </c>
      <c r="D66" s="339">
        <v>7.73</v>
      </c>
      <c r="E66" s="323">
        <f>D66</f>
        <v>7.73</v>
      </c>
      <c r="F66" s="323">
        <v>1.6</v>
      </c>
      <c r="G66" s="323">
        <v>0</v>
      </c>
      <c r="H66" s="323">
        <v>0</v>
      </c>
      <c r="I66" s="323">
        <f t="shared" si="10"/>
        <v>6.1300000000000008</v>
      </c>
      <c r="J66" s="325" t="s">
        <v>41</v>
      </c>
      <c r="K66" s="323">
        <f t="shared" si="11"/>
        <v>7.73</v>
      </c>
      <c r="L66" s="1052">
        <f t="shared" si="11"/>
        <v>6.1300000000000008</v>
      </c>
      <c r="M66" s="1038"/>
      <c r="N66" s="326" t="s">
        <v>413</v>
      </c>
      <c r="O66" s="350" t="s">
        <v>862</v>
      </c>
      <c r="P66" s="328"/>
    </row>
    <row r="67" spans="1:16" ht="20.149999999999999" customHeight="1" x14ac:dyDescent="0.35">
      <c r="A67" s="1051">
        <v>3</v>
      </c>
      <c r="B67" s="1021">
        <v>51</v>
      </c>
      <c r="C67" s="335" t="s">
        <v>248</v>
      </c>
      <c r="D67" s="339">
        <v>2.9510000000000001</v>
      </c>
      <c r="E67" s="323">
        <f>D67</f>
        <v>2.9510000000000001</v>
      </c>
      <c r="F67" s="323">
        <v>0</v>
      </c>
      <c r="G67" s="323">
        <v>0</v>
      </c>
      <c r="H67" s="323">
        <v>0</v>
      </c>
      <c r="I67" s="323">
        <f t="shared" si="10"/>
        <v>2.9510000000000001</v>
      </c>
      <c r="J67" s="325" t="s">
        <v>12</v>
      </c>
      <c r="K67" s="323">
        <f t="shared" si="11"/>
        <v>2.9510000000000001</v>
      </c>
      <c r="L67" s="1052">
        <f t="shared" si="11"/>
        <v>2.9510000000000001</v>
      </c>
      <c r="M67" s="1038"/>
      <c r="N67" s="326" t="s">
        <v>414</v>
      </c>
      <c r="O67" s="350" t="s">
        <v>862</v>
      </c>
      <c r="P67" s="328"/>
    </row>
    <row r="68" spans="1:16" ht="20.149999999999999" customHeight="1" x14ac:dyDescent="0.35">
      <c r="A68" s="1051">
        <v>4</v>
      </c>
      <c r="B68" s="1021">
        <v>52</v>
      </c>
      <c r="C68" s="335" t="s">
        <v>251</v>
      </c>
      <c r="D68" s="339">
        <v>6.6669999999999998</v>
      </c>
      <c r="E68" s="323">
        <f>D68</f>
        <v>6.6669999999999998</v>
      </c>
      <c r="F68" s="323">
        <v>0</v>
      </c>
      <c r="G68" s="323">
        <v>0</v>
      </c>
      <c r="H68" s="323">
        <v>0</v>
      </c>
      <c r="I68" s="323">
        <f t="shared" si="10"/>
        <v>6.6669999999999998</v>
      </c>
      <c r="J68" s="325" t="s">
        <v>12</v>
      </c>
      <c r="K68" s="323">
        <f t="shared" si="11"/>
        <v>6.6669999999999998</v>
      </c>
      <c r="L68" s="1052">
        <f t="shared" si="11"/>
        <v>6.6669999999999998</v>
      </c>
      <c r="M68" s="1038"/>
      <c r="N68" s="326" t="s">
        <v>415</v>
      </c>
      <c r="O68" s="350" t="s">
        <v>862</v>
      </c>
      <c r="P68" s="328"/>
    </row>
    <row r="69" spans="1:16" ht="20.149999999999999" customHeight="1" x14ac:dyDescent="0.35">
      <c r="A69" s="1051">
        <v>5</v>
      </c>
      <c r="B69" s="1021">
        <v>53</v>
      </c>
      <c r="C69" s="335" t="s">
        <v>249</v>
      </c>
      <c r="D69" s="339">
        <v>6.5069999999999997</v>
      </c>
      <c r="E69" s="323">
        <f>D69</f>
        <v>6.5069999999999997</v>
      </c>
      <c r="F69" s="323">
        <v>5.665</v>
      </c>
      <c r="G69" s="323">
        <v>0</v>
      </c>
      <c r="H69" s="323">
        <v>0</v>
      </c>
      <c r="I69" s="323">
        <f t="shared" si="10"/>
        <v>0.84199999999999964</v>
      </c>
      <c r="J69" s="325" t="s">
        <v>10</v>
      </c>
      <c r="K69" s="323">
        <f t="shared" si="11"/>
        <v>6.5069999999999997</v>
      </c>
      <c r="L69" s="1052">
        <f t="shared" si="11"/>
        <v>0.84199999999999964</v>
      </c>
      <c r="M69" s="1038"/>
      <c r="N69" s="326" t="s">
        <v>416</v>
      </c>
      <c r="O69" s="350" t="s">
        <v>862</v>
      </c>
      <c r="P69" s="328"/>
    </row>
    <row r="70" spans="1:16" ht="20.149999999999999" customHeight="1" x14ac:dyDescent="0.35">
      <c r="A70" s="1051">
        <v>6</v>
      </c>
      <c r="B70" s="1021">
        <v>54</v>
      </c>
      <c r="C70" s="335" t="s">
        <v>252</v>
      </c>
      <c r="D70" s="339">
        <v>1.7</v>
      </c>
      <c r="E70" s="323">
        <v>1.6</v>
      </c>
      <c r="F70" s="323">
        <v>1.1779999999999999</v>
      </c>
      <c r="G70" s="323">
        <v>0</v>
      </c>
      <c r="H70" s="323">
        <v>0</v>
      </c>
      <c r="I70" s="323">
        <f t="shared" si="10"/>
        <v>0.52200000000000002</v>
      </c>
      <c r="J70" s="325" t="s">
        <v>10</v>
      </c>
      <c r="K70" s="323">
        <f t="shared" si="11"/>
        <v>1.7</v>
      </c>
      <c r="L70" s="1052">
        <f t="shared" si="11"/>
        <v>0.52200000000000002</v>
      </c>
      <c r="M70" s="1038"/>
      <c r="N70" s="326" t="s">
        <v>417</v>
      </c>
      <c r="O70" s="350" t="s">
        <v>862</v>
      </c>
      <c r="P70" s="328"/>
    </row>
    <row r="71" spans="1:16" ht="20.149999999999999" customHeight="1" x14ac:dyDescent="0.35">
      <c r="A71" s="1051">
        <v>7</v>
      </c>
      <c r="B71" s="1021">
        <v>103</v>
      </c>
      <c r="C71" s="335" t="s">
        <v>245</v>
      </c>
      <c r="D71" s="339">
        <v>1.2629999999999999</v>
      </c>
      <c r="E71" s="323">
        <f>D71</f>
        <v>1.2629999999999999</v>
      </c>
      <c r="F71" s="323">
        <v>0.254</v>
      </c>
      <c r="G71" s="323">
        <v>0</v>
      </c>
      <c r="H71" s="323">
        <v>0</v>
      </c>
      <c r="I71" s="323">
        <f t="shared" si="10"/>
        <v>1.0089999999999999</v>
      </c>
      <c r="J71" s="325" t="s">
        <v>12</v>
      </c>
      <c r="K71" s="323">
        <f t="shared" si="11"/>
        <v>1.2629999999999999</v>
      </c>
      <c r="L71" s="1052">
        <f t="shared" si="11"/>
        <v>1.0089999999999999</v>
      </c>
      <c r="M71" s="1038"/>
      <c r="N71" s="326" t="s">
        <v>418</v>
      </c>
      <c r="O71" s="350" t="s">
        <v>862</v>
      </c>
      <c r="P71" s="328"/>
    </row>
    <row r="72" spans="1:16" ht="20.149999999999999" customHeight="1" x14ac:dyDescent="0.35">
      <c r="A72" s="1051">
        <v>8</v>
      </c>
      <c r="B72" s="1021">
        <v>55</v>
      </c>
      <c r="C72" s="335" t="s">
        <v>244</v>
      </c>
      <c r="D72" s="339">
        <v>4.202</v>
      </c>
      <c r="E72" s="323">
        <f>D72</f>
        <v>4.202</v>
      </c>
      <c r="F72" s="323">
        <v>0</v>
      </c>
      <c r="G72" s="323">
        <v>0</v>
      </c>
      <c r="H72" s="323">
        <v>0</v>
      </c>
      <c r="I72" s="323">
        <f t="shared" si="10"/>
        <v>4.202</v>
      </c>
      <c r="J72" s="325" t="s">
        <v>12</v>
      </c>
      <c r="K72" s="323">
        <f t="shared" si="11"/>
        <v>4.202</v>
      </c>
      <c r="L72" s="1052">
        <f t="shared" si="11"/>
        <v>4.202</v>
      </c>
      <c r="M72" s="1038"/>
      <c r="N72" s="326" t="s">
        <v>419</v>
      </c>
      <c r="O72" s="350" t="s">
        <v>862</v>
      </c>
      <c r="P72" s="328"/>
    </row>
    <row r="73" spans="1:16" ht="20.149999999999999" customHeight="1" x14ac:dyDescent="0.35">
      <c r="A73" s="1051">
        <v>9</v>
      </c>
      <c r="B73" s="1021">
        <v>57</v>
      </c>
      <c r="C73" s="335" t="s">
        <v>268</v>
      </c>
      <c r="D73" s="339">
        <v>1.3</v>
      </c>
      <c r="E73" s="323">
        <v>1.3</v>
      </c>
      <c r="F73" s="323">
        <v>0.30499999999999999</v>
      </c>
      <c r="G73" s="323">
        <v>0</v>
      </c>
      <c r="H73" s="323">
        <v>0</v>
      </c>
      <c r="I73" s="323">
        <f t="shared" si="10"/>
        <v>0.99500000000000011</v>
      </c>
      <c r="J73" s="325" t="s">
        <v>33</v>
      </c>
      <c r="K73" s="323">
        <f t="shared" si="11"/>
        <v>1.3</v>
      </c>
      <c r="L73" s="1052">
        <f t="shared" si="11"/>
        <v>0.99500000000000011</v>
      </c>
      <c r="M73" s="1038"/>
      <c r="N73" s="326" t="s">
        <v>420</v>
      </c>
      <c r="O73" s="350" t="s">
        <v>862</v>
      </c>
      <c r="P73" s="328"/>
    </row>
    <row r="74" spans="1:16" ht="20.149999999999999" customHeight="1" x14ac:dyDescent="0.35">
      <c r="A74" s="1051">
        <v>10</v>
      </c>
      <c r="B74" s="1021">
        <v>58</v>
      </c>
      <c r="C74" s="335" t="s">
        <v>421</v>
      </c>
      <c r="D74" s="339">
        <v>0.53500000000000003</v>
      </c>
      <c r="E74" s="323">
        <v>0.3</v>
      </c>
      <c r="F74" s="323">
        <v>0</v>
      </c>
      <c r="G74" s="323">
        <v>0</v>
      </c>
      <c r="H74" s="323">
        <v>0</v>
      </c>
      <c r="I74" s="323">
        <f t="shared" si="10"/>
        <v>0.53500000000000003</v>
      </c>
      <c r="J74" s="325" t="s">
        <v>12</v>
      </c>
      <c r="K74" s="323">
        <f t="shared" si="11"/>
        <v>0.53500000000000003</v>
      </c>
      <c r="L74" s="1052">
        <f t="shared" si="11"/>
        <v>0.53500000000000003</v>
      </c>
      <c r="M74" s="1038"/>
      <c r="N74" s="326" t="s">
        <v>422</v>
      </c>
      <c r="O74" s="350" t="s">
        <v>862</v>
      </c>
      <c r="P74" s="328"/>
    </row>
    <row r="75" spans="1:16" ht="20.149999999999999" customHeight="1" x14ac:dyDescent="0.35">
      <c r="A75" s="1051">
        <v>11</v>
      </c>
      <c r="B75" s="1021">
        <v>59</v>
      </c>
      <c r="C75" s="335" t="s">
        <v>262</v>
      </c>
      <c r="D75" s="339">
        <v>0.82399999999999995</v>
      </c>
      <c r="E75" s="323">
        <v>0.8</v>
      </c>
      <c r="F75" s="323">
        <v>0</v>
      </c>
      <c r="G75" s="323">
        <v>0</v>
      </c>
      <c r="H75" s="323">
        <v>0</v>
      </c>
      <c r="I75" s="323">
        <f t="shared" si="10"/>
        <v>0.82399999999999995</v>
      </c>
      <c r="J75" s="325" t="s">
        <v>12</v>
      </c>
      <c r="K75" s="323">
        <f t="shared" si="11"/>
        <v>0.82399999999999995</v>
      </c>
      <c r="L75" s="1052">
        <f t="shared" si="11"/>
        <v>0.82399999999999995</v>
      </c>
      <c r="M75" s="1038"/>
      <c r="N75" s="326" t="s">
        <v>422</v>
      </c>
      <c r="O75" s="350" t="s">
        <v>862</v>
      </c>
      <c r="P75" s="328"/>
    </row>
    <row r="76" spans="1:16" ht="20.149999999999999" customHeight="1" x14ac:dyDescent="0.35">
      <c r="A76" s="1051">
        <v>12</v>
      </c>
      <c r="B76" s="1021">
        <v>56</v>
      </c>
      <c r="C76" s="335" t="s">
        <v>250</v>
      </c>
      <c r="D76" s="339">
        <v>5.718</v>
      </c>
      <c r="E76" s="323">
        <f>D76</f>
        <v>5.718</v>
      </c>
      <c r="F76" s="323">
        <v>1.8520000000000001</v>
      </c>
      <c r="G76" s="323">
        <v>0</v>
      </c>
      <c r="H76" s="323">
        <v>0</v>
      </c>
      <c r="I76" s="323">
        <f t="shared" si="10"/>
        <v>3.8659999999999997</v>
      </c>
      <c r="J76" s="325" t="s">
        <v>12</v>
      </c>
      <c r="K76" s="323">
        <f t="shared" si="11"/>
        <v>5.718</v>
      </c>
      <c r="L76" s="1052">
        <f t="shared" si="11"/>
        <v>3.8659999999999997</v>
      </c>
      <c r="M76" s="1038"/>
      <c r="N76" s="326" t="s">
        <v>414</v>
      </c>
      <c r="O76" s="350" t="s">
        <v>862</v>
      </c>
      <c r="P76" s="328"/>
    </row>
    <row r="77" spans="1:16" ht="20.149999999999999" customHeight="1" x14ac:dyDescent="0.35">
      <c r="A77" s="1051">
        <v>13</v>
      </c>
      <c r="B77" s="1021">
        <v>60</v>
      </c>
      <c r="C77" s="335" t="s">
        <v>253</v>
      </c>
      <c r="D77" s="339">
        <v>9.2170000000000005</v>
      </c>
      <c r="E77" s="323">
        <v>9.1999999999999993</v>
      </c>
      <c r="F77" s="323">
        <v>8.7650000000000006</v>
      </c>
      <c r="G77" s="323">
        <v>0</v>
      </c>
      <c r="H77" s="323">
        <v>0</v>
      </c>
      <c r="I77" s="323">
        <f t="shared" si="10"/>
        <v>0.45199999999999996</v>
      </c>
      <c r="J77" s="325" t="s">
        <v>10</v>
      </c>
      <c r="K77" s="323">
        <f t="shared" si="11"/>
        <v>9.2170000000000005</v>
      </c>
      <c r="L77" s="1052">
        <f t="shared" si="11"/>
        <v>0.45199999999999996</v>
      </c>
      <c r="M77" s="1038"/>
      <c r="N77" s="326" t="s">
        <v>424</v>
      </c>
      <c r="O77" s="350" t="s">
        <v>862</v>
      </c>
      <c r="P77" s="328"/>
    </row>
    <row r="78" spans="1:16" ht="20.149999999999999" customHeight="1" x14ac:dyDescent="0.35">
      <c r="A78" s="1051">
        <v>14</v>
      </c>
      <c r="B78" s="1021">
        <v>61</v>
      </c>
      <c r="C78" s="335" t="s">
        <v>260</v>
      </c>
      <c r="D78" s="339">
        <v>4.5199999999999996</v>
      </c>
      <c r="E78" s="323">
        <v>4.5</v>
      </c>
      <c r="F78" s="323">
        <v>1.6180000000000001</v>
      </c>
      <c r="G78" s="323">
        <v>0</v>
      </c>
      <c r="H78" s="323">
        <v>0</v>
      </c>
      <c r="I78" s="323">
        <f t="shared" si="10"/>
        <v>2.9019999999999992</v>
      </c>
      <c r="J78" s="325" t="s">
        <v>12</v>
      </c>
      <c r="K78" s="323">
        <f t="shared" si="11"/>
        <v>4.5199999999999996</v>
      </c>
      <c r="L78" s="1052">
        <f t="shared" si="11"/>
        <v>2.9019999999999992</v>
      </c>
      <c r="M78" s="1038"/>
      <c r="N78" s="326" t="s">
        <v>425</v>
      </c>
      <c r="O78" s="350" t="s">
        <v>862</v>
      </c>
      <c r="P78" s="328"/>
    </row>
    <row r="79" spans="1:16" ht="20.149999999999999" customHeight="1" x14ac:dyDescent="0.35">
      <c r="A79" s="1051">
        <v>15</v>
      </c>
      <c r="B79" s="1021">
        <v>62</v>
      </c>
      <c r="C79" s="335" t="s">
        <v>269</v>
      </c>
      <c r="D79" s="339">
        <v>2.1019999999999999</v>
      </c>
      <c r="E79" s="323">
        <v>2</v>
      </c>
      <c r="F79" s="323">
        <v>0</v>
      </c>
      <c r="G79" s="323">
        <v>0</v>
      </c>
      <c r="H79" s="323">
        <v>0</v>
      </c>
      <c r="I79" s="323">
        <f t="shared" si="10"/>
        <v>2.1019999999999999</v>
      </c>
      <c r="J79" s="325" t="s">
        <v>12</v>
      </c>
      <c r="K79" s="323">
        <f t="shared" si="11"/>
        <v>2.1019999999999999</v>
      </c>
      <c r="L79" s="1052">
        <f t="shared" si="11"/>
        <v>2.1019999999999999</v>
      </c>
      <c r="M79" s="1038"/>
      <c r="N79" s="326" t="s">
        <v>426</v>
      </c>
      <c r="O79" s="350" t="s">
        <v>862</v>
      </c>
      <c r="P79" s="328"/>
    </row>
    <row r="80" spans="1:16" ht="20.149999999999999" customHeight="1" x14ac:dyDescent="0.35">
      <c r="A80" s="1051">
        <v>16</v>
      </c>
      <c r="B80" s="1021">
        <v>63</v>
      </c>
      <c r="C80" s="335" t="s">
        <v>265</v>
      </c>
      <c r="D80" s="339">
        <v>3.0459999999999998</v>
      </c>
      <c r="E80" s="323">
        <v>0</v>
      </c>
      <c r="F80" s="323">
        <v>1.161</v>
      </c>
      <c r="G80" s="323">
        <v>0</v>
      </c>
      <c r="H80" s="323">
        <v>0</v>
      </c>
      <c r="I80" s="323">
        <f t="shared" si="10"/>
        <v>1.8849999999999998</v>
      </c>
      <c r="J80" s="325" t="s">
        <v>12</v>
      </c>
      <c r="K80" s="323">
        <f t="shared" si="11"/>
        <v>3.0459999999999998</v>
      </c>
      <c r="L80" s="1052">
        <f t="shared" si="11"/>
        <v>1.8849999999999998</v>
      </c>
      <c r="M80" s="1038"/>
      <c r="N80" s="326" t="s">
        <v>427</v>
      </c>
      <c r="O80" s="350" t="s">
        <v>862</v>
      </c>
      <c r="P80" s="328"/>
    </row>
    <row r="81" spans="1:16" ht="20.149999999999999" customHeight="1" x14ac:dyDescent="0.35">
      <c r="A81" s="1051">
        <v>17</v>
      </c>
      <c r="B81" s="1021">
        <v>98</v>
      </c>
      <c r="C81" s="335" t="s">
        <v>247</v>
      </c>
      <c r="D81" s="339">
        <v>5.1120000000000001</v>
      </c>
      <c r="E81" s="323">
        <f>D81</f>
        <v>5.1120000000000001</v>
      </c>
      <c r="F81" s="323">
        <v>4.9370000000000003</v>
      </c>
      <c r="G81" s="323">
        <v>0</v>
      </c>
      <c r="H81" s="323">
        <v>0</v>
      </c>
      <c r="I81" s="323">
        <f t="shared" si="10"/>
        <v>0.17499999999999982</v>
      </c>
      <c r="J81" s="325" t="s">
        <v>10</v>
      </c>
      <c r="K81" s="323">
        <f t="shared" si="11"/>
        <v>5.1120000000000001</v>
      </c>
      <c r="L81" s="1052">
        <f t="shared" si="11"/>
        <v>0.17499999999999982</v>
      </c>
      <c r="M81" s="1038"/>
      <c r="N81" s="326" t="s">
        <v>428</v>
      </c>
      <c r="O81" s="350" t="s">
        <v>862</v>
      </c>
      <c r="P81" s="328"/>
    </row>
    <row r="82" spans="1:16" ht="20.149999999999999" customHeight="1" x14ac:dyDescent="0.35">
      <c r="A82" s="1051">
        <v>18</v>
      </c>
      <c r="B82" s="1021">
        <v>96</v>
      </c>
      <c r="C82" s="335" t="s">
        <v>270</v>
      </c>
      <c r="D82" s="339">
        <v>5.8440000000000003</v>
      </c>
      <c r="E82" s="323">
        <v>5.6999999999999993</v>
      </c>
      <c r="F82" s="323">
        <v>3.044</v>
      </c>
      <c r="G82" s="323">
        <v>0</v>
      </c>
      <c r="H82" s="323">
        <v>0</v>
      </c>
      <c r="I82" s="323">
        <f t="shared" ref="I82:I94" si="12">D82-F82</f>
        <v>2.8000000000000003</v>
      </c>
      <c r="J82" s="325" t="s">
        <v>10</v>
      </c>
      <c r="K82" s="323">
        <f t="shared" si="11"/>
        <v>5.8440000000000003</v>
      </c>
      <c r="L82" s="1052">
        <f t="shared" si="11"/>
        <v>2.8000000000000003</v>
      </c>
      <c r="M82" s="1038"/>
      <c r="N82" s="326" t="s">
        <v>430</v>
      </c>
      <c r="O82" s="350" t="s">
        <v>862</v>
      </c>
      <c r="P82" s="328"/>
    </row>
    <row r="83" spans="1:16" ht="20.149999999999999" customHeight="1" x14ac:dyDescent="0.35">
      <c r="A83" s="1051">
        <v>19</v>
      </c>
      <c r="B83" s="1021">
        <v>65</v>
      </c>
      <c r="C83" s="335" t="s">
        <v>261</v>
      </c>
      <c r="D83" s="339">
        <v>1.619</v>
      </c>
      <c r="E83" s="323">
        <f>D83</f>
        <v>1.619</v>
      </c>
      <c r="F83" s="323">
        <v>0</v>
      </c>
      <c r="G83" s="323">
        <v>0</v>
      </c>
      <c r="H83" s="323">
        <v>0</v>
      </c>
      <c r="I83" s="323">
        <f t="shared" si="12"/>
        <v>1.619</v>
      </c>
      <c r="J83" s="325" t="s">
        <v>12</v>
      </c>
      <c r="K83" s="323">
        <f t="shared" si="11"/>
        <v>1.619</v>
      </c>
      <c r="L83" s="1052">
        <f t="shared" si="11"/>
        <v>1.619</v>
      </c>
      <c r="M83" s="1038"/>
      <c r="N83" s="326" t="s">
        <v>431</v>
      </c>
      <c r="O83" s="350" t="s">
        <v>862</v>
      </c>
      <c r="P83" s="328"/>
    </row>
    <row r="84" spans="1:16" ht="20.149999999999999" customHeight="1" x14ac:dyDescent="0.35">
      <c r="A84" s="1051">
        <v>20</v>
      </c>
      <c r="B84" s="1021">
        <v>66</v>
      </c>
      <c r="C84" s="335" t="s">
        <v>432</v>
      </c>
      <c r="D84" s="339">
        <v>3.8879999999999999</v>
      </c>
      <c r="E84" s="323">
        <f>D84</f>
        <v>3.8879999999999999</v>
      </c>
      <c r="F84" s="323">
        <v>0</v>
      </c>
      <c r="G84" s="323">
        <v>0</v>
      </c>
      <c r="H84" s="323">
        <v>0</v>
      </c>
      <c r="I84" s="323">
        <f t="shared" si="12"/>
        <v>3.8879999999999999</v>
      </c>
      <c r="J84" s="325" t="s">
        <v>33</v>
      </c>
      <c r="K84" s="323">
        <f t="shared" si="11"/>
        <v>3.8879999999999999</v>
      </c>
      <c r="L84" s="1052">
        <f t="shared" si="11"/>
        <v>3.8879999999999999</v>
      </c>
      <c r="M84" s="1038"/>
      <c r="N84" s="326" t="s">
        <v>433</v>
      </c>
      <c r="O84" s="350" t="s">
        <v>862</v>
      </c>
      <c r="P84" s="328"/>
    </row>
    <row r="85" spans="1:16" ht="20.149999999999999" customHeight="1" x14ac:dyDescent="0.35">
      <c r="A85" s="1051">
        <v>21</v>
      </c>
      <c r="B85" s="1021">
        <v>67</v>
      </c>
      <c r="C85" s="335" t="s">
        <v>267</v>
      </c>
      <c r="D85" s="339">
        <v>2.0830000000000002</v>
      </c>
      <c r="E85" s="323">
        <v>1.9</v>
      </c>
      <c r="F85" s="323">
        <v>0.5</v>
      </c>
      <c r="G85" s="323">
        <v>0</v>
      </c>
      <c r="H85" s="323">
        <v>0</v>
      </c>
      <c r="I85" s="323">
        <f t="shared" si="12"/>
        <v>1.5830000000000002</v>
      </c>
      <c r="J85" s="325" t="s">
        <v>33</v>
      </c>
      <c r="K85" s="323">
        <f t="shared" si="11"/>
        <v>2.0830000000000002</v>
      </c>
      <c r="L85" s="1052">
        <f t="shared" si="11"/>
        <v>1.5830000000000002</v>
      </c>
      <c r="M85" s="1038"/>
      <c r="N85" s="326" t="s">
        <v>434</v>
      </c>
      <c r="O85" s="350" t="s">
        <v>862</v>
      </c>
      <c r="P85" s="328"/>
    </row>
    <row r="86" spans="1:16" ht="20.149999999999999" customHeight="1" x14ac:dyDescent="0.35">
      <c r="A86" s="1051">
        <v>22</v>
      </c>
      <c r="B86" s="1021">
        <v>68</v>
      </c>
      <c r="C86" s="335" t="s">
        <v>266</v>
      </c>
      <c r="D86" s="339">
        <v>1.6579999999999999</v>
      </c>
      <c r="E86" s="323">
        <v>1.5999999999999999</v>
      </c>
      <c r="F86" s="323">
        <v>0.221</v>
      </c>
      <c r="G86" s="323">
        <v>0</v>
      </c>
      <c r="H86" s="323">
        <v>0</v>
      </c>
      <c r="I86" s="323">
        <f t="shared" si="12"/>
        <v>1.4369999999999998</v>
      </c>
      <c r="J86" s="325" t="s">
        <v>33</v>
      </c>
      <c r="K86" s="323">
        <f t="shared" si="11"/>
        <v>1.6579999999999999</v>
      </c>
      <c r="L86" s="1052">
        <f t="shared" si="11"/>
        <v>1.4369999999999998</v>
      </c>
      <c r="M86" s="1038"/>
      <c r="N86" s="326" t="s">
        <v>434</v>
      </c>
      <c r="O86" s="350" t="s">
        <v>862</v>
      </c>
      <c r="P86" s="328"/>
    </row>
    <row r="87" spans="1:16" ht="20.149999999999999" customHeight="1" x14ac:dyDescent="0.35">
      <c r="A87" s="1051">
        <v>23</v>
      </c>
      <c r="B87" s="1021">
        <v>69</v>
      </c>
      <c r="C87" s="335" t="s">
        <v>264</v>
      </c>
      <c r="D87" s="339">
        <v>1.6870000000000001</v>
      </c>
      <c r="E87" s="323">
        <v>1.6</v>
      </c>
      <c r="F87" s="323">
        <v>0</v>
      </c>
      <c r="G87" s="323">
        <v>0</v>
      </c>
      <c r="H87" s="323">
        <v>0</v>
      </c>
      <c r="I87" s="323">
        <f t="shared" si="12"/>
        <v>1.6870000000000001</v>
      </c>
      <c r="J87" s="325" t="s">
        <v>33</v>
      </c>
      <c r="K87" s="323">
        <f t="shared" si="11"/>
        <v>1.6870000000000001</v>
      </c>
      <c r="L87" s="1052">
        <f t="shared" si="11"/>
        <v>1.6870000000000001</v>
      </c>
      <c r="M87" s="1038"/>
      <c r="N87" s="326" t="s">
        <v>435</v>
      </c>
      <c r="O87" s="350" t="s">
        <v>862</v>
      </c>
      <c r="P87" s="328"/>
    </row>
    <row r="88" spans="1:16" ht="20.149999999999999" customHeight="1" x14ac:dyDescent="0.35">
      <c r="A88" s="1051">
        <v>24</v>
      </c>
      <c r="B88" s="1021">
        <v>70</v>
      </c>
      <c r="C88" s="335" t="s">
        <v>263</v>
      </c>
      <c r="D88" s="339">
        <v>2.4</v>
      </c>
      <c r="E88" s="323">
        <v>2.6</v>
      </c>
      <c r="F88" s="323">
        <v>0.78700000000000003</v>
      </c>
      <c r="G88" s="323">
        <v>0</v>
      </c>
      <c r="H88" s="323">
        <v>0</v>
      </c>
      <c r="I88" s="323">
        <f t="shared" si="12"/>
        <v>1.613</v>
      </c>
      <c r="J88" s="325" t="s">
        <v>33</v>
      </c>
      <c r="K88" s="323">
        <f t="shared" si="11"/>
        <v>2.4</v>
      </c>
      <c r="L88" s="1052">
        <f t="shared" si="11"/>
        <v>1.613</v>
      </c>
      <c r="M88" s="1038"/>
      <c r="N88" s="326" t="s">
        <v>436</v>
      </c>
      <c r="O88" s="350" t="s">
        <v>862</v>
      </c>
      <c r="P88" s="328"/>
    </row>
    <row r="89" spans="1:16" ht="20.149999999999999" customHeight="1" x14ac:dyDescent="0.35">
      <c r="A89" s="1051">
        <v>25</v>
      </c>
      <c r="B89" s="1021">
        <v>71</v>
      </c>
      <c r="C89" s="335" t="s">
        <v>54</v>
      </c>
      <c r="D89" s="339">
        <v>2.7269999999999999</v>
      </c>
      <c r="E89" s="323">
        <v>2.7</v>
      </c>
      <c r="F89" s="323">
        <v>0.124</v>
      </c>
      <c r="G89" s="323">
        <v>0</v>
      </c>
      <c r="H89" s="323">
        <v>0</v>
      </c>
      <c r="I89" s="323">
        <f t="shared" si="12"/>
        <v>2.6029999999999998</v>
      </c>
      <c r="J89" s="325" t="s">
        <v>12</v>
      </c>
      <c r="K89" s="323">
        <f t="shared" si="11"/>
        <v>2.7269999999999999</v>
      </c>
      <c r="L89" s="1052">
        <f t="shared" si="11"/>
        <v>2.6029999999999998</v>
      </c>
      <c r="M89" s="1038"/>
      <c r="N89" s="326" t="s">
        <v>437</v>
      </c>
      <c r="O89" s="350" t="s">
        <v>862</v>
      </c>
      <c r="P89" s="328"/>
    </row>
    <row r="90" spans="1:16" ht="20.149999999999999" customHeight="1" x14ac:dyDescent="0.35">
      <c r="A90" s="1051">
        <v>26</v>
      </c>
      <c r="B90" s="1021">
        <v>72</v>
      </c>
      <c r="C90" s="335" t="s">
        <v>56</v>
      </c>
      <c r="D90" s="339">
        <v>2</v>
      </c>
      <c r="E90" s="323">
        <v>1.7</v>
      </c>
      <c r="F90" s="323">
        <v>1.99</v>
      </c>
      <c r="G90" s="323">
        <v>0</v>
      </c>
      <c r="H90" s="323">
        <v>0</v>
      </c>
      <c r="I90" s="323">
        <f t="shared" si="12"/>
        <v>1.0000000000000009E-2</v>
      </c>
      <c r="J90" s="325" t="s">
        <v>12</v>
      </c>
      <c r="K90" s="323">
        <f t="shared" si="11"/>
        <v>2</v>
      </c>
      <c r="L90" s="1052">
        <f t="shared" si="11"/>
        <v>1.0000000000000009E-2</v>
      </c>
      <c r="M90" s="1038"/>
      <c r="N90" s="326" t="s">
        <v>438</v>
      </c>
      <c r="O90" s="350" t="s">
        <v>862</v>
      </c>
      <c r="P90" s="328"/>
    </row>
    <row r="91" spans="1:16" ht="20.149999999999999" customHeight="1" x14ac:dyDescent="0.35">
      <c r="A91" s="1051">
        <v>27</v>
      </c>
      <c r="B91" s="1021">
        <v>73</v>
      </c>
      <c r="C91" s="336" t="s">
        <v>258</v>
      </c>
      <c r="D91" s="339">
        <v>5.7320000000000002</v>
      </c>
      <c r="E91" s="323">
        <v>5.5</v>
      </c>
      <c r="F91" s="323">
        <v>1.7999999999999999E-2</v>
      </c>
      <c r="G91" s="323">
        <v>0</v>
      </c>
      <c r="H91" s="323">
        <v>0</v>
      </c>
      <c r="I91" s="323">
        <f t="shared" si="12"/>
        <v>5.7140000000000004</v>
      </c>
      <c r="J91" s="325" t="s">
        <v>33</v>
      </c>
      <c r="K91" s="323">
        <f t="shared" si="11"/>
        <v>5.7320000000000002</v>
      </c>
      <c r="L91" s="1052">
        <f t="shared" si="11"/>
        <v>5.7140000000000004</v>
      </c>
      <c r="M91" s="1038"/>
      <c r="N91" s="326" t="s">
        <v>439</v>
      </c>
      <c r="O91" s="350" t="s">
        <v>862</v>
      </c>
      <c r="P91" s="328"/>
    </row>
    <row r="92" spans="1:16" ht="20.149999999999999" customHeight="1" x14ac:dyDescent="0.35">
      <c r="A92" s="1051">
        <v>28</v>
      </c>
      <c r="B92" s="1021">
        <v>74</v>
      </c>
      <c r="C92" s="336" t="s">
        <v>257</v>
      </c>
      <c r="D92" s="339">
        <v>0.58399999999999996</v>
      </c>
      <c r="E92" s="323">
        <v>0.5</v>
      </c>
      <c r="F92" s="323">
        <v>0</v>
      </c>
      <c r="G92" s="323">
        <v>0</v>
      </c>
      <c r="H92" s="323">
        <v>0</v>
      </c>
      <c r="I92" s="323">
        <f t="shared" si="12"/>
        <v>0.58399999999999996</v>
      </c>
      <c r="J92" s="325" t="s">
        <v>33</v>
      </c>
      <c r="K92" s="323">
        <f t="shared" si="11"/>
        <v>0.58399999999999996</v>
      </c>
      <c r="L92" s="1052">
        <f t="shared" si="11"/>
        <v>0.58399999999999996</v>
      </c>
      <c r="M92" s="1038"/>
      <c r="N92" s="326" t="s">
        <v>439</v>
      </c>
      <c r="O92" s="350" t="s">
        <v>862</v>
      </c>
      <c r="P92" s="328"/>
    </row>
    <row r="93" spans="1:16" ht="20.149999999999999" customHeight="1" x14ac:dyDescent="0.35">
      <c r="A93" s="1051">
        <v>29</v>
      </c>
      <c r="B93" s="1021">
        <v>75</v>
      </c>
      <c r="C93" s="336" t="s">
        <v>259</v>
      </c>
      <c r="D93" s="339">
        <v>2.1</v>
      </c>
      <c r="E93" s="323">
        <v>2.1</v>
      </c>
      <c r="F93" s="323">
        <v>0</v>
      </c>
      <c r="G93" s="323">
        <v>0</v>
      </c>
      <c r="H93" s="323">
        <v>0</v>
      </c>
      <c r="I93" s="323">
        <f t="shared" si="12"/>
        <v>2.1</v>
      </c>
      <c r="J93" s="325" t="s">
        <v>33</v>
      </c>
      <c r="K93" s="323">
        <f t="shared" si="11"/>
        <v>2.1</v>
      </c>
      <c r="L93" s="1052">
        <f t="shared" si="11"/>
        <v>2.1</v>
      </c>
      <c r="M93" s="1038"/>
      <c r="N93" s="326" t="s">
        <v>440</v>
      </c>
      <c r="O93" s="350" t="s">
        <v>862</v>
      </c>
      <c r="P93" s="328"/>
    </row>
    <row r="94" spans="1:16" ht="20.149999999999999" customHeight="1" x14ac:dyDescent="0.35">
      <c r="A94" s="1051">
        <v>30</v>
      </c>
      <c r="B94" s="1021">
        <v>76</v>
      </c>
      <c r="C94" s="336" t="s">
        <v>256</v>
      </c>
      <c r="D94" s="339">
        <v>0.30199999999999999</v>
      </c>
      <c r="E94" s="323">
        <v>0.2</v>
      </c>
      <c r="F94" s="323">
        <v>0.30199999999999999</v>
      </c>
      <c r="G94" s="323">
        <v>0</v>
      </c>
      <c r="H94" s="323">
        <v>0</v>
      </c>
      <c r="I94" s="323">
        <f t="shared" si="12"/>
        <v>0</v>
      </c>
      <c r="J94" s="325" t="s">
        <v>12</v>
      </c>
      <c r="K94" s="323">
        <f t="shared" si="11"/>
        <v>0.30199999999999999</v>
      </c>
      <c r="L94" s="1052">
        <f t="shared" si="11"/>
        <v>0</v>
      </c>
      <c r="M94" s="1038"/>
      <c r="N94" s="326" t="s">
        <v>425</v>
      </c>
      <c r="O94" s="350" t="s">
        <v>862</v>
      </c>
      <c r="P94" s="328"/>
    </row>
    <row r="95" spans="1:16" ht="20.149999999999999" customHeight="1" x14ac:dyDescent="0.35">
      <c r="A95" s="1051">
        <v>31</v>
      </c>
      <c r="B95" s="1021">
        <v>97</v>
      </c>
      <c r="C95" s="335" t="s">
        <v>51</v>
      </c>
      <c r="D95" s="339">
        <v>8.56</v>
      </c>
      <c r="E95" s="323">
        <f>D95</f>
        <v>8.56</v>
      </c>
      <c r="F95" s="323">
        <v>8.56</v>
      </c>
      <c r="G95" s="323">
        <v>0</v>
      </c>
      <c r="H95" s="323">
        <v>0</v>
      </c>
      <c r="I95" s="323">
        <f>D95-F95</f>
        <v>0</v>
      </c>
      <c r="J95" s="325" t="s">
        <v>10</v>
      </c>
      <c r="K95" s="323">
        <f>SUM(F95:I95)</f>
        <v>8.56</v>
      </c>
      <c r="L95" s="1052">
        <f>SUM(G95:J95)</f>
        <v>0</v>
      </c>
      <c r="M95" s="1038"/>
      <c r="N95" s="326" t="s">
        <v>423</v>
      </c>
      <c r="O95" s="350" t="s">
        <v>862</v>
      </c>
      <c r="P95" s="328"/>
    </row>
    <row r="96" spans="1:16" ht="20.149999999999999" customHeight="1" x14ac:dyDescent="0.35">
      <c r="A96" s="1051">
        <v>32</v>
      </c>
      <c r="B96" s="1021">
        <v>64</v>
      </c>
      <c r="C96" s="335" t="s">
        <v>246</v>
      </c>
      <c r="D96" s="339">
        <v>3.8</v>
      </c>
      <c r="E96" s="323">
        <f>D96</f>
        <v>3.8</v>
      </c>
      <c r="F96" s="323">
        <v>3.8</v>
      </c>
      <c r="G96" s="323">
        <v>0</v>
      </c>
      <c r="H96" s="323">
        <v>0</v>
      </c>
      <c r="I96" s="323">
        <f>E96-F96</f>
        <v>0</v>
      </c>
      <c r="J96" s="325" t="s">
        <v>10</v>
      </c>
      <c r="K96" s="323">
        <f>SUM(F96:I96)</f>
        <v>3.8</v>
      </c>
      <c r="L96" s="1052">
        <f>SUM(G96:J96)</f>
        <v>0</v>
      </c>
      <c r="M96" s="1038"/>
      <c r="N96" s="326" t="s">
        <v>429</v>
      </c>
      <c r="O96" s="350" t="s">
        <v>862</v>
      </c>
      <c r="P96" s="328"/>
    </row>
    <row r="97" spans="1:19" s="317" customFormat="1" ht="20.149999999999999" customHeight="1" x14ac:dyDescent="0.35">
      <c r="A97" s="1069"/>
      <c r="B97" s="977"/>
      <c r="C97" s="978" t="s">
        <v>341</v>
      </c>
      <c r="D97" s="979">
        <f>SUM(D65:D96)</f>
        <v>110.60699999999999</v>
      </c>
      <c r="E97" s="980">
        <f>SUM(E65:E94)</f>
        <v>93.685999999999979</v>
      </c>
      <c r="F97" s="979">
        <f>SUM(F65:F96)</f>
        <v>46.681000000000004</v>
      </c>
      <c r="G97" s="979">
        <f>SUM(G65:G96)</f>
        <v>0</v>
      </c>
      <c r="H97" s="979">
        <f>SUM(H65:H96)</f>
        <v>0</v>
      </c>
      <c r="I97" s="979">
        <f>SUM(I65:I96)</f>
        <v>63.925999999999988</v>
      </c>
      <c r="J97" s="981"/>
      <c r="K97" s="979">
        <f>SUM(K65:K96)</f>
        <v>110.60699999999999</v>
      </c>
      <c r="L97" s="1060">
        <f>SUM(L65:L96)</f>
        <v>63.925999999999988</v>
      </c>
      <c r="M97" s="1048"/>
      <c r="N97" s="372"/>
      <c r="O97" s="453"/>
      <c r="P97" s="377"/>
      <c r="Q97" s="320"/>
    </row>
    <row r="98" spans="1:19" ht="15" customHeight="1" x14ac:dyDescent="0.35">
      <c r="A98" s="1051"/>
      <c r="B98" s="1089"/>
      <c r="C98" s="1090"/>
      <c r="D98" s="1090"/>
      <c r="E98" s="1091"/>
      <c r="F98" s="1091"/>
      <c r="G98" s="1091"/>
      <c r="H98" s="1091"/>
      <c r="I98" s="1091"/>
      <c r="J98" s="1105"/>
      <c r="K98" s="1091"/>
      <c r="L98" s="1106"/>
      <c r="M98" s="1073"/>
      <c r="N98" s="1091"/>
      <c r="O98" s="1107"/>
      <c r="P98" s="363"/>
      <c r="Q98" s="328"/>
      <c r="R98" s="331"/>
    </row>
    <row r="99" spans="1:19" s="1103" customFormat="1" ht="56.5" customHeight="1" x14ac:dyDescent="0.35">
      <c r="A99" s="1101"/>
      <c r="B99" s="1115" t="s">
        <v>909</v>
      </c>
      <c r="C99" s="1115"/>
      <c r="D99" s="1101" t="s">
        <v>912</v>
      </c>
      <c r="E99" s="1101"/>
      <c r="F99" s="1101" t="s">
        <v>917</v>
      </c>
      <c r="G99" s="1101" t="s">
        <v>918</v>
      </c>
      <c r="H99" s="1116" t="s">
        <v>911</v>
      </c>
      <c r="I99" s="1116"/>
      <c r="J99" s="1102"/>
      <c r="K99" s="1102"/>
      <c r="L99" s="1102"/>
      <c r="M99" s="1102"/>
      <c r="N99" s="1102"/>
      <c r="O99" s="1102"/>
      <c r="P99" s="1102"/>
      <c r="Q99" s="1102"/>
      <c r="R99" s="1102"/>
      <c r="S99" s="1102"/>
    </row>
    <row r="100" spans="1:19" s="1103" customFormat="1" ht="20.25" customHeight="1" x14ac:dyDescent="0.35">
      <c r="A100" s="1101">
        <v>1</v>
      </c>
      <c r="B100" s="1117" t="s">
        <v>910</v>
      </c>
      <c r="C100" s="1118"/>
      <c r="D100" s="339">
        <f>L97</f>
        <v>63.925999999999988</v>
      </c>
      <c r="E100" s="326"/>
      <c r="F100" s="942">
        <v>0.1</v>
      </c>
      <c r="G100" s="1113">
        <v>7</v>
      </c>
      <c r="H100" s="359">
        <f>D100*F100*1000*G100</f>
        <v>44748.19999999999</v>
      </c>
      <c r="I100" s="1114" t="s">
        <v>913</v>
      </c>
      <c r="J100" s="1102"/>
      <c r="K100" s="1102"/>
      <c r="L100" s="1102" t="s">
        <v>863</v>
      </c>
      <c r="M100" s="1102">
        <f>H100</f>
        <v>44748.19999999999</v>
      </c>
      <c r="N100" s="1102"/>
      <c r="O100" s="1102"/>
      <c r="P100" s="1102"/>
      <c r="Q100" s="1102"/>
      <c r="R100" s="1102"/>
      <c r="S100" s="1102"/>
    </row>
    <row r="101" spans="1:19" ht="15" customHeight="1" thickBot="1" x14ac:dyDescent="0.4">
      <c r="A101" s="1053"/>
      <c r="B101" s="1054"/>
      <c r="C101" s="1055"/>
      <c r="D101" s="1055"/>
      <c r="E101" s="1056"/>
      <c r="F101" s="1056"/>
      <c r="G101" s="1056"/>
      <c r="H101" s="1056"/>
      <c r="I101" s="1056"/>
      <c r="J101" s="1057"/>
      <c r="K101" s="1056"/>
      <c r="L101" s="1058"/>
      <c r="M101" s="1038"/>
      <c r="N101" s="323"/>
      <c r="O101" s="326"/>
      <c r="P101" s="363"/>
      <c r="Q101" s="328"/>
      <c r="R101" s="331"/>
    </row>
    <row r="102" spans="1:19" s="317" customFormat="1" ht="20.149999999999999" customHeight="1" x14ac:dyDescent="0.35">
      <c r="A102" s="1069"/>
      <c r="B102" s="982" t="s">
        <v>342</v>
      </c>
      <c r="C102" s="983"/>
      <c r="D102" s="983"/>
      <c r="E102" s="980"/>
      <c r="F102" s="980"/>
      <c r="G102" s="980"/>
      <c r="H102" s="980"/>
      <c r="I102" s="980"/>
      <c r="J102" s="981"/>
      <c r="K102" s="980"/>
      <c r="L102" s="1050"/>
      <c r="M102" s="984"/>
      <c r="N102" s="378"/>
      <c r="O102" s="453"/>
      <c r="P102" s="377"/>
    </row>
    <row r="103" spans="1:19" ht="20.149999999999999" customHeight="1" x14ac:dyDescent="0.35">
      <c r="A103" s="1051">
        <v>1</v>
      </c>
      <c r="B103" s="1021">
        <v>43</v>
      </c>
      <c r="C103" s="336" t="s">
        <v>226</v>
      </c>
      <c r="D103" s="326">
        <v>13.24</v>
      </c>
      <c r="E103" s="323">
        <f>'[1]road inventory 2018'!C65</f>
        <v>12.7</v>
      </c>
      <c r="F103" s="323">
        <v>0.16</v>
      </c>
      <c r="G103" s="323">
        <v>0</v>
      </c>
      <c r="H103" s="323">
        <v>0</v>
      </c>
      <c r="I103" s="323">
        <f>D103-F103</f>
        <v>13.08</v>
      </c>
      <c r="J103" s="325" t="s">
        <v>41</v>
      </c>
      <c r="K103" s="323">
        <f>SUM(F103:I103)</f>
        <v>13.24</v>
      </c>
      <c r="L103" s="1052">
        <f>SUM(G103:J103)</f>
        <v>13.08</v>
      </c>
      <c r="M103" s="1038"/>
      <c r="N103" s="326" t="s">
        <v>376</v>
      </c>
      <c r="O103" s="350" t="s">
        <v>862</v>
      </c>
      <c r="P103" s="328"/>
      <c r="Q103" s="329" t="s">
        <v>881</v>
      </c>
      <c r="S103" s="331"/>
    </row>
    <row r="104" spans="1:19" ht="20.149999999999999" customHeight="1" x14ac:dyDescent="0.35">
      <c r="A104" s="1051">
        <v>2</v>
      </c>
      <c r="B104" s="1021">
        <v>21</v>
      </c>
      <c r="C104" s="336" t="s">
        <v>241</v>
      </c>
      <c r="D104" s="326">
        <v>3.16</v>
      </c>
      <c r="E104" s="323">
        <f>'[1]road inventory 2018'!C41</f>
        <v>4.3</v>
      </c>
      <c r="F104" s="323">
        <v>0</v>
      </c>
      <c r="G104" s="323">
        <v>0</v>
      </c>
      <c r="H104" s="323">
        <v>0</v>
      </c>
      <c r="I104" s="323">
        <f>D104-F104</f>
        <v>3.16</v>
      </c>
      <c r="J104" s="325" t="s">
        <v>10</v>
      </c>
      <c r="K104" s="323">
        <f t="shared" ref="K104:L128" si="13">SUM(F104:I104)</f>
        <v>3.16</v>
      </c>
      <c r="L104" s="1052">
        <f t="shared" si="13"/>
        <v>3.16</v>
      </c>
      <c r="M104" s="1067" t="s">
        <v>889</v>
      </c>
      <c r="N104" s="326" t="s">
        <v>345</v>
      </c>
      <c r="O104" s="350" t="s">
        <v>862</v>
      </c>
      <c r="P104" s="328">
        <v>4.3</v>
      </c>
      <c r="Q104" s="331" t="s">
        <v>881</v>
      </c>
      <c r="R104" s="331"/>
      <c r="S104" s="331"/>
    </row>
    <row r="105" spans="1:19" ht="20.149999999999999" customHeight="1" x14ac:dyDescent="0.35">
      <c r="A105" s="1051">
        <v>3</v>
      </c>
      <c r="B105" s="1021">
        <v>104</v>
      </c>
      <c r="C105" s="336" t="s">
        <v>240</v>
      </c>
      <c r="D105" s="942">
        <v>4.3499999999999996</v>
      </c>
      <c r="E105" s="323">
        <f>'[1]road inventory 2018'!C67</f>
        <v>3.1</v>
      </c>
      <c r="F105" s="323">
        <v>4.1399999999999997</v>
      </c>
      <c r="G105" s="323">
        <v>0</v>
      </c>
      <c r="H105" s="323">
        <v>0</v>
      </c>
      <c r="I105" s="323">
        <f>D105-F105</f>
        <v>0.20999999999999996</v>
      </c>
      <c r="J105" s="325" t="s">
        <v>33</v>
      </c>
      <c r="K105" s="323">
        <f>SUM(F105:I105)</f>
        <v>4.3499999999999996</v>
      </c>
      <c r="L105" s="1052">
        <f>SUM(G105:J105)</f>
        <v>0.20999999999999996</v>
      </c>
      <c r="M105" s="1067" t="s">
        <v>888</v>
      </c>
      <c r="N105" s="326" t="s">
        <v>379</v>
      </c>
      <c r="O105" s="350" t="s">
        <v>862</v>
      </c>
      <c r="P105" s="328"/>
      <c r="R105" s="329" t="s">
        <v>881</v>
      </c>
    </row>
    <row r="106" spans="1:19" ht="20.149999999999999" customHeight="1" x14ac:dyDescent="0.35">
      <c r="A106" s="1051">
        <v>4</v>
      </c>
      <c r="B106" s="1021">
        <v>22</v>
      </c>
      <c r="C106" s="336" t="s">
        <v>225</v>
      </c>
      <c r="D106" s="942">
        <v>4.0330000000000004</v>
      </c>
      <c r="E106" s="323">
        <f>'[1]road inventory 2018'!C42</f>
        <v>3.9</v>
      </c>
      <c r="F106" s="323">
        <v>0</v>
      </c>
      <c r="G106" s="323">
        <v>0</v>
      </c>
      <c r="H106" s="323">
        <v>0</v>
      </c>
      <c r="I106" s="323">
        <f>D106-F106</f>
        <v>4.0330000000000004</v>
      </c>
      <c r="J106" s="325" t="s">
        <v>33</v>
      </c>
      <c r="K106" s="323">
        <f t="shared" si="13"/>
        <v>4.0330000000000004</v>
      </c>
      <c r="L106" s="1052">
        <f t="shared" si="13"/>
        <v>4.0330000000000004</v>
      </c>
      <c r="M106" s="1038"/>
      <c r="N106" s="326" t="s">
        <v>346</v>
      </c>
      <c r="O106" s="350" t="s">
        <v>862</v>
      </c>
      <c r="P106" s="328" t="s">
        <v>880</v>
      </c>
      <c r="Q106" s="329" t="s">
        <v>882</v>
      </c>
    </row>
    <row r="107" spans="1:19" ht="20.149999999999999" customHeight="1" x14ac:dyDescent="0.35">
      <c r="A107" s="1051">
        <v>5</v>
      </c>
      <c r="B107" s="1021">
        <v>23</v>
      </c>
      <c r="C107" s="336" t="s">
        <v>237</v>
      </c>
      <c r="D107" s="942">
        <v>4.45</v>
      </c>
      <c r="E107" s="323">
        <f>'[1]road inventory 2018'!C43</f>
        <v>4.3</v>
      </c>
      <c r="F107" s="323">
        <v>2.93</v>
      </c>
      <c r="G107" s="323">
        <v>0</v>
      </c>
      <c r="H107" s="323">
        <v>0</v>
      </c>
      <c r="I107" s="323">
        <f>D107-F107</f>
        <v>1.52</v>
      </c>
      <c r="J107" s="325" t="s">
        <v>12</v>
      </c>
      <c r="K107" s="323">
        <f t="shared" si="13"/>
        <v>4.45</v>
      </c>
      <c r="L107" s="1052">
        <f t="shared" si="13"/>
        <v>1.52</v>
      </c>
      <c r="M107" s="1038"/>
      <c r="N107" s="326" t="s">
        <v>347</v>
      </c>
      <c r="O107" s="350" t="s">
        <v>862</v>
      </c>
      <c r="P107" s="328"/>
      <c r="Q107" s="329" t="s">
        <v>882</v>
      </c>
    </row>
    <row r="108" spans="1:19" ht="20.149999999999999" customHeight="1" x14ac:dyDescent="0.35">
      <c r="A108" s="1051">
        <v>6</v>
      </c>
      <c r="B108" s="1021">
        <v>25</v>
      </c>
      <c r="C108" s="336" t="s">
        <v>30</v>
      </c>
      <c r="D108" s="942">
        <v>1.7689999999999999</v>
      </c>
      <c r="E108" s="323">
        <f>'[1]road inventory 2018'!C45</f>
        <v>1.7</v>
      </c>
      <c r="F108" s="323">
        <v>0</v>
      </c>
      <c r="G108" s="323">
        <v>0</v>
      </c>
      <c r="H108" s="323">
        <v>0</v>
      </c>
      <c r="I108" s="323">
        <f t="shared" ref="I108:I113" si="14">D108-F108</f>
        <v>1.7689999999999999</v>
      </c>
      <c r="J108" s="325" t="s">
        <v>12</v>
      </c>
      <c r="K108" s="323">
        <f t="shared" si="13"/>
        <v>1.7689999999999999</v>
      </c>
      <c r="L108" s="1052">
        <f t="shared" si="13"/>
        <v>1.7689999999999999</v>
      </c>
      <c r="M108" s="1038"/>
      <c r="N108" s="326" t="s">
        <v>348</v>
      </c>
      <c r="O108" s="350" t="s">
        <v>862</v>
      </c>
      <c r="P108" s="328"/>
      <c r="Q108" s="329" t="s">
        <v>881</v>
      </c>
    </row>
    <row r="109" spans="1:19" ht="20.149999999999999" customHeight="1" x14ac:dyDescent="0.35">
      <c r="A109" s="1051">
        <v>7</v>
      </c>
      <c r="B109" s="1021">
        <v>26</v>
      </c>
      <c r="C109" s="336" t="s">
        <v>350</v>
      </c>
      <c r="D109" s="326">
        <v>6.02</v>
      </c>
      <c r="E109" s="323">
        <f>'[1]road inventory 2018'!C46</f>
        <v>5.9</v>
      </c>
      <c r="F109" s="323">
        <v>3.91</v>
      </c>
      <c r="G109" s="323">
        <v>0</v>
      </c>
      <c r="H109" s="323">
        <v>0</v>
      </c>
      <c r="I109" s="323">
        <f t="shared" si="14"/>
        <v>2.1099999999999994</v>
      </c>
      <c r="J109" s="326" t="s">
        <v>10</v>
      </c>
      <c r="K109" s="323">
        <f t="shared" si="13"/>
        <v>6.02</v>
      </c>
      <c r="L109" s="1052">
        <f t="shared" si="13"/>
        <v>2.1099999999999994</v>
      </c>
      <c r="M109" s="1038"/>
      <c r="N109" s="326" t="s">
        <v>348</v>
      </c>
      <c r="O109" s="350" t="s">
        <v>862</v>
      </c>
      <c r="P109" s="328">
        <v>1.85</v>
      </c>
      <c r="Q109" s="329" t="s">
        <v>881</v>
      </c>
    </row>
    <row r="110" spans="1:19" ht="20.149999999999999" customHeight="1" x14ac:dyDescent="0.35">
      <c r="A110" s="1051">
        <v>8</v>
      </c>
      <c r="B110" s="1021">
        <v>27</v>
      </c>
      <c r="C110" s="336" t="s">
        <v>224</v>
      </c>
      <c r="D110" s="942">
        <v>1.97</v>
      </c>
      <c r="E110" s="323">
        <f>'[1]road inventory 2018'!C47</f>
        <v>1.9</v>
      </c>
      <c r="F110" s="323">
        <v>0.3</v>
      </c>
      <c r="G110" s="323">
        <v>0</v>
      </c>
      <c r="H110" s="323">
        <v>0</v>
      </c>
      <c r="I110" s="323">
        <f t="shared" si="14"/>
        <v>1.67</v>
      </c>
      <c r="J110" s="325" t="s">
        <v>12</v>
      </c>
      <c r="K110" s="323">
        <f t="shared" si="13"/>
        <v>1.97</v>
      </c>
      <c r="L110" s="1052">
        <f t="shared" si="13"/>
        <v>1.67</v>
      </c>
      <c r="M110" s="1038"/>
      <c r="N110" s="326" t="s">
        <v>351</v>
      </c>
      <c r="O110" s="350" t="s">
        <v>862</v>
      </c>
      <c r="P110" s="328"/>
      <c r="Q110" s="329" t="s">
        <v>882</v>
      </c>
    </row>
    <row r="111" spans="1:19" ht="20.149999999999999" customHeight="1" x14ac:dyDescent="0.35">
      <c r="A111" s="1051">
        <v>9</v>
      </c>
      <c r="B111" s="1021">
        <v>28</v>
      </c>
      <c r="C111" s="336" t="s">
        <v>233</v>
      </c>
      <c r="D111" s="942">
        <v>5.65</v>
      </c>
      <c r="E111" s="323">
        <f>'[1]road inventory 2018'!C48</f>
        <v>5.6</v>
      </c>
      <c r="F111" s="323">
        <v>2.79</v>
      </c>
      <c r="G111" s="323">
        <v>0</v>
      </c>
      <c r="H111" s="323">
        <v>0</v>
      </c>
      <c r="I111" s="323">
        <f t="shared" si="14"/>
        <v>2.8600000000000003</v>
      </c>
      <c r="J111" s="325" t="s">
        <v>12</v>
      </c>
      <c r="K111" s="323">
        <f t="shared" si="13"/>
        <v>5.65</v>
      </c>
      <c r="L111" s="1052">
        <f t="shared" si="13"/>
        <v>2.8600000000000003</v>
      </c>
      <c r="M111" s="1038"/>
      <c r="N111" s="326" t="s">
        <v>352</v>
      </c>
      <c r="O111" s="350" t="s">
        <v>862</v>
      </c>
      <c r="P111" s="328"/>
      <c r="Q111" s="329" t="s">
        <v>882</v>
      </c>
    </row>
    <row r="112" spans="1:19" ht="19.5" customHeight="1" x14ac:dyDescent="0.35">
      <c r="A112" s="1051">
        <v>10</v>
      </c>
      <c r="B112" s="1021">
        <v>29</v>
      </c>
      <c r="C112" s="336" t="s">
        <v>239</v>
      </c>
      <c r="D112" s="326">
        <v>0.88</v>
      </c>
      <c r="E112" s="323">
        <f>'[1]road inventory 2018'!C49</f>
        <v>0.8</v>
      </c>
      <c r="F112" s="323">
        <v>0.5</v>
      </c>
      <c r="G112" s="323">
        <v>0</v>
      </c>
      <c r="H112" s="323">
        <v>0</v>
      </c>
      <c r="I112" s="323">
        <f t="shared" si="14"/>
        <v>0.38</v>
      </c>
      <c r="J112" s="325" t="s">
        <v>10</v>
      </c>
      <c r="K112" s="323">
        <f t="shared" si="13"/>
        <v>0.88</v>
      </c>
      <c r="L112" s="1052">
        <f t="shared" si="13"/>
        <v>0.38</v>
      </c>
      <c r="M112" s="1038"/>
      <c r="N112" s="326" t="s">
        <v>353</v>
      </c>
      <c r="O112" s="350" t="s">
        <v>862</v>
      </c>
      <c r="P112" s="328"/>
      <c r="Q112" s="329" t="s">
        <v>881</v>
      </c>
    </row>
    <row r="113" spans="1:21" ht="20.149999999999999" customHeight="1" x14ac:dyDescent="0.35">
      <c r="A113" s="1051">
        <v>11</v>
      </c>
      <c r="B113" s="1021">
        <v>30</v>
      </c>
      <c r="C113" s="336" t="s">
        <v>354</v>
      </c>
      <c r="D113" s="326">
        <v>2.15</v>
      </c>
      <c r="E113" s="323">
        <f>'[1]road inventory 2018'!C50</f>
        <v>2</v>
      </c>
      <c r="F113" s="323">
        <v>2.09</v>
      </c>
      <c r="G113" s="323">
        <v>0</v>
      </c>
      <c r="H113" s="323">
        <v>0</v>
      </c>
      <c r="I113" s="323">
        <f t="shared" si="14"/>
        <v>6.0000000000000053E-2</v>
      </c>
      <c r="J113" s="325" t="s">
        <v>12</v>
      </c>
      <c r="K113" s="323">
        <f t="shared" si="13"/>
        <v>2.15</v>
      </c>
      <c r="L113" s="1052">
        <f t="shared" si="13"/>
        <v>6.0000000000000053E-2</v>
      </c>
      <c r="M113" s="1038"/>
      <c r="N113" s="326" t="s">
        <v>355</v>
      </c>
      <c r="O113" s="350" t="s">
        <v>862</v>
      </c>
      <c r="P113" s="328" t="s">
        <v>753</v>
      </c>
      <c r="Q113" s="329" t="s">
        <v>881</v>
      </c>
    </row>
    <row r="114" spans="1:21" ht="20.149999999999999" customHeight="1" x14ac:dyDescent="0.35">
      <c r="A114" s="1051">
        <v>12</v>
      </c>
      <c r="B114" s="1021">
        <v>32</v>
      </c>
      <c r="C114" s="336" t="s">
        <v>232</v>
      </c>
      <c r="D114" s="942">
        <v>3</v>
      </c>
      <c r="E114" s="323">
        <f>'[1]road inventory 2018'!C53</f>
        <v>3</v>
      </c>
      <c r="F114" s="323">
        <v>0</v>
      </c>
      <c r="G114" s="323">
        <v>0</v>
      </c>
      <c r="H114" s="323">
        <v>0</v>
      </c>
      <c r="I114" s="323">
        <v>3</v>
      </c>
      <c r="J114" s="325" t="s">
        <v>12</v>
      </c>
      <c r="K114" s="323">
        <f t="shared" si="13"/>
        <v>3</v>
      </c>
      <c r="L114" s="1052">
        <f t="shared" si="13"/>
        <v>3</v>
      </c>
      <c r="M114" s="1038"/>
      <c r="N114" s="326" t="s">
        <v>361</v>
      </c>
      <c r="O114" s="350" t="s">
        <v>862</v>
      </c>
      <c r="P114" s="328"/>
      <c r="Q114" s="329" t="s">
        <v>882</v>
      </c>
    </row>
    <row r="115" spans="1:21" ht="20.149999999999999" customHeight="1" x14ac:dyDescent="0.35">
      <c r="A115" s="1051">
        <v>13</v>
      </c>
      <c r="B115" s="1021">
        <v>33</v>
      </c>
      <c r="C115" s="336" t="s">
        <v>34</v>
      </c>
      <c r="D115" s="326">
        <v>2.52</v>
      </c>
      <c r="E115" s="323">
        <f>'[1]road inventory 2018'!C54</f>
        <v>2.4</v>
      </c>
      <c r="F115" s="323">
        <v>0.83</v>
      </c>
      <c r="G115" s="323">
        <v>0</v>
      </c>
      <c r="H115" s="323">
        <v>0</v>
      </c>
      <c r="I115" s="323">
        <f t="shared" ref="I115:I128" si="15">D115-F115</f>
        <v>1.69</v>
      </c>
      <c r="J115" s="326" t="s">
        <v>33</v>
      </c>
      <c r="K115" s="323">
        <f t="shared" si="13"/>
        <v>2.52</v>
      </c>
      <c r="L115" s="1052">
        <f t="shared" si="13"/>
        <v>1.69</v>
      </c>
      <c r="M115" s="1038"/>
      <c r="N115" s="326" t="s">
        <v>362</v>
      </c>
      <c r="O115" s="350" t="s">
        <v>862</v>
      </c>
      <c r="P115" s="328"/>
      <c r="Q115" s="329" t="s">
        <v>881</v>
      </c>
    </row>
    <row r="116" spans="1:21" ht="20.149999999999999" customHeight="1" x14ac:dyDescent="0.35">
      <c r="A116" s="1051">
        <v>14</v>
      </c>
      <c r="B116" s="1021">
        <v>34</v>
      </c>
      <c r="C116" s="336" t="s">
        <v>235</v>
      </c>
      <c r="D116" s="326">
        <v>4.3600000000000003</v>
      </c>
      <c r="E116" s="323">
        <f>'[1]road inventory 2018'!C55</f>
        <v>4.2</v>
      </c>
      <c r="F116" s="323">
        <v>1.06</v>
      </c>
      <c r="G116" s="323">
        <v>0</v>
      </c>
      <c r="H116" s="323">
        <v>0</v>
      </c>
      <c r="I116" s="323">
        <f t="shared" si="15"/>
        <v>3.3000000000000003</v>
      </c>
      <c r="J116" s="325" t="s">
        <v>41</v>
      </c>
      <c r="K116" s="323">
        <f t="shared" si="13"/>
        <v>4.3600000000000003</v>
      </c>
      <c r="L116" s="1052">
        <f t="shared" si="13"/>
        <v>3.3000000000000003</v>
      </c>
      <c r="M116" s="1038"/>
      <c r="N116" s="326" t="s">
        <v>363</v>
      </c>
      <c r="O116" s="350" t="s">
        <v>862</v>
      </c>
      <c r="P116" s="328"/>
      <c r="Q116" s="329" t="s">
        <v>882</v>
      </c>
    </row>
    <row r="117" spans="1:21" ht="20.149999999999999" customHeight="1" x14ac:dyDescent="0.35">
      <c r="A117" s="1051">
        <v>15</v>
      </c>
      <c r="B117" s="1021">
        <v>35</v>
      </c>
      <c r="C117" s="336" t="s">
        <v>364</v>
      </c>
      <c r="D117" s="942">
        <v>3.06</v>
      </c>
      <c r="E117" s="323">
        <f>'[1]road inventory 2018'!C56</f>
        <v>3</v>
      </c>
      <c r="F117" s="323">
        <v>2.2799999999999998</v>
      </c>
      <c r="G117" s="323">
        <v>0</v>
      </c>
      <c r="H117" s="323">
        <v>0</v>
      </c>
      <c r="I117" s="323">
        <f t="shared" si="15"/>
        <v>0.78000000000000025</v>
      </c>
      <c r="J117" s="325" t="s">
        <v>12</v>
      </c>
      <c r="K117" s="323">
        <f t="shared" si="13"/>
        <v>3.06</v>
      </c>
      <c r="L117" s="1052">
        <f t="shared" si="13"/>
        <v>0.78000000000000025</v>
      </c>
      <c r="M117" s="1038"/>
      <c r="N117" s="326" t="s">
        <v>365</v>
      </c>
      <c r="O117" s="350" t="s">
        <v>862</v>
      </c>
      <c r="P117" s="328"/>
      <c r="Q117" s="329" t="s">
        <v>882</v>
      </c>
    </row>
    <row r="118" spans="1:21" ht="20.149999999999999" customHeight="1" x14ac:dyDescent="0.35">
      <c r="A118" s="1051">
        <v>16</v>
      </c>
      <c r="B118" s="1021">
        <v>36</v>
      </c>
      <c r="C118" s="336" t="s">
        <v>366</v>
      </c>
      <c r="D118" s="942">
        <v>6.06</v>
      </c>
      <c r="E118" s="323">
        <f>'[1]road inventory 2018'!C57</f>
        <v>6.2</v>
      </c>
      <c r="F118" s="323">
        <v>0</v>
      </c>
      <c r="G118" s="323">
        <v>0</v>
      </c>
      <c r="H118" s="323">
        <v>0</v>
      </c>
      <c r="I118" s="323">
        <f t="shared" si="15"/>
        <v>6.06</v>
      </c>
      <c r="J118" s="325" t="s">
        <v>12</v>
      </c>
      <c r="K118" s="323">
        <f t="shared" si="13"/>
        <v>6.06</v>
      </c>
      <c r="L118" s="1052">
        <f t="shared" si="13"/>
        <v>6.06</v>
      </c>
      <c r="M118" s="1038"/>
      <c r="N118" s="326" t="s">
        <v>367</v>
      </c>
      <c r="O118" s="350" t="s">
        <v>862</v>
      </c>
      <c r="P118" s="328"/>
      <c r="Q118" s="329" t="s">
        <v>882</v>
      </c>
    </row>
    <row r="119" spans="1:21" ht="20.149999999999999" customHeight="1" x14ac:dyDescent="0.35">
      <c r="A119" s="1051">
        <v>17</v>
      </c>
      <c r="B119" s="1021">
        <v>37</v>
      </c>
      <c r="C119" s="336" t="s">
        <v>234</v>
      </c>
      <c r="D119" s="942">
        <v>1.63</v>
      </c>
      <c r="E119" s="323">
        <f>'[1]road inventory 2018'!C58</f>
        <v>1.6</v>
      </c>
      <c r="F119" s="323">
        <v>0</v>
      </c>
      <c r="G119" s="323">
        <v>0</v>
      </c>
      <c r="H119" s="323">
        <v>0</v>
      </c>
      <c r="I119" s="323">
        <f t="shared" si="15"/>
        <v>1.63</v>
      </c>
      <c r="J119" s="325" t="s">
        <v>41</v>
      </c>
      <c r="K119" s="323">
        <f t="shared" si="13"/>
        <v>1.63</v>
      </c>
      <c r="L119" s="1052">
        <f t="shared" si="13"/>
        <v>1.63</v>
      </c>
      <c r="M119" s="1038"/>
      <c r="N119" s="326" t="s">
        <v>368</v>
      </c>
      <c r="O119" s="350" t="s">
        <v>862</v>
      </c>
      <c r="P119" s="328"/>
      <c r="Q119" s="329" t="s">
        <v>882</v>
      </c>
    </row>
    <row r="120" spans="1:21" ht="20.149999999999999" customHeight="1" x14ac:dyDescent="0.35">
      <c r="A120" s="1051">
        <v>18</v>
      </c>
      <c r="B120" s="1021">
        <v>38</v>
      </c>
      <c r="C120" s="336" t="s">
        <v>36</v>
      </c>
      <c r="D120" s="942">
        <v>4.41</v>
      </c>
      <c r="E120" s="323">
        <f>'[1]road inventory 2018'!C59</f>
        <v>4.4000000000000004</v>
      </c>
      <c r="F120" s="323">
        <v>1.5860000000000001</v>
      </c>
      <c r="G120" s="323">
        <v>0</v>
      </c>
      <c r="H120" s="323">
        <v>0</v>
      </c>
      <c r="I120" s="323">
        <f t="shared" si="15"/>
        <v>2.8239999999999998</v>
      </c>
      <c r="J120" s="325" t="s">
        <v>33</v>
      </c>
      <c r="K120" s="323">
        <f t="shared" si="13"/>
        <v>4.41</v>
      </c>
      <c r="L120" s="1052">
        <f t="shared" si="13"/>
        <v>2.8239999999999998</v>
      </c>
      <c r="M120" s="1038"/>
      <c r="N120" s="326" t="s">
        <v>369</v>
      </c>
      <c r="O120" s="350" t="s">
        <v>862</v>
      </c>
      <c r="P120" s="328">
        <v>1.58</v>
      </c>
      <c r="Q120" s="329" t="s">
        <v>881</v>
      </c>
    </row>
    <row r="121" spans="1:21" ht="20.149999999999999" customHeight="1" x14ac:dyDescent="0.35">
      <c r="A121" s="1051">
        <v>19</v>
      </c>
      <c r="B121" s="1021">
        <v>39</v>
      </c>
      <c r="C121" s="336" t="s">
        <v>370</v>
      </c>
      <c r="D121" s="326">
        <v>5.04</v>
      </c>
      <c r="E121" s="323">
        <f>'[1]road inventory 2018'!C60</f>
        <v>4.9000000000000004</v>
      </c>
      <c r="F121" s="323">
        <v>1.24</v>
      </c>
      <c r="G121" s="323">
        <v>0</v>
      </c>
      <c r="H121" s="323">
        <v>0</v>
      </c>
      <c r="I121" s="323">
        <f t="shared" si="15"/>
        <v>3.8</v>
      </c>
      <c r="J121" s="325" t="s">
        <v>12</v>
      </c>
      <c r="K121" s="323">
        <f t="shared" si="13"/>
        <v>5.04</v>
      </c>
      <c r="L121" s="1052">
        <f t="shared" si="13"/>
        <v>3.8</v>
      </c>
      <c r="M121" s="1038"/>
      <c r="N121" s="326" t="s">
        <v>371</v>
      </c>
      <c r="O121" s="350" t="s">
        <v>862</v>
      </c>
      <c r="P121" s="328"/>
      <c r="Q121" s="329" t="s">
        <v>881</v>
      </c>
    </row>
    <row r="122" spans="1:21" ht="20.149999999999999" customHeight="1" x14ac:dyDescent="0.35">
      <c r="A122" s="1051">
        <v>20</v>
      </c>
      <c r="B122" s="1021">
        <v>105</v>
      </c>
      <c r="C122" s="336" t="s">
        <v>228</v>
      </c>
      <c r="D122" s="942">
        <v>3.68</v>
      </c>
      <c r="E122" s="323">
        <f>'[1]road inventory 2018'!C61</f>
        <v>3.6</v>
      </c>
      <c r="F122" s="323">
        <v>0</v>
      </c>
      <c r="G122" s="323">
        <v>0</v>
      </c>
      <c r="H122" s="323">
        <v>0</v>
      </c>
      <c r="I122" s="323">
        <f t="shared" si="15"/>
        <v>3.68</v>
      </c>
      <c r="J122" s="325" t="s">
        <v>12</v>
      </c>
      <c r="K122" s="323">
        <f t="shared" si="13"/>
        <v>3.68</v>
      </c>
      <c r="L122" s="1052">
        <f t="shared" si="13"/>
        <v>3.68</v>
      </c>
      <c r="M122" s="1038"/>
      <c r="N122" s="326" t="s">
        <v>372</v>
      </c>
      <c r="O122" s="350" t="s">
        <v>862</v>
      </c>
      <c r="P122" s="328"/>
      <c r="Q122" s="329" t="s">
        <v>882</v>
      </c>
    </row>
    <row r="123" spans="1:21" ht="20.149999999999999" customHeight="1" x14ac:dyDescent="0.35">
      <c r="A123" s="1051">
        <v>21</v>
      </c>
      <c r="B123" s="1021">
        <v>40</v>
      </c>
      <c r="C123" s="336" t="s">
        <v>231</v>
      </c>
      <c r="D123" s="942">
        <v>1.65</v>
      </c>
      <c r="E123" s="323">
        <f>'[1]road inventory 2018'!C62</f>
        <v>1.5</v>
      </c>
      <c r="F123" s="323">
        <v>1.1299999999999999</v>
      </c>
      <c r="G123" s="323">
        <v>0</v>
      </c>
      <c r="H123" s="323">
        <v>0</v>
      </c>
      <c r="I123" s="323">
        <f t="shared" si="15"/>
        <v>0.52</v>
      </c>
      <c r="J123" s="325" t="s">
        <v>10</v>
      </c>
      <c r="K123" s="323">
        <f t="shared" si="13"/>
        <v>1.65</v>
      </c>
      <c r="L123" s="1052">
        <f t="shared" si="13"/>
        <v>0.52</v>
      </c>
      <c r="M123" s="1038"/>
      <c r="N123" s="326" t="s">
        <v>373</v>
      </c>
      <c r="O123" s="350" t="s">
        <v>862</v>
      </c>
      <c r="P123" s="328"/>
      <c r="Q123" s="329" t="s">
        <v>882</v>
      </c>
    </row>
    <row r="124" spans="1:21" ht="20.149999999999999" customHeight="1" x14ac:dyDescent="0.35">
      <c r="A124" s="1051">
        <v>22</v>
      </c>
      <c r="B124" s="1021">
        <v>41</v>
      </c>
      <c r="C124" s="336" t="s">
        <v>883</v>
      </c>
      <c r="D124" s="942">
        <v>2.83</v>
      </c>
      <c r="E124" s="323">
        <f>'[1]road inventory 2018'!C63</f>
        <v>2.8</v>
      </c>
      <c r="F124" s="323">
        <v>0</v>
      </c>
      <c r="G124" s="323">
        <v>0</v>
      </c>
      <c r="H124" s="323">
        <v>0</v>
      </c>
      <c r="I124" s="323">
        <f t="shared" si="15"/>
        <v>2.83</v>
      </c>
      <c r="J124" s="325" t="s">
        <v>12</v>
      </c>
      <c r="K124" s="323">
        <f t="shared" si="13"/>
        <v>2.83</v>
      </c>
      <c r="L124" s="1052">
        <f t="shared" si="13"/>
        <v>2.83</v>
      </c>
      <c r="M124" s="1038"/>
      <c r="N124" s="326" t="s">
        <v>374</v>
      </c>
      <c r="O124" s="350" t="s">
        <v>862</v>
      </c>
      <c r="P124" s="328"/>
      <c r="Q124" s="329" t="s">
        <v>882</v>
      </c>
    </row>
    <row r="125" spans="1:21" ht="20.149999999999999" customHeight="1" x14ac:dyDescent="0.35">
      <c r="A125" s="1051">
        <v>23</v>
      </c>
      <c r="B125" s="1021">
        <v>42</v>
      </c>
      <c r="C125" s="336" t="s">
        <v>227</v>
      </c>
      <c r="D125" s="942">
        <v>1.59</v>
      </c>
      <c r="E125" s="323">
        <f>'[1]road inventory 2018'!C64</f>
        <v>1.5</v>
      </c>
      <c r="F125" s="323">
        <v>1.18</v>
      </c>
      <c r="G125" s="323">
        <v>0</v>
      </c>
      <c r="H125" s="323">
        <v>0</v>
      </c>
      <c r="I125" s="323">
        <f t="shared" si="15"/>
        <v>0.41000000000000014</v>
      </c>
      <c r="J125" s="325" t="s">
        <v>33</v>
      </c>
      <c r="K125" s="323">
        <f t="shared" si="13"/>
        <v>1.59</v>
      </c>
      <c r="L125" s="1052">
        <f t="shared" si="13"/>
        <v>0.41000000000000014</v>
      </c>
      <c r="M125" s="1038"/>
      <c r="N125" s="326" t="s">
        <v>375</v>
      </c>
      <c r="O125" s="350" t="s">
        <v>862</v>
      </c>
      <c r="P125" s="328"/>
      <c r="Q125" s="329" t="s">
        <v>881</v>
      </c>
      <c r="R125" s="329" t="s">
        <v>884</v>
      </c>
    </row>
    <row r="126" spans="1:21" ht="19.5" customHeight="1" x14ac:dyDescent="0.35">
      <c r="A126" s="1051">
        <v>24</v>
      </c>
      <c r="B126" s="1021">
        <v>44</v>
      </c>
      <c r="C126" s="336" t="s">
        <v>752</v>
      </c>
      <c r="D126" s="942">
        <v>5.47</v>
      </c>
      <c r="E126" s="323">
        <f>'[1]road inventory 2018'!C66</f>
        <v>5.3</v>
      </c>
      <c r="F126" s="323">
        <v>1.1499999999999999</v>
      </c>
      <c r="G126" s="323">
        <v>0</v>
      </c>
      <c r="H126" s="323">
        <v>0</v>
      </c>
      <c r="I126" s="323">
        <f t="shared" si="15"/>
        <v>4.32</v>
      </c>
      <c r="J126" s="325" t="s">
        <v>33</v>
      </c>
      <c r="K126" s="323">
        <f t="shared" si="13"/>
        <v>5.4700000000000006</v>
      </c>
      <c r="L126" s="1052">
        <f t="shared" si="13"/>
        <v>4.32</v>
      </c>
      <c r="M126" s="1038"/>
      <c r="N126" s="326" t="s">
        <v>378</v>
      </c>
      <c r="O126" s="350" t="s">
        <v>862</v>
      </c>
      <c r="P126" s="328">
        <v>1.5</v>
      </c>
      <c r="Q126" s="332" t="s">
        <v>751</v>
      </c>
      <c r="U126" s="329" t="s">
        <v>881</v>
      </c>
    </row>
    <row r="127" spans="1:21" ht="20.149999999999999" customHeight="1" x14ac:dyDescent="0.35">
      <c r="A127" s="1051">
        <v>25</v>
      </c>
      <c r="B127" s="321"/>
      <c r="C127" s="336" t="s">
        <v>868</v>
      </c>
      <c r="D127" s="326">
        <v>2.7</v>
      </c>
      <c r="E127" s="323"/>
      <c r="F127" s="323">
        <v>0.2</v>
      </c>
      <c r="G127" s="323">
        <v>0</v>
      </c>
      <c r="H127" s="323">
        <v>0</v>
      </c>
      <c r="I127" s="323">
        <f t="shared" si="15"/>
        <v>2.5</v>
      </c>
      <c r="J127" s="325" t="s">
        <v>12</v>
      </c>
      <c r="K127" s="323">
        <f t="shared" si="13"/>
        <v>2.7</v>
      </c>
      <c r="L127" s="1052">
        <f t="shared" si="13"/>
        <v>2.5</v>
      </c>
      <c r="M127" s="1038"/>
      <c r="N127" s="326"/>
      <c r="O127" s="350" t="s">
        <v>862</v>
      </c>
      <c r="P127" s="328" t="s">
        <v>870</v>
      </c>
      <c r="Q127" s="329">
        <v>2611</v>
      </c>
      <c r="R127" s="329" t="s">
        <v>881</v>
      </c>
    </row>
    <row r="128" spans="1:21" ht="20.149999999999999" customHeight="1" x14ac:dyDescent="0.35">
      <c r="A128" s="1051">
        <v>26</v>
      </c>
      <c r="B128" s="321"/>
      <c r="C128" s="336" t="s">
        <v>869</v>
      </c>
      <c r="D128" s="942">
        <v>2.14</v>
      </c>
      <c r="E128" s="323"/>
      <c r="F128" s="323">
        <v>0.9</v>
      </c>
      <c r="G128" s="323">
        <v>0</v>
      </c>
      <c r="H128" s="323">
        <v>0</v>
      </c>
      <c r="I128" s="323">
        <f t="shared" si="15"/>
        <v>1.2400000000000002</v>
      </c>
      <c r="J128" s="325" t="s">
        <v>12</v>
      </c>
      <c r="K128" s="323">
        <f t="shared" si="13"/>
        <v>2.14</v>
      </c>
      <c r="L128" s="1052">
        <f t="shared" si="13"/>
        <v>1.2400000000000002</v>
      </c>
      <c r="M128" s="1038" t="s">
        <v>887</v>
      </c>
      <c r="N128" s="326"/>
      <c r="O128" s="350" t="s">
        <v>862</v>
      </c>
      <c r="P128" s="328" t="s">
        <v>870</v>
      </c>
      <c r="Q128" s="329">
        <v>2612</v>
      </c>
      <c r="R128" s="329" t="s">
        <v>881</v>
      </c>
      <c r="S128" s="329" t="s">
        <v>885</v>
      </c>
    </row>
    <row r="129" spans="1:19" ht="20.149999999999999" customHeight="1" x14ac:dyDescent="0.35">
      <c r="A129" s="1051">
        <v>27</v>
      </c>
      <c r="B129" s="1021">
        <v>24</v>
      </c>
      <c r="C129" s="336" t="s">
        <v>236</v>
      </c>
      <c r="D129" s="942">
        <v>8.36</v>
      </c>
      <c r="E129" s="323">
        <v>7.9</v>
      </c>
      <c r="F129" s="323">
        <v>8.36</v>
      </c>
      <c r="G129" s="323">
        <v>0</v>
      </c>
      <c r="H129" s="323">
        <v>0</v>
      </c>
      <c r="I129" s="323">
        <v>0</v>
      </c>
      <c r="J129" s="325" t="s">
        <v>12</v>
      </c>
      <c r="K129" s="323">
        <f t="shared" ref="K129:L131" si="16">SUM(F129:I129)</f>
        <v>8.36</v>
      </c>
      <c r="L129" s="1052">
        <f t="shared" si="16"/>
        <v>0</v>
      </c>
      <c r="M129" s="1038"/>
      <c r="N129" s="326" t="s">
        <v>347</v>
      </c>
      <c r="O129" s="350" t="s">
        <v>862</v>
      </c>
      <c r="P129" s="328"/>
      <c r="Q129" s="329" t="s">
        <v>882</v>
      </c>
    </row>
    <row r="130" spans="1:19" ht="20.149999999999999" customHeight="1" x14ac:dyDescent="0.35">
      <c r="A130" s="1051">
        <v>28</v>
      </c>
      <c r="B130" s="1021">
        <v>106</v>
      </c>
      <c r="C130" s="336" t="s">
        <v>238</v>
      </c>
      <c r="D130" s="326">
        <v>3.2829999999999999</v>
      </c>
      <c r="E130" s="323">
        <f>'[1]road inventory 2018'!C51</f>
        <v>3.2</v>
      </c>
      <c r="F130" s="323">
        <v>3.2829999999999999</v>
      </c>
      <c r="G130" s="323">
        <v>0</v>
      </c>
      <c r="H130" s="323">
        <v>0</v>
      </c>
      <c r="I130" s="323">
        <f>D130-F130</f>
        <v>0</v>
      </c>
      <c r="J130" s="325" t="s">
        <v>10</v>
      </c>
      <c r="K130" s="323">
        <f t="shared" si="16"/>
        <v>3.2829999999999999</v>
      </c>
      <c r="L130" s="1052">
        <f t="shared" si="16"/>
        <v>0</v>
      </c>
      <c r="M130" s="1038"/>
      <c r="N130" s="326" t="s">
        <v>358</v>
      </c>
      <c r="O130" s="350" t="s">
        <v>862</v>
      </c>
      <c r="P130" s="328"/>
      <c r="Q130" s="329" t="s">
        <v>881</v>
      </c>
    </row>
    <row r="131" spans="1:19" ht="20.149999999999999" customHeight="1" x14ac:dyDescent="0.35">
      <c r="A131" s="1051">
        <v>29</v>
      </c>
      <c r="B131" s="1021">
        <v>31</v>
      </c>
      <c r="C131" s="336" t="s">
        <v>359</v>
      </c>
      <c r="D131" s="942">
        <v>0.82199999999999995</v>
      </c>
      <c r="E131" s="323">
        <f>'[1]road inventory 2018'!C52</f>
        <v>0.8</v>
      </c>
      <c r="F131" s="323">
        <v>0.82199999999999995</v>
      </c>
      <c r="G131" s="323">
        <v>0</v>
      </c>
      <c r="H131" s="323">
        <v>0</v>
      </c>
      <c r="I131" s="323">
        <v>0</v>
      </c>
      <c r="J131" s="325" t="s">
        <v>33</v>
      </c>
      <c r="K131" s="323">
        <f t="shared" si="16"/>
        <v>0.82199999999999995</v>
      </c>
      <c r="L131" s="1052">
        <f t="shared" si="16"/>
        <v>0</v>
      </c>
      <c r="M131" s="1038"/>
      <c r="N131" s="326" t="s">
        <v>360</v>
      </c>
      <c r="O131" s="350" t="s">
        <v>862</v>
      </c>
      <c r="P131" s="328"/>
      <c r="Q131" s="329" t="s">
        <v>882</v>
      </c>
    </row>
    <row r="132" spans="1:19" s="317" customFormat="1" ht="20.149999999999999" customHeight="1" x14ac:dyDescent="0.35">
      <c r="A132" s="1049"/>
      <c r="B132" s="977"/>
      <c r="C132" s="978" t="s">
        <v>341</v>
      </c>
      <c r="D132" s="979">
        <f>SUM(D103:E131)</f>
        <v>212.77700000000004</v>
      </c>
      <c r="E132" s="980">
        <f>SUM(E104:E128)</f>
        <v>77.899999999999991</v>
      </c>
      <c r="F132" s="979">
        <f>SUM(F103:G131)</f>
        <v>40.840999999999994</v>
      </c>
      <c r="G132" s="979">
        <f>SUM(G103:H131)</f>
        <v>0</v>
      </c>
      <c r="H132" s="979">
        <f>SUM(H103:H131)</f>
        <v>0</v>
      </c>
      <c r="I132" s="979">
        <f>SUM(I103:J131)</f>
        <v>69.435999999999993</v>
      </c>
      <c r="J132" s="981"/>
      <c r="K132" s="979">
        <f>SUM(K103:L131)</f>
        <v>179.71300000000005</v>
      </c>
      <c r="L132" s="1060">
        <f>SUM(L103:M131)</f>
        <v>69.435999999999993</v>
      </c>
      <c r="M132" s="1048"/>
      <c r="N132" s="372"/>
      <c r="O132" s="453"/>
      <c r="P132" s="377"/>
      <c r="Q132" s="320"/>
    </row>
    <row r="133" spans="1:19" ht="15" customHeight="1" x14ac:dyDescent="0.35">
      <c r="A133" s="1051"/>
      <c r="B133" s="321"/>
      <c r="C133" s="330"/>
      <c r="D133" s="330"/>
      <c r="E133" s="323"/>
      <c r="F133" s="323"/>
      <c r="G133" s="323"/>
      <c r="H133" s="323"/>
      <c r="I133" s="323"/>
      <c r="J133" s="325"/>
      <c r="K133" s="323"/>
      <c r="L133" s="1052"/>
      <c r="M133" s="1038"/>
      <c r="N133" s="323"/>
      <c r="O133" s="326"/>
      <c r="P133" s="363"/>
      <c r="Q133" s="328"/>
      <c r="R133" s="331"/>
    </row>
    <row r="134" spans="1:19" s="1103" customFormat="1" ht="56.5" customHeight="1" x14ac:dyDescent="0.35">
      <c r="A134" s="1101"/>
      <c r="B134" s="1115" t="s">
        <v>909</v>
      </c>
      <c r="C134" s="1115"/>
      <c r="D134" s="1101" t="s">
        <v>912</v>
      </c>
      <c r="E134" s="1101"/>
      <c r="F134" s="1101" t="s">
        <v>917</v>
      </c>
      <c r="G134" s="1101" t="s">
        <v>918</v>
      </c>
      <c r="H134" s="1116" t="s">
        <v>911</v>
      </c>
      <c r="I134" s="1116"/>
      <c r="J134" s="1102"/>
      <c r="K134" s="1102"/>
      <c r="L134" s="1102"/>
      <c r="M134" s="1102"/>
      <c r="N134" s="1102"/>
      <c r="O134" s="1102"/>
      <c r="P134" s="1102"/>
      <c r="Q134" s="1102"/>
      <c r="R134" s="1102"/>
      <c r="S134" s="1102"/>
    </row>
    <row r="135" spans="1:19" s="1103" customFormat="1" ht="20.25" customHeight="1" x14ac:dyDescent="0.35">
      <c r="A135" s="1101">
        <v>1</v>
      </c>
      <c r="B135" s="1117" t="s">
        <v>910</v>
      </c>
      <c r="C135" s="1118"/>
      <c r="D135" s="339">
        <f>L132</f>
        <v>69.435999999999993</v>
      </c>
      <c r="E135" s="326"/>
      <c r="F135" s="942">
        <v>0.1</v>
      </c>
      <c r="G135" s="1113">
        <v>7</v>
      </c>
      <c r="H135" s="359">
        <f>D135*F135*1000*G135</f>
        <v>48605.200000000004</v>
      </c>
      <c r="I135" s="1114" t="s">
        <v>913</v>
      </c>
      <c r="J135" s="1102"/>
      <c r="K135" s="1102"/>
      <c r="L135" s="1102" t="s">
        <v>863</v>
      </c>
      <c r="M135" s="1102">
        <f>H135</f>
        <v>48605.200000000004</v>
      </c>
      <c r="N135" s="1102"/>
      <c r="O135" s="1102"/>
      <c r="P135" s="1102"/>
      <c r="Q135" s="1102"/>
      <c r="R135" s="1102"/>
      <c r="S135" s="1102"/>
    </row>
    <row r="136" spans="1:19" ht="15" customHeight="1" thickBot="1" x14ac:dyDescent="0.4">
      <c r="A136" s="1053"/>
      <c r="B136" s="1054"/>
      <c r="C136" s="1055"/>
      <c r="D136" s="1055"/>
      <c r="E136" s="1056"/>
      <c r="F136" s="1056"/>
      <c r="G136" s="1056"/>
      <c r="H136" s="1056"/>
      <c r="I136" s="1056"/>
      <c r="J136" s="1057"/>
      <c r="K136" s="1056"/>
      <c r="L136" s="1058"/>
      <c r="M136" s="1038"/>
      <c r="N136" s="323"/>
      <c r="O136" s="326"/>
      <c r="P136" s="363"/>
      <c r="Q136" s="328"/>
      <c r="R136" s="331"/>
    </row>
    <row r="137" spans="1:19" s="317" customFormat="1" ht="20.149999999999999" customHeight="1" x14ac:dyDescent="0.35">
      <c r="A137" s="1049"/>
      <c r="B137" s="982" t="s">
        <v>380</v>
      </c>
      <c r="C137" s="983"/>
      <c r="D137" s="983"/>
      <c r="E137" s="980"/>
      <c r="F137" s="980"/>
      <c r="G137" s="980"/>
      <c r="H137" s="980"/>
      <c r="I137" s="980"/>
      <c r="J137" s="981"/>
      <c r="K137" s="980"/>
      <c r="L137" s="1050"/>
      <c r="M137" s="984"/>
      <c r="N137" s="378"/>
      <c r="O137" s="453"/>
      <c r="P137" s="377"/>
    </row>
    <row r="138" spans="1:19" ht="20.149999999999999" customHeight="1" x14ac:dyDescent="0.35">
      <c r="A138" s="1051">
        <v>1</v>
      </c>
      <c r="B138" s="1021">
        <v>102</v>
      </c>
      <c r="C138" s="336" t="s">
        <v>242</v>
      </c>
      <c r="D138" s="326">
        <v>1.39</v>
      </c>
      <c r="E138" s="323">
        <f>'[1]road inventory 2018'!C74</f>
        <v>1.3</v>
      </c>
      <c r="F138" s="323">
        <v>0.17</v>
      </c>
      <c r="G138" s="323">
        <v>0</v>
      </c>
      <c r="H138" s="323">
        <v>0</v>
      </c>
      <c r="I138" s="323">
        <f t="shared" ref="I138:I144" si="17">D138-F138</f>
        <v>1.22</v>
      </c>
      <c r="J138" s="325" t="s">
        <v>33</v>
      </c>
      <c r="K138" s="323">
        <f t="shared" ref="K138:L144" si="18">SUM(F138:I138)</f>
        <v>1.39</v>
      </c>
      <c r="L138" s="1052">
        <f t="shared" si="18"/>
        <v>1.22</v>
      </c>
      <c r="M138" s="1038"/>
      <c r="N138" s="326" t="s">
        <v>383</v>
      </c>
      <c r="O138" s="350" t="s">
        <v>862</v>
      </c>
      <c r="P138" s="328" t="s">
        <v>881</v>
      </c>
    </row>
    <row r="139" spans="1:19" ht="20.149999999999999" customHeight="1" x14ac:dyDescent="0.35">
      <c r="A139" s="1051">
        <v>2</v>
      </c>
      <c r="B139" s="1021">
        <v>107</v>
      </c>
      <c r="C139" s="336" t="s">
        <v>381</v>
      </c>
      <c r="D139" s="326">
        <v>1.31</v>
      </c>
      <c r="E139" s="323">
        <f>'[1]road inventory 2018'!C73</f>
        <v>2.5</v>
      </c>
      <c r="F139" s="323">
        <v>0</v>
      </c>
      <c r="G139" s="323">
        <v>0</v>
      </c>
      <c r="H139" s="323">
        <v>0</v>
      </c>
      <c r="I139" s="323">
        <f t="shared" si="17"/>
        <v>1.31</v>
      </c>
      <c r="J139" s="325" t="s">
        <v>12</v>
      </c>
      <c r="K139" s="323">
        <f t="shared" si="18"/>
        <v>1.31</v>
      </c>
      <c r="L139" s="1052">
        <f t="shared" si="18"/>
        <v>1.31</v>
      </c>
      <c r="M139" s="1038"/>
      <c r="N139" s="326" t="s">
        <v>382</v>
      </c>
      <c r="O139" s="350" t="s">
        <v>862</v>
      </c>
      <c r="P139" s="328" t="s">
        <v>881</v>
      </c>
    </row>
    <row r="140" spans="1:19" ht="20.149999999999999" customHeight="1" x14ac:dyDescent="0.35">
      <c r="A140" s="1051">
        <v>3</v>
      </c>
      <c r="B140" s="1021">
        <v>90</v>
      </c>
      <c r="C140" s="336" t="s">
        <v>390</v>
      </c>
      <c r="D140" s="942">
        <v>4.58</v>
      </c>
      <c r="E140" s="323">
        <f>'[1]road inventory 2018'!C78</f>
        <v>4.3499999999999996</v>
      </c>
      <c r="F140" s="323">
        <v>0</v>
      </c>
      <c r="G140" s="323">
        <v>0</v>
      </c>
      <c r="H140" s="323">
        <v>0</v>
      </c>
      <c r="I140" s="323">
        <f t="shared" si="17"/>
        <v>4.58</v>
      </c>
      <c r="J140" s="325" t="s">
        <v>12</v>
      </c>
      <c r="K140" s="323">
        <f t="shared" si="18"/>
        <v>4.58</v>
      </c>
      <c r="L140" s="1052">
        <f t="shared" si="18"/>
        <v>4.58</v>
      </c>
      <c r="M140" s="1038"/>
      <c r="N140" s="326" t="s">
        <v>391</v>
      </c>
      <c r="O140" s="350" t="s">
        <v>862</v>
      </c>
      <c r="P140" s="328" t="s">
        <v>881</v>
      </c>
    </row>
    <row r="141" spans="1:19" ht="20.149999999999999" customHeight="1" x14ac:dyDescent="0.35">
      <c r="A141" s="1051">
        <v>4</v>
      </c>
      <c r="B141" s="1021">
        <v>47</v>
      </c>
      <c r="C141" s="336" t="s">
        <v>38</v>
      </c>
      <c r="D141" s="326">
        <v>17.399999999999999</v>
      </c>
      <c r="E141" s="323">
        <f>'[1]road inventory 2018'!C76</f>
        <v>17</v>
      </c>
      <c r="F141" s="323">
        <v>1.3169999999999999</v>
      </c>
      <c r="G141" s="323">
        <v>0</v>
      </c>
      <c r="H141" s="323">
        <v>0</v>
      </c>
      <c r="I141" s="323">
        <f t="shared" si="17"/>
        <v>16.082999999999998</v>
      </c>
      <c r="J141" s="325" t="s">
        <v>33</v>
      </c>
      <c r="K141" s="323">
        <f t="shared" si="18"/>
        <v>17.399999999999999</v>
      </c>
      <c r="L141" s="1052">
        <f t="shared" si="18"/>
        <v>16.082999999999998</v>
      </c>
      <c r="M141" s="1038"/>
      <c r="N141" s="326" t="s">
        <v>387</v>
      </c>
      <c r="O141" s="350" t="s">
        <v>862</v>
      </c>
      <c r="P141" s="328" t="s">
        <v>881</v>
      </c>
    </row>
    <row r="142" spans="1:19" ht="20.149999999999999" customHeight="1" x14ac:dyDescent="0.35">
      <c r="A142" s="1051">
        <v>5</v>
      </c>
      <c r="B142" s="1021">
        <v>99</v>
      </c>
      <c r="C142" s="336" t="s">
        <v>392</v>
      </c>
      <c r="D142" s="942">
        <v>14.1</v>
      </c>
      <c r="E142" s="323">
        <f>'[1]road inventory 2018'!C79</f>
        <v>14.1</v>
      </c>
      <c r="F142" s="323">
        <v>2.14</v>
      </c>
      <c r="G142" s="323">
        <v>0</v>
      </c>
      <c r="H142" s="323">
        <v>0</v>
      </c>
      <c r="I142" s="323">
        <f t="shared" si="17"/>
        <v>11.959999999999999</v>
      </c>
      <c r="J142" s="325" t="s">
        <v>33</v>
      </c>
      <c r="K142" s="323">
        <f t="shared" si="18"/>
        <v>14.1</v>
      </c>
      <c r="L142" s="1052">
        <f t="shared" si="18"/>
        <v>11.959999999999999</v>
      </c>
      <c r="M142" s="1038"/>
      <c r="N142" s="326" t="s">
        <v>393</v>
      </c>
      <c r="O142" s="350" t="s">
        <v>862</v>
      </c>
      <c r="P142" s="328" t="s">
        <v>881</v>
      </c>
      <c r="Q142" s="329">
        <v>2.1</v>
      </c>
    </row>
    <row r="143" spans="1:19" ht="20.149999999999999" customHeight="1" x14ac:dyDescent="0.35">
      <c r="A143" s="1051">
        <v>6</v>
      </c>
      <c r="B143" s="1021">
        <v>48</v>
      </c>
      <c r="C143" s="336" t="s">
        <v>388</v>
      </c>
      <c r="D143" s="326">
        <v>2.65</v>
      </c>
      <c r="E143" s="323">
        <f>'[1]road inventory 2018'!C77</f>
        <v>2.6</v>
      </c>
      <c r="F143" s="323">
        <v>0</v>
      </c>
      <c r="G143" s="323">
        <v>0</v>
      </c>
      <c r="H143" s="323">
        <v>0</v>
      </c>
      <c r="I143" s="323">
        <f t="shared" si="17"/>
        <v>2.65</v>
      </c>
      <c r="J143" s="325" t="s">
        <v>12</v>
      </c>
      <c r="K143" s="323">
        <f t="shared" si="18"/>
        <v>2.65</v>
      </c>
      <c r="L143" s="1052">
        <f t="shared" si="18"/>
        <v>2.65</v>
      </c>
      <c r="M143" s="1038"/>
      <c r="N143" s="326" t="s">
        <v>389</v>
      </c>
      <c r="O143" s="350" t="s">
        <v>862</v>
      </c>
      <c r="P143" s="328" t="s">
        <v>881</v>
      </c>
    </row>
    <row r="144" spans="1:19" ht="20.149999999999999" customHeight="1" x14ac:dyDescent="0.35">
      <c r="A144" s="1051">
        <v>7</v>
      </c>
      <c r="B144" s="1021">
        <v>101</v>
      </c>
      <c r="C144" s="336" t="s">
        <v>384</v>
      </c>
      <c r="D144" s="942">
        <v>0.64900000000000002</v>
      </c>
      <c r="E144" s="323">
        <v>0.6</v>
      </c>
      <c r="F144" s="323">
        <f>D144</f>
        <v>0.64900000000000002</v>
      </c>
      <c r="G144" s="323">
        <v>0</v>
      </c>
      <c r="H144" s="323">
        <v>0</v>
      </c>
      <c r="I144" s="323">
        <f t="shared" si="17"/>
        <v>0</v>
      </c>
      <c r="J144" s="325" t="s">
        <v>12</v>
      </c>
      <c r="K144" s="323">
        <f t="shared" si="18"/>
        <v>0.64900000000000002</v>
      </c>
      <c r="L144" s="1052">
        <f t="shared" si="18"/>
        <v>0</v>
      </c>
      <c r="M144" s="1038"/>
      <c r="N144" s="326"/>
      <c r="O144" s="350" t="s">
        <v>862</v>
      </c>
      <c r="P144" s="328" t="s">
        <v>881</v>
      </c>
    </row>
    <row r="145" spans="1:19" s="317" customFormat="1" ht="20.149999999999999" customHeight="1" x14ac:dyDescent="0.35">
      <c r="A145" s="1049"/>
      <c r="B145" s="977"/>
      <c r="C145" s="978" t="s">
        <v>341</v>
      </c>
      <c r="D145" s="979">
        <f>SUM(D138:D144)</f>
        <v>42.079000000000001</v>
      </c>
      <c r="E145" s="980">
        <f>SUM(E139:E144)</f>
        <v>41.150000000000006</v>
      </c>
      <c r="F145" s="979">
        <f>SUM(F138:F144)</f>
        <v>4.2759999999999998</v>
      </c>
      <c r="G145" s="979">
        <f>SUM(G138:G144)</f>
        <v>0</v>
      </c>
      <c r="H145" s="979">
        <f>SUM(H138:H144)</f>
        <v>0</v>
      </c>
      <c r="I145" s="979">
        <f>SUM(I138:I144)</f>
        <v>37.802999999999997</v>
      </c>
      <c r="J145" s="981"/>
      <c r="K145" s="979">
        <f>SUM(K138:K144)</f>
        <v>42.079000000000001</v>
      </c>
      <c r="L145" s="1060">
        <f>SUM(L138:L144)</f>
        <v>37.802999999999997</v>
      </c>
      <c r="M145" s="1048"/>
      <c r="N145" s="372"/>
      <c r="O145" s="453"/>
      <c r="P145" s="377"/>
      <c r="Q145" s="320"/>
    </row>
    <row r="146" spans="1:19" ht="20.149999999999999" customHeight="1" x14ac:dyDescent="0.35">
      <c r="A146" s="1051"/>
      <c r="B146" s="321"/>
      <c r="C146" s="330"/>
      <c r="D146" s="330"/>
      <c r="E146" s="323"/>
      <c r="F146" s="323"/>
      <c r="G146" s="323"/>
      <c r="H146" s="323"/>
      <c r="I146" s="323"/>
      <c r="J146" s="325"/>
      <c r="K146" s="323"/>
      <c r="L146" s="1052"/>
      <c r="M146" s="1038"/>
      <c r="N146" s="326"/>
      <c r="O146" s="363"/>
      <c r="P146" s="328"/>
      <c r="Q146" s="331"/>
    </row>
    <row r="147" spans="1:19" s="1103" customFormat="1" ht="56.5" customHeight="1" x14ac:dyDescent="0.35">
      <c r="A147" s="1101"/>
      <c r="B147" s="1115" t="s">
        <v>909</v>
      </c>
      <c r="C147" s="1115"/>
      <c r="D147" s="1101" t="s">
        <v>912</v>
      </c>
      <c r="E147" s="1101"/>
      <c r="F147" s="1101" t="s">
        <v>917</v>
      </c>
      <c r="G147" s="1101" t="s">
        <v>918</v>
      </c>
      <c r="H147" s="1116" t="s">
        <v>911</v>
      </c>
      <c r="I147" s="1116"/>
      <c r="J147" s="1102"/>
      <c r="K147" s="1102"/>
      <c r="L147" s="1102"/>
      <c r="M147" s="1102"/>
      <c r="N147" s="1102"/>
      <c r="O147" s="1102"/>
      <c r="P147" s="1102"/>
      <c r="Q147" s="1102"/>
      <c r="R147" s="1102"/>
      <c r="S147" s="1102"/>
    </row>
    <row r="148" spans="1:19" s="1103" customFormat="1" ht="20.25" customHeight="1" x14ac:dyDescent="0.35">
      <c r="A148" s="1101">
        <v>1</v>
      </c>
      <c r="B148" s="1117" t="s">
        <v>910</v>
      </c>
      <c r="C148" s="1118"/>
      <c r="D148" s="339">
        <f>L145</f>
        <v>37.802999999999997</v>
      </c>
      <c r="E148" s="326"/>
      <c r="F148" s="942">
        <v>0.1</v>
      </c>
      <c r="G148" s="1113">
        <v>7</v>
      </c>
      <c r="H148" s="359">
        <f>D148*F148*1000*G148</f>
        <v>26462.100000000002</v>
      </c>
      <c r="I148" s="1114" t="s">
        <v>913</v>
      </c>
      <c r="J148" s="1102"/>
      <c r="K148" s="1102"/>
      <c r="L148" s="1102" t="s">
        <v>863</v>
      </c>
      <c r="M148" s="1102">
        <f>H148</f>
        <v>26462.100000000002</v>
      </c>
      <c r="N148" s="1102"/>
      <c r="O148" s="1102"/>
      <c r="P148" s="1102"/>
      <c r="Q148" s="1102"/>
      <c r="R148" s="1102"/>
      <c r="S148" s="1102"/>
    </row>
    <row r="149" spans="1:19" s="1102" customFormat="1" ht="20.25" customHeight="1" x14ac:dyDescent="0.35">
      <c r="A149" s="329"/>
      <c r="B149" s="1087"/>
      <c r="C149" s="1093"/>
      <c r="D149" s="328"/>
      <c r="E149" s="326"/>
      <c r="F149" s="942"/>
      <c r="G149" s="1101"/>
      <c r="H149" s="326"/>
      <c r="I149" s="1101"/>
      <c r="J149" s="1101"/>
      <c r="K149" s="1101"/>
      <c r="L149" s="1104"/>
    </row>
    <row r="150" spans="1:19" s="317" customFormat="1" ht="20.149999999999999" customHeight="1" x14ac:dyDescent="0.35">
      <c r="A150" s="1049"/>
      <c r="B150" s="982" t="s">
        <v>394</v>
      </c>
      <c r="C150" s="983"/>
      <c r="D150" s="983"/>
      <c r="E150" s="980"/>
      <c r="F150" s="980"/>
      <c r="G150" s="980"/>
      <c r="H150" s="980"/>
      <c r="I150" s="980"/>
      <c r="J150" s="981"/>
      <c r="K150" s="980"/>
      <c r="L150" s="1050"/>
      <c r="M150" s="984"/>
      <c r="N150" s="378"/>
      <c r="O150" s="453"/>
      <c r="P150" s="377"/>
    </row>
    <row r="151" spans="1:19" s="327" customFormat="1" ht="20.149999999999999" customHeight="1" x14ac:dyDescent="0.35">
      <c r="A151" s="1070">
        <v>1</v>
      </c>
      <c r="B151" s="1022">
        <v>108</v>
      </c>
      <c r="C151" s="1066" t="s">
        <v>395</v>
      </c>
      <c r="D151" s="326">
        <v>3.33</v>
      </c>
      <c r="E151" s="339">
        <f>'[1]road inventory 2018'!C86</f>
        <v>3.1</v>
      </c>
      <c r="F151" s="339">
        <v>0.52</v>
      </c>
      <c r="G151" s="339">
        <v>0</v>
      </c>
      <c r="H151" s="339">
        <v>0</v>
      </c>
      <c r="I151" s="339">
        <f>D151-F151</f>
        <v>2.81</v>
      </c>
      <c r="J151" s="326" t="s">
        <v>12</v>
      </c>
      <c r="K151" s="323">
        <f>SUM(F151:I151)</f>
        <v>3.33</v>
      </c>
      <c r="L151" s="1052">
        <f>SUM(G151:J151)</f>
        <v>2.81</v>
      </c>
      <c r="M151" s="1038"/>
      <c r="N151" s="326" t="s">
        <v>396</v>
      </c>
      <c r="O151" s="350" t="s">
        <v>862</v>
      </c>
      <c r="P151" s="341" t="s">
        <v>881</v>
      </c>
    </row>
    <row r="152" spans="1:19" s="317" customFormat="1" ht="20.149999999999999" customHeight="1" x14ac:dyDescent="0.35">
      <c r="A152" s="1049"/>
      <c r="B152" s="977"/>
      <c r="C152" s="978" t="s">
        <v>341</v>
      </c>
      <c r="D152" s="980">
        <f t="shared" ref="D152:I152" si="19">SUM(D151)</f>
        <v>3.33</v>
      </c>
      <c r="E152" s="980">
        <f t="shared" si="19"/>
        <v>3.1</v>
      </c>
      <c r="F152" s="980">
        <f t="shared" si="19"/>
        <v>0.52</v>
      </c>
      <c r="G152" s="980">
        <f t="shared" si="19"/>
        <v>0</v>
      </c>
      <c r="H152" s="980">
        <f t="shared" si="19"/>
        <v>0</v>
      </c>
      <c r="I152" s="980">
        <f t="shared" si="19"/>
        <v>2.81</v>
      </c>
      <c r="J152" s="981"/>
      <c r="K152" s="979">
        <f>SUM(K151)</f>
        <v>3.33</v>
      </c>
      <c r="L152" s="1060">
        <f>SUM(L151)</f>
        <v>2.81</v>
      </c>
      <c r="M152" s="1048"/>
      <c r="N152" s="372"/>
      <c r="O152" s="453"/>
      <c r="P152" s="377"/>
      <c r="Q152" s="320"/>
    </row>
    <row r="153" spans="1:19" ht="15" customHeight="1" x14ac:dyDescent="0.35">
      <c r="A153" s="1051"/>
      <c r="B153" s="321"/>
      <c r="C153" s="330"/>
      <c r="D153" s="330"/>
      <c r="E153" s="323"/>
      <c r="F153" s="323"/>
      <c r="G153" s="323"/>
      <c r="H153" s="323"/>
      <c r="I153" s="323"/>
      <c r="J153" s="325"/>
      <c r="K153" s="323"/>
      <c r="L153" s="1052"/>
      <c r="M153" s="1038"/>
      <c r="N153" s="323"/>
      <c r="O153" s="326"/>
      <c r="P153" s="363"/>
      <c r="Q153" s="328"/>
      <c r="R153" s="331"/>
    </row>
    <row r="154" spans="1:19" s="1103" customFormat="1" ht="56.5" customHeight="1" x14ac:dyDescent="0.35">
      <c r="A154" s="1101"/>
      <c r="B154" s="1115" t="s">
        <v>909</v>
      </c>
      <c r="C154" s="1115"/>
      <c r="D154" s="1101" t="s">
        <v>912</v>
      </c>
      <c r="E154" s="1101"/>
      <c r="F154" s="1101" t="s">
        <v>917</v>
      </c>
      <c r="G154" s="1101" t="s">
        <v>918</v>
      </c>
      <c r="H154" s="1116" t="s">
        <v>911</v>
      </c>
      <c r="I154" s="1116"/>
      <c r="J154" s="1102"/>
      <c r="K154" s="1102"/>
      <c r="L154" s="1102"/>
      <c r="M154" s="1102"/>
      <c r="N154" s="1102"/>
      <c r="O154" s="1102"/>
      <c r="P154" s="1102"/>
      <c r="Q154" s="1102"/>
      <c r="R154" s="1102"/>
      <c r="S154" s="1102"/>
    </row>
    <row r="155" spans="1:19" s="1103" customFormat="1" ht="20.25" customHeight="1" x14ac:dyDescent="0.35">
      <c r="A155" s="1101">
        <v>1</v>
      </c>
      <c r="B155" s="1117" t="s">
        <v>910</v>
      </c>
      <c r="C155" s="1118"/>
      <c r="D155" s="339">
        <f>L152</f>
        <v>2.81</v>
      </c>
      <c r="E155" s="326"/>
      <c r="F155" s="942">
        <v>0.1</v>
      </c>
      <c r="G155" s="1113">
        <v>7</v>
      </c>
      <c r="H155" s="359">
        <f>D155*F155*1000*G155</f>
        <v>1967</v>
      </c>
      <c r="I155" s="1114" t="s">
        <v>913</v>
      </c>
      <c r="J155" s="1102"/>
      <c r="K155" s="1102"/>
      <c r="L155" s="1102" t="s">
        <v>863</v>
      </c>
      <c r="M155" s="1102">
        <f>H155</f>
        <v>1967</v>
      </c>
      <c r="N155" s="1102"/>
      <c r="O155" s="1102"/>
      <c r="P155" s="1102"/>
      <c r="Q155" s="1102"/>
      <c r="R155" s="1102"/>
      <c r="S155" s="1102"/>
    </row>
    <row r="156" spans="1:19" ht="15" customHeight="1" thickBot="1" x14ac:dyDescent="0.4">
      <c r="A156" s="1053"/>
      <c r="B156" s="1054"/>
      <c r="C156" s="1055"/>
      <c r="D156" s="1055"/>
      <c r="E156" s="1056"/>
      <c r="F156" s="1056"/>
      <c r="G156" s="1056"/>
      <c r="H156" s="1056"/>
      <c r="I156" s="1056"/>
      <c r="J156" s="1057"/>
      <c r="K156" s="1056"/>
      <c r="L156" s="1058"/>
      <c r="M156" s="1038"/>
      <c r="N156" s="323"/>
      <c r="O156" s="326"/>
      <c r="P156" s="363"/>
      <c r="Q156" s="328"/>
      <c r="R156" s="331"/>
    </row>
    <row r="157" spans="1:19" s="317" customFormat="1" ht="20.149999999999999" customHeight="1" x14ac:dyDescent="0.35">
      <c r="A157" s="1049"/>
      <c r="B157" s="982" t="s">
        <v>397</v>
      </c>
      <c r="C157" s="983"/>
      <c r="D157" s="983"/>
      <c r="E157" s="980"/>
      <c r="F157" s="980"/>
      <c r="G157" s="980"/>
      <c r="H157" s="980"/>
      <c r="I157" s="980"/>
      <c r="J157" s="981"/>
      <c r="K157" s="980"/>
      <c r="L157" s="1050"/>
      <c r="M157" s="984"/>
      <c r="N157" s="378"/>
      <c r="O157" s="453"/>
      <c r="P157" s="377"/>
    </row>
    <row r="158" spans="1:19" ht="20.149999999999999" customHeight="1" x14ac:dyDescent="0.35">
      <c r="A158" s="1051">
        <v>1</v>
      </c>
      <c r="B158" s="1021">
        <v>223</v>
      </c>
      <c r="C158" s="336" t="s">
        <v>42</v>
      </c>
      <c r="D158" s="942">
        <v>4.0999999999999996</v>
      </c>
      <c r="E158" s="323">
        <f>'[1]road inventory 2018'!C93</f>
        <v>4.0999999999999996</v>
      </c>
      <c r="F158" s="323">
        <v>0</v>
      </c>
      <c r="G158" s="323">
        <v>0</v>
      </c>
      <c r="H158" s="323">
        <v>0</v>
      </c>
      <c r="I158" s="323">
        <v>4.0999999999999996</v>
      </c>
      <c r="J158" s="325" t="s">
        <v>33</v>
      </c>
      <c r="K158" s="323">
        <f t="shared" ref="K158:L165" si="20">SUM(F158:I158)</f>
        <v>4.0999999999999996</v>
      </c>
      <c r="L158" s="1052">
        <f t="shared" si="20"/>
        <v>4.0999999999999996</v>
      </c>
      <c r="M158" s="1038"/>
      <c r="N158" s="326" t="s">
        <v>398</v>
      </c>
      <c r="O158" s="350" t="s">
        <v>862</v>
      </c>
      <c r="P158" s="328"/>
    </row>
    <row r="159" spans="1:19" ht="20.149999999999999" customHeight="1" x14ac:dyDescent="0.35">
      <c r="A159" s="1051">
        <v>2</v>
      </c>
      <c r="B159" s="1021">
        <v>224</v>
      </c>
      <c r="C159" s="336" t="s">
        <v>44</v>
      </c>
      <c r="D159" s="942">
        <v>7.2060000000000004</v>
      </c>
      <c r="E159" s="323">
        <f>'[1]road inventory 2018'!C94</f>
        <v>7.2</v>
      </c>
      <c r="F159" s="323">
        <v>3.09</v>
      </c>
      <c r="G159" s="323">
        <v>0</v>
      </c>
      <c r="H159" s="323">
        <v>0</v>
      </c>
      <c r="I159" s="323">
        <f t="shared" ref="I159:I165" si="21">D159-F159</f>
        <v>4.1160000000000005</v>
      </c>
      <c r="J159" s="325" t="s">
        <v>12</v>
      </c>
      <c r="K159" s="323">
        <f t="shared" si="20"/>
        <v>7.2060000000000004</v>
      </c>
      <c r="L159" s="1052">
        <f t="shared" si="20"/>
        <v>4.1160000000000005</v>
      </c>
      <c r="M159" s="1038"/>
      <c r="N159" s="326" t="s">
        <v>399</v>
      </c>
      <c r="O159" s="350" t="s">
        <v>862</v>
      </c>
      <c r="P159" s="328"/>
      <c r="Q159" s="363" t="s">
        <v>750</v>
      </c>
      <c r="R159" s="328">
        <v>2</v>
      </c>
    </row>
    <row r="160" spans="1:19" ht="20.149999999999999" customHeight="1" x14ac:dyDescent="0.35">
      <c r="A160" s="1051">
        <v>3</v>
      </c>
      <c r="B160" s="1021">
        <v>45</v>
      </c>
      <c r="C160" s="336" t="s">
        <v>400</v>
      </c>
      <c r="D160" s="942">
        <v>8.3000000000000007</v>
      </c>
      <c r="E160" s="323">
        <f>'[1]road inventory 2018'!C95</f>
        <v>7.8999999999999995</v>
      </c>
      <c r="F160" s="323">
        <v>1.125</v>
      </c>
      <c r="G160" s="323">
        <v>0</v>
      </c>
      <c r="H160" s="323">
        <v>0</v>
      </c>
      <c r="I160" s="323">
        <f t="shared" si="21"/>
        <v>7.1750000000000007</v>
      </c>
      <c r="J160" s="325" t="s">
        <v>41</v>
      </c>
      <c r="K160" s="323">
        <f t="shared" si="20"/>
        <v>8.3000000000000007</v>
      </c>
      <c r="L160" s="1052">
        <f t="shared" si="20"/>
        <v>7.1750000000000007</v>
      </c>
      <c r="M160" s="1038"/>
      <c r="N160" s="326" t="s">
        <v>401</v>
      </c>
      <c r="O160" s="350" t="s">
        <v>862</v>
      </c>
      <c r="P160" s="328"/>
    </row>
    <row r="161" spans="1:19" ht="20.149999999999999" customHeight="1" x14ac:dyDescent="0.35">
      <c r="A161" s="1051">
        <v>5</v>
      </c>
      <c r="B161" s="1021">
        <v>225</v>
      </c>
      <c r="C161" s="336" t="s">
        <v>403</v>
      </c>
      <c r="D161" s="942">
        <v>0.42</v>
      </c>
      <c r="E161" s="323">
        <f>'[1]road inventory 2018'!C97</f>
        <v>0.4</v>
      </c>
      <c r="F161" s="323">
        <v>0</v>
      </c>
      <c r="G161" s="323">
        <v>0</v>
      </c>
      <c r="H161" s="323">
        <v>0</v>
      </c>
      <c r="I161" s="323">
        <f t="shared" si="21"/>
        <v>0.42</v>
      </c>
      <c r="J161" s="325" t="s">
        <v>12</v>
      </c>
      <c r="K161" s="323">
        <f t="shared" si="20"/>
        <v>0.42</v>
      </c>
      <c r="L161" s="1052">
        <f t="shared" si="20"/>
        <v>0.42</v>
      </c>
      <c r="M161" s="1038"/>
      <c r="N161" s="326" t="s">
        <v>404</v>
      </c>
      <c r="O161" s="350" t="s">
        <v>862</v>
      </c>
      <c r="P161" s="328"/>
    </row>
    <row r="162" spans="1:19" ht="20.149999999999999" customHeight="1" x14ac:dyDescent="0.35">
      <c r="A162" s="1051">
        <v>6</v>
      </c>
      <c r="B162" s="1021">
        <v>226</v>
      </c>
      <c r="C162" s="336" t="s">
        <v>45</v>
      </c>
      <c r="D162" s="942">
        <v>5.016</v>
      </c>
      <c r="E162" s="323">
        <f>'[1]road inventory 2018'!C98</f>
        <v>4.8</v>
      </c>
      <c r="F162" s="323">
        <v>2.802</v>
      </c>
      <c r="G162" s="323">
        <v>0</v>
      </c>
      <c r="H162" s="323">
        <v>0</v>
      </c>
      <c r="I162" s="323">
        <f t="shared" si="21"/>
        <v>2.214</v>
      </c>
      <c r="J162" s="325" t="s">
        <v>12</v>
      </c>
      <c r="K162" s="323">
        <f t="shared" si="20"/>
        <v>5.016</v>
      </c>
      <c r="L162" s="1052">
        <f t="shared" si="20"/>
        <v>2.214</v>
      </c>
      <c r="M162" s="1038"/>
      <c r="N162" s="326" t="s">
        <v>405</v>
      </c>
      <c r="O162" s="350" t="s">
        <v>862</v>
      </c>
      <c r="P162" s="328"/>
    </row>
    <row r="163" spans="1:19" ht="20.149999999999999" customHeight="1" x14ac:dyDescent="0.35">
      <c r="A163" s="1051">
        <v>7</v>
      </c>
      <c r="B163" s="1021">
        <v>116</v>
      </c>
      <c r="C163" s="336" t="s">
        <v>47</v>
      </c>
      <c r="D163" s="942">
        <v>13.17</v>
      </c>
      <c r="E163" s="323">
        <f>'[1]road inventory 2018'!C99</f>
        <v>12.3</v>
      </c>
      <c r="F163" s="323">
        <v>7.9720000000000004</v>
      </c>
      <c r="G163" s="323">
        <v>0</v>
      </c>
      <c r="H163" s="323">
        <v>0</v>
      </c>
      <c r="I163" s="323">
        <f t="shared" si="21"/>
        <v>5.1979999999999995</v>
      </c>
      <c r="J163" s="325" t="s">
        <v>12</v>
      </c>
      <c r="K163" s="323">
        <f t="shared" si="20"/>
        <v>13.17</v>
      </c>
      <c r="L163" s="1052">
        <f t="shared" si="20"/>
        <v>5.1979999999999995</v>
      </c>
      <c r="M163" s="1038"/>
      <c r="N163" s="326" t="s">
        <v>405</v>
      </c>
      <c r="O163" s="350" t="s">
        <v>862</v>
      </c>
      <c r="P163" s="328"/>
    </row>
    <row r="164" spans="1:19" ht="20.149999999999999" customHeight="1" x14ac:dyDescent="0.35">
      <c r="A164" s="1051">
        <v>10</v>
      </c>
      <c r="B164" s="1021">
        <v>100</v>
      </c>
      <c r="C164" s="336" t="s">
        <v>50</v>
      </c>
      <c r="D164" s="942">
        <v>7.8</v>
      </c>
      <c r="E164" s="323">
        <f>'[1]road inventory 2018'!C102</f>
        <v>7.8</v>
      </c>
      <c r="F164" s="323">
        <v>0</v>
      </c>
      <c r="G164" s="323">
        <v>0</v>
      </c>
      <c r="H164" s="323">
        <v>0</v>
      </c>
      <c r="I164" s="323">
        <f t="shared" si="21"/>
        <v>7.8</v>
      </c>
      <c r="J164" s="325" t="s">
        <v>33</v>
      </c>
      <c r="K164" s="323">
        <f>SUM(F164:I164)</f>
        <v>7.8</v>
      </c>
      <c r="L164" s="1052">
        <f>SUM(G164:J164)</f>
        <v>7.8</v>
      </c>
      <c r="M164" s="1038"/>
      <c r="N164" s="326" t="s">
        <v>410</v>
      </c>
      <c r="O164" s="350" t="s">
        <v>862</v>
      </c>
      <c r="P164" s="328"/>
    </row>
    <row r="165" spans="1:19" ht="20.149999999999999" customHeight="1" x14ac:dyDescent="0.35">
      <c r="A165" s="1051">
        <v>9</v>
      </c>
      <c r="B165" s="1021">
        <v>227</v>
      </c>
      <c r="C165" s="336" t="s">
        <v>408</v>
      </c>
      <c r="D165" s="942">
        <v>7.2</v>
      </c>
      <c r="E165" s="323">
        <f>'[1]road inventory 2018'!C101</f>
        <v>7.2</v>
      </c>
      <c r="F165" s="323">
        <v>0</v>
      </c>
      <c r="G165" s="323">
        <v>0</v>
      </c>
      <c r="H165" s="323">
        <v>0</v>
      </c>
      <c r="I165" s="323">
        <f t="shared" si="21"/>
        <v>7.2</v>
      </c>
      <c r="J165" s="325" t="s">
        <v>12</v>
      </c>
      <c r="K165" s="323">
        <f t="shared" si="20"/>
        <v>7.2</v>
      </c>
      <c r="L165" s="1052">
        <f t="shared" si="20"/>
        <v>7.2</v>
      </c>
      <c r="M165" s="1038"/>
      <c r="N165" s="326" t="s">
        <v>409</v>
      </c>
      <c r="O165" s="350" t="s">
        <v>862</v>
      </c>
      <c r="P165" s="328"/>
    </row>
    <row r="166" spans="1:19" ht="20.149999999999999" customHeight="1" x14ac:dyDescent="0.35">
      <c r="A166" s="1051">
        <v>4</v>
      </c>
      <c r="B166" s="1021">
        <v>217</v>
      </c>
      <c r="C166" s="336" t="s">
        <v>243</v>
      </c>
      <c r="D166" s="942">
        <v>1.1000000000000001</v>
      </c>
      <c r="E166" s="323">
        <f>'[1]road inventory 2018'!C96</f>
        <v>1.1000000000000001</v>
      </c>
      <c r="F166" s="323">
        <v>1.1000000000000001</v>
      </c>
      <c r="G166" s="323">
        <v>0</v>
      </c>
      <c r="H166" s="323">
        <v>0</v>
      </c>
      <c r="I166" s="323">
        <v>0</v>
      </c>
      <c r="J166" s="325" t="s">
        <v>10</v>
      </c>
      <c r="K166" s="323">
        <f>SUM(F166:I166)</f>
        <v>1.1000000000000001</v>
      </c>
      <c r="L166" s="1052">
        <f>SUM(G166:J166)</f>
        <v>0</v>
      </c>
      <c r="M166" s="1038"/>
      <c r="N166" s="326" t="s">
        <v>402</v>
      </c>
      <c r="O166" s="350" t="s">
        <v>862</v>
      </c>
      <c r="P166" s="328"/>
    </row>
    <row r="167" spans="1:19" ht="20.149999999999999" customHeight="1" x14ac:dyDescent="0.35">
      <c r="A167" s="1051">
        <v>8</v>
      </c>
      <c r="B167" s="1021">
        <v>46</v>
      </c>
      <c r="C167" s="336" t="s">
        <v>406</v>
      </c>
      <c r="D167" s="942">
        <v>1.31</v>
      </c>
      <c r="E167" s="323">
        <f>'[1]road inventory 2018'!C100</f>
        <v>1.3</v>
      </c>
      <c r="F167" s="323">
        <v>1.31</v>
      </c>
      <c r="G167" s="323">
        <v>0</v>
      </c>
      <c r="H167" s="323">
        <v>0</v>
      </c>
      <c r="I167" s="323">
        <f>D167-F167</f>
        <v>0</v>
      </c>
      <c r="J167" s="325" t="s">
        <v>12</v>
      </c>
      <c r="K167" s="323">
        <f>SUM(F167:I167)</f>
        <v>1.31</v>
      </c>
      <c r="L167" s="1052">
        <f>SUM(G167:J167)</f>
        <v>0</v>
      </c>
      <c r="M167" s="1038"/>
      <c r="N167" s="326" t="s">
        <v>407</v>
      </c>
      <c r="O167" s="350" t="s">
        <v>862</v>
      </c>
      <c r="P167" s="328"/>
    </row>
    <row r="168" spans="1:19" s="317" customFormat="1" ht="20.149999999999999" customHeight="1" x14ac:dyDescent="0.35">
      <c r="A168" s="1062"/>
      <c r="B168" s="977"/>
      <c r="C168" s="978" t="s">
        <v>341</v>
      </c>
      <c r="D168" s="979">
        <f>SUM(D158:E167)</f>
        <v>109.72199999999998</v>
      </c>
      <c r="E168" s="980">
        <f>SUM(E158:E165)</f>
        <v>51.7</v>
      </c>
      <c r="F168" s="979">
        <f>SUM(F158:G167)</f>
        <v>17.399000000000001</v>
      </c>
      <c r="G168" s="979">
        <f>SUM(G158:H167)</f>
        <v>0</v>
      </c>
      <c r="H168" s="979">
        <f>SUM(H158:I167)</f>
        <v>38.223000000000006</v>
      </c>
      <c r="I168" s="979">
        <f>SUM(I158:J167)</f>
        <v>38.223000000000006</v>
      </c>
      <c r="J168" s="981"/>
      <c r="K168" s="979">
        <f>SUM(K158:L167)</f>
        <v>93.844999999999999</v>
      </c>
      <c r="L168" s="1060">
        <f>SUM(L158:M167)</f>
        <v>38.223000000000006</v>
      </c>
      <c r="M168" s="1048"/>
      <c r="N168" s="372"/>
      <c r="O168" s="453"/>
      <c r="P168" s="377"/>
      <c r="Q168" s="320"/>
    </row>
    <row r="169" spans="1:19" ht="15" customHeight="1" x14ac:dyDescent="0.35">
      <c r="A169" s="1051"/>
      <c r="B169" s="321"/>
      <c r="C169" s="330"/>
      <c r="D169" s="330"/>
      <c r="E169" s="323"/>
      <c r="F169" s="323"/>
      <c r="G169" s="323"/>
      <c r="H169" s="323"/>
      <c r="I169" s="323"/>
      <c r="J169" s="325"/>
      <c r="K169" s="323"/>
      <c r="L169" s="1052"/>
      <c r="M169" s="1038"/>
      <c r="N169" s="323"/>
      <c r="O169" s="326"/>
      <c r="P169" s="363"/>
      <c r="Q169" s="328"/>
      <c r="R169" s="331"/>
    </row>
    <row r="170" spans="1:19" s="1103" customFormat="1" ht="56.5" customHeight="1" x14ac:dyDescent="0.35">
      <c r="A170" s="1101"/>
      <c r="B170" s="1115" t="s">
        <v>909</v>
      </c>
      <c r="C170" s="1115"/>
      <c r="D170" s="1101" t="s">
        <v>912</v>
      </c>
      <c r="E170" s="1101"/>
      <c r="F170" s="1101" t="s">
        <v>917</v>
      </c>
      <c r="G170" s="1101" t="s">
        <v>918</v>
      </c>
      <c r="H170" s="1116" t="s">
        <v>911</v>
      </c>
      <c r="I170" s="1116"/>
      <c r="J170" s="1102"/>
      <c r="K170" s="1102"/>
      <c r="L170" s="1102"/>
      <c r="M170" s="1102"/>
      <c r="N170" s="1102"/>
      <c r="O170" s="1102"/>
      <c r="P170" s="1102"/>
      <c r="Q170" s="1102"/>
      <c r="R170" s="1102"/>
      <c r="S170" s="1102"/>
    </row>
    <row r="171" spans="1:19" s="1103" customFormat="1" ht="20.25" customHeight="1" x14ac:dyDescent="0.35">
      <c r="A171" s="1101">
        <v>1</v>
      </c>
      <c r="B171" s="1117" t="s">
        <v>910</v>
      </c>
      <c r="C171" s="1118"/>
      <c r="D171" s="339">
        <f>L168</f>
        <v>38.223000000000006</v>
      </c>
      <c r="E171" s="326"/>
      <c r="F171" s="942">
        <v>0.1</v>
      </c>
      <c r="G171" s="1113">
        <v>7</v>
      </c>
      <c r="H171" s="359">
        <f>D171*F171*1000*G171</f>
        <v>26756.100000000006</v>
      </c>
      <c r="I171" s="1114" t="s">
        <v>913</v>
      </c>
      <c r="J171" s="1102"/>
      <c r="K171" s="1102"/>
      <c r="L171" s="1102" t="s">
        <v>863</v>
      </c>
      <c r="M171" s="1102">
        <f>H171</f>
        <v>26756.100000000006</v>
      </c>
      <c r="N171" s="1102"/>
      <c r="O171" s="1102"/>
      <c r="P171" s="1102"/>
      <c r="Q171" s="1102"/>
      <c r="R171" s="1102"/>
      <c r="S171" s="1102"/>
    </row>
    <row r="172" spans="1:19" ht="15" customHeight="1" thickBot="1" x14ac:dyDescent="0.4">
      <c r="A172" s="1053"/>
      <c r="B172" s="1054"/>
      <c r="C172" s="1055"/>
      <c r="D172" s="1055"/>
      <c r="E172" s="1056"/>
      <c r="F172" s="1056"/>
      <c r="G172" s="1056"/>
      <c r="H172" s="1056"/>
      <c r="I172" s="1056"/>
      <c r="J172" s="1057"/>
      <c r="K172" s="1056"/>
      <c r="L172" s="1058"/>
      <c r="M172" s="1038"/>
      <c r="N172" s="323"/>
      <c r="O172" s="326"/>
      <c r="P172" s="363"/>
      <c r="Q172" s="328"/>
      <c r="R172" s="331"/>
    </row>
    <row r="173" spans="1:19" ht="20.149999999999999" customHeight="1" x14ac:dyDescent="0.35">
      <c r="B173" s="321"/>
      <c r="C173" s="330"/>
      <c r="D173" s="330"/>
      <c r="E173" s="323"/>
      <c r="F173" s="323"/>
      <c r="G173" s="323"/>
      <c r="H173" s="323"/>
      <c r="I173" s="323"/>
      <c r="J173" s="325"/>
      <c r="K173" s="323"/>
      <c r="L173" s="323"/>
      <c r="M173" s="323">
        <f>SUM(M40:M171)</f>
        <v>195111.7</v>
      </c>
      <c r="N173" s="326"/>
      <c r="O173" s="363"/>
      <c r="P173" s="328"/>
      <c r="Q173" s="331"/>
    </row>
    <row r="175" spans="1:19" ht="36" x14ac:dyDescent="0.35">
      <c r="C175" s="327" t="s">
        <v>914</v>
      </c>
      <c r="D175" s="328">
        <f>M173</f>
        <v>195111.7</v>
      </c>
      <c r="F175" s="329" t="s">
        <v>915</v>
      </c>
    </row>
    <row r="176" spans="1:19" x14ac:dyDescent="0.35">
      <c r="D176" s="1111"/>
      <c r="F176" s="1112"/>
    </row>
  </sheetData>
  <mergeCells count="39">
    <mergeCell ref="B1:J1"/>
    <mergeCell ref="A2:I2"/>
    <mergeCell ref="K11:K12"/>
    <mergeCell ref="L11:L12"/>
    <mergeCell ref="N11:N12"/>
    <mergeCell ref="A11:A12"/>
    <mergeCell ref="B11:B12"/>
    <mergeCell ref="C11:C12"/>
    <mergeCell ref="D11:D12"/>
    <mergeCell ref="E11:E12"/>
    <mergeCell ref="F11:I11"/>
    <mergeCell ref="J11:J12"/>
    <mergeCell ref="A3:I3"/>
    <mergeCell ref="A9:I9"/>
    <mergeCell ref="A8:I8"/>
    <mergeCell ref="A7:I7"/>
    <mergeCell ref="A5:I5"/>
    <mergeCell ref="A4:I4"/>
    <mergeCell ref="B62:C62"/>
    <mergeCell ref="H99:I99"/>
    <mergeCell ref="B134:C134"/>
    <mergeCell ref="H134:I134"/>
    <mergeCell ref="B99:C99"/>
    <mergeCell ref="B100:C100"/>
    <mergeCell ref="B40:C40"/>
    <mergeCell ref="H40:I40"/>
    <mergeCell ref="B61:C61"/>
    <mergeCell ref="H61:I61"/>
    <mergeCell ref="B41:C41"/>
    <mergeCell ref="B170:C170"/>
    <mergeCell ref="H170:I170"/>
    <mergeCell ref="B171:C171"/>
    <mergeCell ref="B135:C135"/>
    <mergeCell ref="B154:C154"/>
    <mergeCell ref="H154:I154"/>
    <mergeCell ref="B155:C155"/>
    <mergeCell ref="B147:C147"/>
    <mergeCell ref="H147:I147"/>
    <mergeCell ref="B148:C148"/>
  </mergeCells>
  <printOptions horizontalCentered="1"/>
  <pageMargins left="0.23622047244094491" right="0.23622047244094491" top="0.74803149606299213" bottom="0.47244094488188981" header="0.31496062992125984" footer="0.31496062992125984"/>
  <pageSetup paperSize="9" scale="59" fitToHeight="0" orientation="portrait" useFirstPageNumber="1" horizontalDpi="300" verticalDpi="300" r:id="rId1"/>
  <headerFooter scaleWithDoc="0" alignWithMargins="0">
    <oddFooter>&amp;RPage &amp;P of &amp;N</oddFooter>
    <firstFooter>&amp;R&amp;P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">
    <tabColor rgb="FFC00000"/>
    <pageSetUpPr fitToPage="1"/>
  </sheetPr>
  <dimension ref="A1:W343"/>
  <sheetViews>
    <sheetView tabSelected="1" view="pageBreakPreview" zoomScale="70" zoomScaleNormal="70" zoomScaleSheetLayoutView="70" zoomScalePageLayoutView="25" workbookViewId="0">
      <selection activeCell="B328" sqref="B328:I345"/>
    </sheetView>
  </sheetViews>
  <sheetFormatPr defaultRowHeight="18" x14ac:dyDescent="0.35"/>
  <cols>
    <col min="1" max="1" width="8.81640625" style="329"/>
    <col min="2" max="2" width="20.7265625" style="354" customWidth="1"/>
    <col min="3" max="3" width="56.1796875" style="327" customWidth="1"/>
    <col min="4" max="4" width="17.7265625" style="327" customWidth="1"/>
    <col min="5" max="5" width="12.81640625" style="329" hidden="1" customWidth="1"/>
    <col min="6" max="6" width="14.81640625" style="116" customWidth="1"/>
    <col min="7" max="7" width="12" style="329" customWidth="1"/>
    <col min="8" max="8" width="10.81640625" style="329" customWidth="1"/>
    <col min="9" max="9" width="12.54296875" style="329" customWidth="1"/>
    <col min="10" max="10" width="14.453125" style="329" customWidth="1"/>
    <col min="11" max="12" width="12.81640625" style="329" customWidth="1"/>
    <col min="13" max="13" width="26.81640625" style="329" customWidth="1"/>
    <col min="14" max="14" width="23.7265625" style="327" customWidth="1"/>
    <col min="15" max="15" width="24.453125" style="452" customWidth="1"/>
    <col min="16" max="16" width="22.54296875" style="327" customWidth="1"/>
    <col min="17" max="17" width="20" style="329" customWidth="1"/>
    <col min="18" max="18" width="15.54296875" style="329" customWidth="1"/>
    <col min="19" max="19" width="16.26953125" style="329" customWidth="1"/>
    <col min="20" max="20" width="9.1796875" style="329" customWidth="1"/>
    <col min="21" max="21" width="9.7265625" style="329" customWidth="1"/>
    <col min="22" max="23" width="9.1796875" style="329" customWidth="1"/>
    <col min="24" max="259" width="8.81640625" style="329"/>
    <col min="260" max="260" width="13.26953125" style="329" customWidth="1"/>
    <col min="261" max="261" width="27.453125" style="329" customWidth="1"/>
    <col min="262" max="263" width="9.54296875" style="329" customWidth="1"/>
    <col min="264" max="264" width="9.7265625" style="329" customWidth="1"/>
    <col min="265" max="265" width="9.54296875" style="329" customWidth="1"/>
    <col min="266" max="266" width="12.54296875" style="329" customWidth="1"/>
    <col min="267" max="267" width="10" style="329" customWidth="1"/>
    <col min="268" max="268" width="9.7265625" style="329" customWidth="1"/>
    <col min="269" max="271" width="9.1796875" style="329" customWidth="1"/>
    <col min="272" max="515" width="8.81640625" style="329"/>
    <col min="516" max="516" width="13.26953125" style="329" customWidth="1"/>
    <col min="517" max="517" width="27.453125" style="329" customWidth="1"/>
    <col min="518" max="519" width="9.54296875" style="329" customWidth="1"/>
    <col min="520" max="520" width="9.7265625" style="329" customWidth="1"/>
    <col min="521" max="521" width="9.54296875" style="329" customWidth="1"/>
    <col min="522" max="522" width="12.54296875" style="329" customWidth="1"/>
    <col min="523" max="523" width="10" style="329" customWidth="1"/>
    <col min="524" max="524" width="9.7265625" style="329" customWidth="1"/>
    <col min="525" max="527" width="9.1796875" style="329" customWidth="1"/>
    <col min="528" max="771" width="8.81640625" style="329"/>
    <col min="772" max="772" width="13.26953125" style="329" customWidth="1"/>
    <col min="773" max="773" width="27.453125" style="329" customWidth="1"/>
    <col min="774" max="775" width="9.54296875" style="329" customWidth="1"/>
    <col min="776" max="776" width="9.7265625" style="329" customWidth="1"/>
    <col min="777" max="777" width="9.54296875" style="329" customWidth="1"/>
    <col min="778" max="778" width="12.54296875" style="329" customWidth="1"/>
    <col min="779" max="779" width="10" style="329" customWidth="1"/>
    <col min="780" max="780" width="9.7265625" style="329" customWidth="1"/>
    <col min="781" max="783" width="9.1796875" style="329" customWidth="1"/>
    <col min="784" max="1027" width="8.81640625" style="329"/>
    <col min="1028" max="1028" width="13.26953125" style="329" customWidth="1"/>
    <col min="1029" max="1029" width="27.453125" style="329" customWidth="1"/>
    <col min="1030" max="1031" width="9.54296875" style="329" customWidth="1"/>
    <col min="1032" max="1032" width="9.7265625" style="329" customWidth="1"/>
    <col min="1033" max="1033" width="9.54296875" style="329" customWidth="1"/>
    <col min="1034" max="1034" width="12.54296875" style="329" customWidth="1"/>
    <col min="1035" max="1035" width="10" style="329" customWidth="1"/>
    <col min="1036" max="1036" width="9.7265625" style="329" customWidth="1"/>
    <col min="1037" max="1039" width="9.1796875" style="329" customWidth="1"/>
    <col min="1040" max="1283" width="8.81640625" style="329"/>
    <col min="1284" max="1284" width="13.26953125" style="329" customWidth="1"/>
    <col min="1285" max="1285" width="27.453125" style="329" customWidth="1"/>
    <col min="1286" max="1287" width="9.54296875" style="329" customWidth="1"/>
    <col min="1288" max="1288" width="9.7265625" style="329" customWidth="1"/>
    <col min="1289" max="1289" width="9.54296875" style="329" customWidth="1"/>
    <col min="1290" max="1290" width="12.54296875" style="329" customWidth="1"/>
    <col min="1291" max="1291" width="10" style="329" customWidth="1"/>
    <col min="1292" max="1292" width="9.7265625" style="329" customWidth="1"/>
    <col min="1293" max="1295" width="9.1796875" style="329" customWidth="1"/>
    <col min="1296" max="1539" width="8.81640625" style="329"/>
    <col min="1540" max="1540" width="13.26953125" style="329" customWidth="1"/>
    <col min="1541" max="1541" width="27.453125" style="329" customWidth="1"/>
    <col min="1542" max="1543" width="9.54296875" style="329" customWidth="1"/>
    <col min="1544" max="1544" width="9.7265625" style="329" customWidth="1"/>
    <col min="1545" max="1545" width="9.54296875" style="329" customWidth="1"/>
    <col min="1546" max="1546" width="12.54296875" style="329" customWidth="1"/>
    <col min="1547" max="1547" width="10" style="329" customWidth="1"/>
    <col min="1548" max="1548" width="9.7265625" style="329" customWidth="1"/>
    <col min="1549" max="1551" width="9.1796875" style="329" customWidth="1"/>
    <col min="1552" max="1795" width="8.81640625" style="329"/>
    <col min="1796" max="1796" width="13.26953125" style="329" customWidth="1"/>
    <col min="1797" max="1797" width="27.453125" style="329" customWidth="1"/>
    <col min="1798" max="1799" width="9.54296875" style="329" customWidth="1"/>
    <col min="1800" max="1800" width="9.7265625" style="329" customWidth="1"/>
    <col min="1801" max="1801" width="9.54296875" style="329" customWidth="1"/>
    <col min="1802" max="1802" width="12.54296875" style="329" customWidth="1"/>
    <col min="1803" max="1803" width="10" style="329" customWidth="1"/>
    <col min="1804" max="1804" width="9.7265625" style="329" customWidth="1"/>
    <col min="1805" max="1807" width="9.1796875" style="329" customWidth="1"/>
    <col min="1808" max="2051" width="8.81640625" style="329"/>
    <col min="2052" max="2052" width="13.26953125" style="329" customWidth="1"/>
    <col min="2053" max="2053" width="27.453125" style="329" customWidth="1"/>
    <col min="2054" max="2055" width="9.54296875" style="329" customWidth="1"/>
    <col min="2056" max="2056" width="9.7265625" style="329" customWidth="1"/>
    <col min="2057" max="2057" width="9.54296875" style="329" customWidth="1"/>
    <col min="2058" max="2058" width="12.54296875" style="329" customWidth="1"/>
    <col min="2059" max="2059" width="10" style="329" customWidth="1"/>
    <col min="2060" max="2060" width="9.7265625" style="329" customWidth="1"/>
    <col min="2061" max="2063" width="9.1796875" style="329" customWidth="1"/>
    <col min="2064" max="2307" width="8.81640625" style="329"/>
    <col min="2308" max="2308" width="13.26953125" style="329" customWidth="1"/>
    <col min="2309" max="2309" width="27.453125" style="329" customWidth="1"/>
    <col min="2310" max="2311" width="9.54296875" style="329" customWidth="1"/>
    <col min="2312" max="2312" width="9.7265625" style="329" customWidth="1"/>
    <col min="2313" max="2313" width="9.54296875" style="329" customWidth="1"/>
    <col min="2314" max="2314" width="12.54296875" style="329" customWidth="1"/>
    <col min="2315" max="2315" width="10" style="329" customWidth="1"/>
    <col min="2316" max="2316" width="9.7265625" style="329" customWidth="1"/>
    <col min="2317" max="2319" width="9.1796875" style="329" customWidth="1"/>
    <col min="2320" max="2563" width="8.81640625" style="329"/>
    <col min="2564" max="2564" width="13.26953125" style="329" customWidth="1"/>
    <col min="2565" max="2565" width="27.453125" style="329" customWidth="1"/>
    <col min="2566" max="2567" width="9.54296875" style="329" customWidth="1"/>
    <col min="2568" max="2568" width="9.7265625" style="329" customWidth="1"/>
    <col min="2569" max="2569" width="9.54296875" style="329" customWidth="1"/>
    <col min="2570" max="2570" width="12.54296875" style="329" customWidth="1"/>
    <col min="2571" max="2571" width="10" style="329" customWidth="1"/>
    <col min="2572" max="2572" width="9.7265625" style="329" customWidth="1"/>
    <col min="2573" max="2575" width="9.1796875" style="329" customWidth="1"/>
    <col min="2576" max="2819" width="8.81640625" style="329"/>
    <col min="2820" max="2820" width="13.26953125" style="329" customWidth="1"/>
    <col min="2821" max="2821" width="27.453125" style="329" customWidth="1"/>
    <col min="2822" max="2823" width="9.54296875" style="329" customWidth="1"/>
    <col min="2824" max="2824" width="9.7265625" style="329" customWidth="1"/>
    <col min="2825" max="2825" width="9.54296875" style="329" customWidth="1"/>
    <col min="2826" max="2826" width="12.54296875" style="329" customWidth="1"/>
    <col min="2827" max="2827" width="10" style="329" customWidth="1"/>
    <col min="2828" max="2828" width="9.7265625" style="329" customWidth="1"/>
    <col min="2829" max="2831" width="9.1796875" style="329" customWidth="1"/>
    <col min="2832" max="3075" width="8.81640625" style="329"/>
    <col min="3076" max="3076" width="13.26953125" style="329" customWidth="1"/>
    <col min="3077" max="3077" width="27.453125" style="329" customWidth="1"/>
    <col min="3078" max="3079" width="9.54296875" style="329" customWidth="1"/>
    <col min="3080" max="3080" width="9.7265625" style="329" customWidth="1"/>
    <col min="3081" max="3081" width="9.54296875" style="329" customWidth="1"/>
    <col min="3082" max="3082" width="12.54296875" style="329" customWidth="1"/>
    <col min="3083" max="3083" width="10" style="329" customWidth="1"/>
    <col min="3084" max="3084" width="9.7265625" style="329" customWidth="1"/>
    <col min="3085" max="3087" width="9.1796875" style="329" customWidth="1"/>
    <col min="3088" max="3331" width="8.81640625" style="329"/>
    <col min="3332" max="3332" width="13.26953125" style="329" customWidth="1"/>
    <col min="3333" max="3333" width="27.453125" style="329" customWidth="1"/>
    <col min="3334" max="3335" width="9.54296875" style="329" customWidth="1"/>
    <col min="3336" max="3336" width="9.7265625" style="329" customWidth="1"/>
    <col min="3337" max="3337" width="9.54296875" style="329" customWidth="1"/>
    <col min="3338" max="3338" width="12.54296875" style="329" customWidth="1"/>
    <col min="3339" max="3339" width="10" style="329" customWidth="1"/>
    <col min="3340" max="3340" width="9.7265625" style="329" customWidth="1"/>
    <col min="3341" max="3343" width="9.1796875" style="329" customWidth="1"/>
    <col min="3344" max="3587" width="8.81640625" style="329"/>
    <col min="3588" max="3588" width="13.26953125" style="329" customWidth="1"/>
    <col min="3589" max="3589" width="27.453125" style="329" customWidth="1"/>
    <col min="3590" max="3591" width="9.54296875" style="329" customWidth="1"/>
    <col min="3592" max="3592" width="9.7265625" style="329" customWidth="1"/>
    <col min="3593" max="3593" width="9.54296875" style="329" customWidth="1"/>
    <col min="3594" max="3594" width="12.54296875" style="329" customWidth="1"/>
    <col min="3595" max="3595" width="10" style="329" customWidth="1"/>
    <col min="3596" max="3596" width="9.7265625" style="329" customWidth="1"/>
    <col min="3597" max="3599" width="9.1796875" style="329" customWidth="1"/>
    <col min="3600" max="3843" width="8.81640625" style="329"/>
    <col min="3844" max="3844" width="13.26953125" style="329" customWidth="1"/>
    <col min="3845" max="3845" width="27.453125" style="329" customWidth="1"/>
    <col min="3846" max="3847" width="9.54296875" style="329" customWidth="1"/>
    <col min="3848" max="3848" width="9.7265625" style="329" customWidth="1"/>
    <col min="3849" max="3849" width="9.54296875" style="329" customWidth="1"/>
    <col min="3850" max="3850" width="12.54296875" style="329" customWidth="1"/>
    <col min="3851" max="3851" width="10" style="329" customWidth="1"/>
    <col min="3852" max="3852" width="9.7265625" style="329" customWidth="1"/>
    <col min="3853" max="3855" width="9.1796875" style="329" customWidth="1"/>
    <col min="3856" max="4099" width="8.81640625" style="329"/>
    <col min="4100" max="4100" width="13.26953125" style="329" customWidth="1"/>
    <col min="4101" max="4101" width="27.453125" style="329" customWidth="1"/>
    <col min="4102" max="4103" width="9.54296875" style="329" customWidth="1"/>
    <col min="4104" max="4104" width="9.7265625" style="329" customWidth="1"/>
    <col min="4105" max="4105" width="9.54296875" style="329" customWidth="1"/>
    <col min="4106" max="4106" width="12.54296875" style="329" customWidth="1"/>
    <col min="4107" max="4107" width="10" style="329" customWidth="1"/>
    <col min="4108" max="4108" width="9.7265625" style="329" customWidth="1"/>
    <col min="4109" max="4111" width="9.1796875" style="329" customWidth="1"/>
    <col min="4112" max="4355" width="8.81640625" style="329"/>
    <col min="4356" max="4356" width="13.26953125" style="329" customWidth="1"/>
    <col min="4357" max="4357" width="27.453125" style="329" customWidth="1"/>
    <col min="4358" max="4359" width="9.54296875" style="329" customWidth="1"/>
    <col min="4360" max="4360" width="9.7265625" style="329" customWidth="1"/>
    <col min="4361" max="4361" width="9.54296875" style="329" customWidth="1"/>
    <col min="4362" max="4362" width="12.54296875" style="329" customWidth="1"/>
    <col min="4363" max="4363" width="10" style="329" customWidth="1"/>
    <col min="4364" max="4364" width="9.7265625" style="329" customWidth="1"/>
    <col min="4365" max="4367" width="9.1796875" style="329" customWidth="1"/>
    <col min="4368" max="4611" width="8.81640625" style="329"/>
    <col min="4612" max="4612" width="13.26953125" style="329" customWidth="1"/>
    <col min="4613" max="4613" width="27.453125" style="329" customWidth="1"/>
    <col min="4614" max="4615" width="9.54296875" style="329" customWidth="1"/>
    <col min="4616" max="4616" width="9.7265625" style="329" customWidth="1"/>
    <col min="4617" max="4617" width="9.54296875" style="329" customWidth="1"/>
    <col min="4618" max="4618" width="12.54296875" style="329" customWidth="1"/>
    <col min="4619" max="4619" width="10" style="329" customWidth="1"/>
    <col min="4620" max="4620" width="9.7265625" style="329" customWidth="1"/>
    <col min="4621" max="4623" width="9.1796875" style="329" customWidth="1"/>
    <col min="4624" max="4867" width="8.81640625" style="329"/>
    <col min="4868" max="4868" width="13.26953125" style="329" customWidth="1"/>
    <col min="4869" max="4869" width="27.453125" style="329" customWidth="1"/>
    <col min="4870" max="4871" width="9.54296875" style="329" customWidth="1"/>
    <col min="4872" max="4872" width="9.7265625" style="329" customWidth="1"/>
    <col min="4873" max="4873" width="9.54296875" style="329" customWidth="1"/>
    <col min="4874" max="4874" width="12.54296875" style="329" customWidth="1"/>
    <col min="4875" max="4875" width="10" style="329" customWidth="1"/>
    <col min="4876" max="4876" width="9.7265625" style="329" customWidth="1"/>
    <col min="4877" max="4879" width="9.1796875" style="329" customWidth="1"/>
    <col min="4880" max="5123" width="8.81640625" style="329"/>
    <col min="5124" max="5124" width="13.26953125" style="329" customWidth="1"/>
    <col min="5125" max="5125" width="27.453125" style="329" customWidth="1"/>
    <col min="5126" max="5127" width="9.54296875" style="329" customWidth="1"/>
    <col min="5128" max="5128" width="9.7265625" style="329" customWidth="1"/>
    <col min="5129" max="5129" width="9.54296875" style="329" customWidth="1"/>
    <col min="5130" max="5130" width="12.54296875" style="329" customWidth="1"/>
    <col min="5131" max="5131" width="10" style="329" customWidth="1"/>
    <col min="5132" max="5132" width="9.7265625" style="329" customWidth="1"/>
    <col min="5133" max="5135" width="9.1796875" style="329" customWidth="1"/>
    <col min="5136" max="5379" width="8.81640625" style="329"/>
    <col min="5380" max="5380" width="13.26953125" style="329" customWidth="1"/>
    <col min="5381" max="5381" width="27.453125" style="329" customWidth="1"/>
    <col min="5382" max="5383" width="9.54296875" style="329" customWidth="1"/>
    <col min="5384" max="5384" width="9.7265625" style="329" customWidth="1"/>
    <col min="5385" max="5385" width="9.54296875" style="329" customWidth="1"/>
    <col min="5386" max="5386" width="12.54296875" style="329" customWidth="1"/>
    <col min="5387" max="5387" width="10" style="329" customWidth="1"/>
    <col min="5388" max="5388" width="9.7265625" style="329" customWidth="1"/>
    <col min="5389" max="5391" width="9.1796875" style="329" customWidth="1"/>
    <col min="5392" max="5635" width="8.81640625" style="329"/>
    <col min="5636" max="5636" width="13.26953125" style="329" customWidth="1"/>
    <col min="5637" max="5637" width="27.453125" style="329" customWidth="1"/>
    <col min="5638" max="5639" width="9.54296875" style="329" customWidth="1"/>
    <col min="5640" max="5640" width="9.7265625" style="329" customWidth="1"/>
    <col min="5641" max="5641" width="9.54296875" style="329" customWidth="1"/>
    <col min="5642" max="5642" width="12.54296875" style="329" customWidth="1"/>
    <col min="5643" max="5643" width="10" style="329" customWidth="1"/>
    <col min="5644" max="5644" width="9.7265625" style="329" customWidth="1"/>
    <col min="5645" max="5647" width="9.1796875" style="329" customWidth="1"/>
    <col min="5648" max="5891" width="8.81640625" style="329"/>
    <col min="5892" max="5892" width="13.26953125" style="329" customWidth="1"/>
    <col min="5893" max="5893" width="27.453125" style="329" customWidth="1"/>
    <col min="5894" max="5895" width="9.54296875" style="329" customWidth="1"/>
    <col min="5896" max="5896" width="9.7265625" style="329" customWidth="1"/>
    <col min="5897" max="5897" width="9.54296875" style="329" customWidth="1"/>
    <col min="5898" max="5898" width="12.54296875" style="329" customWidth="1"/>
    <col min="5899" max="5899" width="10" style="329" customWidth="1"/>
    <col min="5900" max="5900" width="9.7265625" style="329" customWidth="1"/>
    <col min="5901" max="5903" width="9.1796875" style="329" customWidth="1"/>
    <col min="5904" max="6147" width="8.81640625" style="329"/>
    <col min="6148" max="6148" width="13.26953125" style="329" customWidth="1"/>
    <col min="6149" max="6149" width="27.453125" style="329" customWidth="1"/>
    <col min="6150" max="6151" width="9.54296875" style="329" customWidth="1"/>
    <col min="6152" max="6152" width="9.7265625" style="329" customWidth="1"/>
    <col min="6153" max="6153" width="9.54296875" style="329" customWidth="1"/>
    <col min="6154" max="6154" width="12.54296875" style="329" customWidth="1"/>
    <col min="6155" max="6155" width="10" style="329" customWidth="1"/>
    <col min="6156" max="6156" width="9.7265625" style="329" customWidth="1"/>
    <col min="6157" max="6159" width="9.1796875" style="329" customWidth="1"/>
    <col min="6160" max="6403" width="8.81640625" style="329"/>
    <col min="6404" max="6404" width="13.26953125" style="329" customWidth="1"/>
    <col min="6405" max="6405" width="27.453125" style="329" customWidth="1"/>
    <col min="6406" max="6407" width="9.54296875" style="329" customWidth="1"/>
    <col min="6408" max="6408" width="9.7265625" style="329" customWidth="1"/>
    <col min="6409" max="6409" width="9.54296875" style="329" customWidth="1"/>
    <col min="6410" max="6410" width="12.54296875" style="329" customWidth="1"/>
    <col min="6411" max="6411" width="10" style="329" customWidth="1"/>
    <col min="6412" max="6412" width="9.7265625" style="329" customWidth="1"/>
    <col min="6413" max="6415" width="9.1796875" style="329" customWidth="1"/>
    <col min="6416" max="6659" width="8.81640625" style="329"/>
    <col min="6660" max="6660" width="13.26953125" style="329" customWidth="1"/>
    <col min="6661" max="6661" width="27.453125" style="329" customWidth="1"/>
    <col min="6662" max="6663" width="9.54296875" style="329" customWidth="1"/>
    <col min="6664" max="6664" width="9.7265625" style="329" customWidth="1"/>
    <col min="6665" max="6665" width="9.54296875" style="329" customWidth="1"/>
    <col min="6666" max="6666" width="12.54296875" style="329" customWidth="1"/>
    <col min="6667" max="6667" width="10" style="329" customWidth="1"/>
    <col min="6668" max="6668" width="9.7265625" style="329" customWidth="1"/>
    <col min="6669" max="6671" width="9.1796875" style="329" customWidth="1"/>
    <col min="6672" max="6915" width="8.81640625" style="329"/>
    <col min="6916" max="6916" width="13.26953125" style="329" customWidth="1"/>
    <col min="6917" max="6917" width="27.453125" style="329" customWidth="1"/>
    <col min="6918" max="6919" width="9.54296875" style="329" customWidth="1"/>
    <col min="6920" max="6920" width="9.7265625" style="329" customWidth="1"/>
    <col min="6921" max="6921" width="9.54296875" style="329" customWidth="1"/>
    <col min="6922" max="6922" width="12.54296875" style="329" customWidth="1"/>
    <col min="6923" max="6923" width="10" style="329" customWidth="1"/>
    <col min="6924" max="6924" width="9.7265625" style="329" customWidth="1"/>
    <col min="6925" max="6927" width="9.1796875" style="329" customWidth="1"/>
    <col min="6928" max="7171" width="8.81640625" style="329"/>
    <col min="7172" max="7172" width="13.26953125" style="329" customWidth="1"/>
    <col min="7173" max="7173" width="27.453125" style="329" customWidth="1"/>
    <col min="7174" max="7175" width="9.54296875" style="329" customWidth="1"/>
    <col min="7176" max="7176" width="9.7265625" style="329" customWidth="1"/>
    <col min="7177" max="7177" width="9.54296875" style="329" customWidth="1"/>
    <col min="7178" max="7178" width="12.54296875" style="329" customWidth="1"/>
    <col min="7179" max="7179" width="10" style="329" customWidth="1"/>
    <col min="7180" max="7180" width="9.7265625" style="329" customWidth="1"/>
    <col min="7181" max="7183" width="9.1796875" style="329" customWidth="1"/>
    <col min="7184" max="7427" width="8.81640625" style="329"/>
    <col min="7428" max="7428" width="13.26953125" style="329" customWidth="1"/>
    <col min="7429" max="7429" width="27.453125" style="329" customWidth="1"/>
    <col min="7430" max="7431" width="9.54296875" style="329" customWidth="1"/>
    <col min="7432" max="7432" width="9.7265625" style="329" customWidth="1"/>
    <col min="7433" max="7433" width="9.54296875" style="329" customWidth="1"/>
    <col min="7434" max="7434" width="12.54296875" style="329" customWidth="1"/>
    <col min="7435" max="7435" width="10" style="329" customWidth="1"/>
    <col min="7436" max="7436" width="9.7265625" style="329" customWidth="1"/>
    <col min="7437" max="7439" width="9.1796875" style="329" customWidth="1"/>
    <col min="7440" max="7683" width="8.81640625" style="329"/>
    <col min="7684" max="7684" width="13.26953125" style="329" customWidth="1"/>
    <col min="7685" max="7685" width="27.453125" style="329" customWidth="1"/>
    <col min="7686" max="7687" width="9.54296875" style="329" customWidth="1"/>
    <col min="7688" max="7688" width="9.7265625" style="329" customWidth="1"/>
    <col min="7689" max="7689" width="9.54296875" style="329" customWidth="1"/>
    <col min="7690" max="7690" width="12.54296875" style="329" customWidth="1"/>
    <col min="7691" max="7691" width="10" style="329" customWidth="1"/>
    <col min="7692" max="7692" width="9.7265625" style="329" customWidth="1"/>
    <col min="7693" max="7695" width="9.1796875" style="329" customWidth="1"/>
    <col min="7696" max="7939" width="8.81640625" style="329"/>
    <col min="7940" max="7940" width="13.26953125" style="329" customWidth="1"/>
    <col min="7941" max="7941" width="27.453125" style="329" customWidth="1"/>
    <col min="7942" max="7943" width="9.54296875" style="329" customWidth="1"/>
    <col min="7944" max="7944" width="9.7265625" style="329" customWidth="1"/>
    <col min="7945" max="7945" width="9.54296875" style="329" customWidth="1"/>
    <col min="7946" max="7946" width="12.54296875" style="329" customWidth="1"/>
    <col min="7947" max="7947" width="10" style="329" customWidth="1"/>
    <col min="7948" max="7948" width="9.7265625" style="329" customWidth="1"/>
    <col min="7949" max="7951" width="9.1796875" style="329" customWidth="1"/>
    <col min="7952" max="8195" width="8.81640625" style="329"/>
    <col min="8196" max="8196" width="13.26953125" style="329" customWidth="1"/>
    <col min="8197" max="8197" width="27.453125" style="329" customWidth="1"/>
    <col min="8198" max="8199" width="9.54296875" style="329" customWidth="1"/>
    <col min="8200" max="8200" width="9.7265625" style="329" customWidth="1"/>
    <col min="8201" max="8201" width="9.54296875" style="329" customWidth="1"/>
    <col min="8202" max="8202" width="12.54296875" style="329" customWidth="1"/>
    <col min="8203" max="8203" width="10" style="329" customWidth="1"/>
    <col min="8204" max="8204" width="9.7265625" style="329" customWidth="1"/>
    <col min="8205" max="8207" width="9.1796875" style="329" customWidth="1"/>
    <col min="8208" max="8451" width="8.81640625" style="329"/>
    <col min="8452" max="8452" width="13.26953125" style="329" customWidth="1"/>
    <col min="8453" max="8453" width="27.453125" style="329" customWidth="1"/>
    <col min="8454" max="8455" width="9.54296875" style="329" customWidth="1"/>
    <col min="8456" max="8456" width="9.7265625" style="329" customWidth="1"/>
    <col min="8457" max="8457" width="9.54296875" style="329" customWidth="1"/>
    <col min="8458" max="8458" width="12.54296875" style="329" customWidth="1"/>
    <col min="8459" max="8459" width="10" style="329" customWidth="1"/>
    <col min="8460" max="8460" width="9.7265625" style="329" customWidth="1"/>
    <col min="8461" max="8463" width="9.1796875" style="329" customWidth="1"/>
    <col min="8464" max="8707" width="8.81640625" style="329"/>
    <col min="8708" max="8708" width="13.26953125" style="329" customWidth="1"/>
    <col min="8709" max="8709" width="27.453125" style="329" customWidth="1"/>
    <col min="8710" max="8711" width="9.54296875" style="329" customWidth="1"/>
    <col min="8712" max="8712" width="9.7265625" style="329" customWidth="1"/>
    <col min="8713" max="8713" width="9.54296875" style="329" customWidth="1"/>
    <col min="8714" max="8714" width="12.54296875" style="329" customWidth="1"/>
    <col min="8715" max="8715" width="10" style="329" customWidth="1"/>
    <col min="8716" max="8716" width="9.7265625" style="329" customWidth="1"/>
    <col min="8717" max="8719" width="9.1796875" style="329" customWidth="1"/>
    <col min="8720" max="8963" width="8.81640625" style="329"/>
    <col min="8964" max="8964" width="13.26953125" style="329" customWidth="1"/>
    <col min="8965" max="8965" width="27.453125" style="329" customWidth="1"/>
    <col min="8966" max="8967" width="9.54296875" style="329" customWidth="1"/>
    <col min="8968" max="8968" width="9.7265625" style="329" customWidth="1"/>
    <col min="8969" max="8969" width="9.54296875" style="329" customWidth="1"/>
    <col min="8970" max="8970" width="12.54296875" style="329" customWidth="1"/>
    <col min="8971" max="8971" width="10" style="329" customWidth="1"/>
    <col min="8972" max="8972" width="9.7265625" style="329" customWidth="1"/>
    <col min="8973" max="8975" width="9.1796875" style="329" customWidth="1"/>
    <col min="8976" max="9219" width="8.81640625" style="329"/>
    <col min="9220" max="9220" width="13.26953125" style="329" customWidth="1"/>
    <col min="9221" max="9221" width="27.453125" style="329" customWidth="1"/>
    <col min="9222" max="9223" width="9.54296875" style="329" customWidth="1"/>
    <col min="9224" max="9224" width="9.7265625" style="329" customWidth="1"/>
    <col min="9225" max="9225" width="9.54296875" style="329" customWidth="1"/>
    <col min="9226" max="9226" width="12.54296875" style="329" customWidth="1"/>
    <col min="9227" max="9227" width="10" style="329" customWidth="1"/>
    <col min="9228" max="9228" width="9.7265625" style="329" customWidth="1"/>
    <col min="9229" max="9231" width="9.1796875" style="329" customWidth="1"/>
    <col min="9232" max="9475" width="8.81640625" style="329"/>
    <col min="9476" max="9476" width="13.26953125" style="329" customWidth="1"/>
    <col min="9477" max="9477" width="27.453125" style="329" customWidth="1"/>
    <col min="9478" max="9479" width="9.54296875" style="329" customWidth="1"/>
    <col min="9480" max="9480" width="9.7265625" style="329" customWidth="1"/>
    <col min="9481" max="9481" width="9.54296875" style="329" customWidth="1"/>
    <col min="9482" max="9482" width="12.54296875" style="329" customWidth="1"/>
    <col min="9483" max="9483" width="10" style="329" customWidth="1"/>
    <col min="9484" max="9484" width="9.7265625" style="329" customWidth="1"/>
    <col min="9485" max="9487" width="9.1796875" style="329" customWidth="1"/>
    <col min="9488" max="9731" width="8.81640625" style="329"/>
    <col min="9732" max="9732" width="13.26953125" style="329" customWidth="1"/>
    <col min="9733" max="9733" width="27.453125" style="329" customWidth="1"/>
    <col min="9734" max="9735" width="9.54296875" style="329" customWidth="1"/>
    <col min="9736" max="9736" width="9.7265625" style="329" customWidth="1"/>
    <col min="9737" max="9737" width="9.54296875" style="329" customWidth="1"/>
    <col min="9738" max="9738" width="12.54296875" style="329" customWidth="1"/>
    <col min="9739" max="9739" width="10" style="329" customWidth="1"/>
    <col min="9740" max="9740" width="9.7265625" style="329" customWidth="1"/>
    <col min="9741" max="9743" width="9.1796875" style="329" customWidth="1"/>
    <col min="9744" max="9987" width="8.81640625" style="329"/>
    <col min="9988" max="9988" width="13.26953125" style="329" customWidth="1"/>
    <col min="9989" max="9989" width="27.453125" style="329" customWidth="1"/>
    <col min="9990" max="9991" width="9.54296875" style="329" customWidth="1"/>
    <col min="9992" max="9992" width="9.7265625" style="329" customWidth="1"/>
    <col min="9993" max="9993" width="9.54296875" style="329" customWidth="1"/>
    <col min="9994" max="9994" width="12.54296875" style="329" customWidth="1"/>
    <col min="9995" max="9995" width="10" style="329" customWidth="1"/>
    <col min="9996" max="9996" width="9.7265625" style="329" customWidth="1"/>
    <col min="9997" max="9999" width="9.1796875" style="329" customWidth="1"/>
    <col min="10000" max="10243" width="8.81640625" style="329"/>
    <col min="10244" max="10244" width="13.26953125" style="329" customWidth="1"/>
    <col min="10245" max="10245" width="27.453125" style="329" customWidth="1"/>
    <col min="10246" max="10247" width="9.54296875" style="329" customWidth="1"/>
    <col min="10248" max="10248" width="9.7265625" style="329" customWidth="1"/>
    <col min="10249" max="10249" width="9.54296875" style="329" customWidth="1"/>
    <col min="10250" max="10250" width="12.54296875" style="329" customWidth="1"/>
    <col min="10251" max="10251" width="10" style="329" customWidth="1"/>
    <col min="10252" max="10252" width="9.7265625" style="329" customWidth="1"/>
    <col min="10253" max="10255" width="9.1796875" style="329" customWidth="1"/>
    <col min="10256" max="10499" width="8.81640625" style="329"/>
    <col min="10500" max="10500" width="13.26953125" style="329" customWidth="1"/>
    <col min="10501" max="10501" width="27.453125" style="329" customWidth="1"/>
    <col min="10502" max="10503" width="9.54296875" style="329" customWidth="1"/>
    <col min="10504" max="10504" width="9.7265625" style="329" customWidth="1"/>
    <col min="10505" max="10505" width="9.54296875" style="329" customWidth="1"/>
    <col min="10506" max="10506" width="12.54296875" style="329" customWidth="1"/>
    <col min="10507" max="10507" width="10" style="329" customWidth="1"/>
    <col min="10508" max="10508" width="9.7265625" style="329" customWidth="1"/>
    <col min="10509" max="10511" width="9.1796875" style="329" customWidth="1"/>
    <col min="10512" max="10755" width="8.81640625" style="329"/>
    <col min="10756" max="10756" width="13.26953125" style="329" customWidth="1"/>
    <col min="10757" max="10757" width="27.453125" style="329" customWidth="1"/>
    <col min="10758" max="10759" width="9.54296875" style="329" customWidth="1"/>
    <col min="10760" max="10760" width="9.7265625" style="329" customWidth="1"/>
    <col min="10761" max="10761" width="9.54296875" style="329" customWidth="1"/>
    <col min="10762" max="10762" width="12.54296875" style="329" customWidth="1"/>
    <col min="10763" max="10763" width="10" style="329" customWidth="1"/>
    <col min="10764" max="10764" width="9.7265625" style="329" customWidth="1"/>
    <col min="10765" max="10767" width="9.1796875" style="329" customWidth="1"/>
    <col min="10768" max="11011" width="8.81640625" style="329"/>
    <col min="11012" max="11012" width="13.26953125" style="329" customWidth="1"/>
    <col min="11013" max="11013" width="27.453125" style="329" customWidth="1"/>
    <col min="11014" max="11015" width="9.54296875" style="329" customWidth="1"/>
    <col min="11016" max="11016" width="9.7265625" style="329" customWidth="1"/>
    <col min="11017" max="11017" width="9.54296875" style="329" customWidth="1"/>
    <col min="11018" max="11018" width="12.54296875" style="329" customWidth="1"/>
    <col min="11019" max="11019" width="10" style="329" customWidth="1"/>
    <col min="11020" max="11020" width="9.7265625" style="329" customWidth="1"/>
    <col min="11021" max="11023" width="9.1796875" style="329" customWidth="1"/>
    <col min="11024" max="11267" width="8.81640625" style="329"/>
    <col min="11268" max="11268" width="13.26953125" style="329" customWidth="1"/>
    <col min="11269" max="11269" width="27.453125" style="329" customWidth="1"/>
    <col min="11270" max="11271" width="9.54296875" style="329" customWidth="1"/>
    <col min="11272" max="11272" width="9.7265625" style="329" customWidth="1"/>
    <col min="11273" max="11273" width="9.54296875" style="329" customWidth="1"/>
    <col min="11274" max="11274" width="12.54296875" style="329" customWidth="1"/>
    <col min="11275" max="11275" width="10" style="329" customWidth="1"/>
    <col min="11276" max="11276" width="9.7265625" style="329" customWidth="1"/>
    <col min="11277" max="11279" width="9.1796875" style="329" customWidth="1"/>
    <col min="11280" max="11523" width="8.81640625" style="329"/>
    <col min="11524" max="11524" width="13.26953125" style="329" customWidth="1"/>
    <col min="11525" max="11525" width="27.453125" style="329" customWidth="1"/>
    <col min="11526" max="11527" width="9.54296875" style="329" customWidth="1"/>
    <col min="11528" max="11528" width="9.7265625" style="329" customWidth="1"/>
    <col min="11529" max="11529" width="9.54296875" style="329" customWidth="1"/>
    <col min="11530" max="11530" width="12.54296875" style="329" customWidth="1"/>
    <col min="11531" max="11531" width="10" style="329" customWidth="1"/>
    <col min="11532" max="11532" width="9.7265625" style="329" customWidth="1"/>
    <col min="11533" max="11535" width="9.1796875" style="329" customWidth="1"/>
    <col min="11536" max="11779" width="8.81640625" style="329"/>
    <col min="11780" max="11780" width="13.26953125" style="329" customWidth="1"/>
    <col min="11781" max="11781" width="27.453125" style="329" customWidth="1"/>
    <col min="11782" max="11783" width="9.54296875" style="329" customWidth="1"/>
    <col min="11784" max="11784" width="9.7265625" style="329" customWidth="1"/>
    <col min="11785" max="11785" width="9.54296875" style="329" customWidth="1"/>
    <col min="11786" max="11786" width="12.54296875" style="329" customWidth="1"/>
    <col min="11787" max="11787" width="10" style="329" customWidth="1"/>
    <col min="11788" max="11788" width="9.7265625" style="329" customWidth="1"/>
    <col min="11789" max="11791" width="9.1796875" style="329" customWidth="1"/>
    <col min="11792" max="12035" width="8.81640625" style="329"/>
    <col min="12036" max="12036" width="13.26953125" style="329" customWidth="1"/>
    <col min="12037" max="12037" width="27.453125" style="329" customWidth="1"/>
    <col min="12038" max="12039" width="9.54296875" style="329" customWidth="1"/>
    <col min="12040" max="12040" width="9.7265625" style="329" customWidth="1"/>
    <col min="12041" max="12041" width="9.54296875" style="329" customWidth="1"/>
    <col min="12042" max="12042" width="12.54296875" style="329" customWidth="1"/>
    <col min="12043" max="12043" width="10" style="329" customWidth="1"/>
    <col min="12044" max="12044" width="9.7265625" style="329" customWidth="1"/>
    <col min="12045" max="12047" width="9.1796875" style="329" customWidth="1"/>
    <col min="12048" max="12291" width="8.81640625" style="329"/>
    <col min="12292" max="12292" width="13.26953125" style="329" customWidth="1"/>
    <col min="12293" max="12293" width="27.453125" style="329" customWidth="1"/>
    <col min="12294" max="12295" width="9.54296875" style="329" customWidth="1"/>
    <col min="12296" max="12296" width="9.7265625" style="329" customWidth="1"/>
    <col min="12297" max="12297" width="9.54296875" style="329" customWidth="1"/>
    <col min="12298" max="12298" width="12.54296875" style="329" customWidth="1"/>
    <col min="12299" max="12299" width="10" style="329" customWidth="1"/>
    <col min="12300" max="12300" width="9.7265625" style="329" customWidth="1"/>
    <col min="12301" max="12303" width="9.1796875" style="329" customWidth="1"/>
    <col min="12304" max="12547" width="8.81640625" style="329"/>
    <col min="12548" max="12548" width="13.26953125" style="329" customWidth="1"/>
    <col min="12549" max="12549" width="27.453125" style="329" customWidth="1"/>
    <col min="12550" max="12551" width="9.54296875" style="329" customWidth="1"/>
    <col min="12552" max="12552" width="9.7265625" style="329" customWidth="1"/>
    <col min="12553" max="12553" width="9.54296875" style="329" customWidth="1"/>
    <col min="12554" max="12554" width="12.54296875" style="329" customWidth="1"/>
    <col min="12555" max="12555" width="10" style="329" customWidth="1"/>
    <col min="12556" max="12556" width="9.7265625" style="329" customWidth="1"/>
    <col min="12557" max="12559" width="9.1796875" style="329" customWidth="1"/>
    <col min="12560" max="12803" width="8.81640625" style="329"/>
    <col min="12804" max="12804" width="13.26953125" style="329" customWidth="1"/>
    <col min="12805" max="12805" width="27.453125" style="329" customWidth="1"/>
    <col min="12806" max="12807" width="9.54296875" style="329" customWidth="1"/>
    <col min="12808" max="12808" width="9.7265625" style="329" customWidth="1"/>
    <col min="12809" max="12809" width="9.54296875" style="329" customWidth="1"/>
    <col min="12810" max="12810" width="12.54296875" style="329" customWidth="1"/>
    <col min="12811" max="12811" width="10" style="329" customWidth="1"/>
    <col min="12812" max="12812" width="9.7265625" style="329" customWidth="1"/>
    <col min="12813" max="12815" width="9.1796875" style="329" customWidth="1"/>
    <col min="12816" max="13059" width="8.81640625" style="329"/>
    <col min="13060" max="13060" width="13.26953125" style="329" customWidth="1"/>
    <col min="13061" max="13061" width="27.453125" style="329" customWidth="1"/>
    <col min="13062" max="13063" width="9.54296875" style="329" customWidth="1"/>
    <col min="13064" max="13064" width="9.7265625" style="329" customWidth="1"/>
    <col min="13065" max="13065" width="9.54296875" style="329" customWidth="1"/>
    <col min="13066" max="13066" width="12.54296875" style="329" customWidth="1"/>
    <col min="13067" max="13067" width="10" style="329" customWidth="1"/>
    <col min="13068" max="13068" width="9.7265625" style="329" customWidth="1"/>
    <col min="13069" max="13071" width="9.1796875" style="329" customWidth="1"/>
    <col min="13072" max="13315" width="8.81640625" style="329"/>
    <col min="13316" max="13316" width="13.26953125" style="329" customWidth="1"/>
    <col min="13317" max="13317" width="27.453125" style="329" customWidth="1"/>
    <col min="13318" max="13319" width="9.54296875" style="329" customWidth="1"/>
    <col min="13320" max="13320" width="9.7265625" style="329" customWidth="1"/>
    <col min="13321" max="13321" width="9.54296875" style="329" customWidth="1"/>
    <col min="13322" max="13322" width="12.54296875" style="329" customWidth="1"/>
    <col min="13323" max="13323" width="10" style="329" customWidth="1"/>
    <col min="13324" max="13324" width="9.7265625" style="329" customWidth="1"/>
    <col min="13325" max="13327" width="9.1796875" style="329" customWidth="1"/>
    <col min="13328" max="13571" width="8.81640625" style="329"/>
    <col min="13572" max="13572" width="13.26953125" style="329" customWidth="1"/>
    <col min="13573" max="13573" width="27.453125" style="329" customWidth="1"/>
    <col min="13574" max="13575" width="9.54296875" style="329" customWidth="1"/>
    <col min="13576" max="13576" width="9.7265625" style="329" customWidth="1"/>
    <col min="13577" max="13577" width="9.54296875" style="329" customWidth="1"/>
    <col min="13578" max="13578" width="12.54296875" style="329" customWidth="1"/>
    <col min="13579" max="13579" width="10" style="329" customWidth="1"/>
    <col min="13580" max="13580" width="9.7265625" style="329" customWidth="1"/>
    <col min="13581" max="13583" width="9.1796875" style="329" customWidth="1"/>
    <col min="13584" max="13827" width="8.81640625" style="329"/>
    <col min="13828" max="13828" width="13.26953125" style="329" customWidth="1"/>
    <col min="13829" max="13829" width="27.453125" style="329" customWidth="1"/>
    <col min="13830" max="13831" width="9.54296875" style="329" customWidth="1"/>
    <col min="13832" max="13832" width="9.7265625" style="329" customWidth="1"/>
    <col min="13833" max="13833" width="9.54296875" style="329" customWidth="1"/>
    <col min="13834" max="13834" width="12.54296875" style="329" customWidth="1"/>
    <col min="13835" max="13835" width="10" style="329" customWidth="1"/>
    <col min="13836" max="13836" width="9.7265625" style="329" customWidth="1"/>
    <col min="13837" max="13839" width="9.1796875" style="329" customWidth="1"/>
    <col min="13840" max="14083" width="8.81640625" style="329"/>
    <col min="14084" max="14084" width="13.26953125" style="329" customWidth="1"/>
    <col min="14085" max="14085" width="27.453125" style="329" customWidth="1"/>
    <col min="14086" max="14087" width="9.54296875" style="329" customWidth="1"/>
    <col min="14088" max="14088" width="9.7265625" style="329" customWidth="1"/>
    <col min="14089" max="14089" width="9.54296875" style="329" customWidth="1"/>
    <col min="14090" max="14090" width="12.54296875" style="329" customWidth="1"/>
    <col min="14091" max="14091" width="10" style="329" customWidth="1"/>
    <col min="14092" max="14092" width="9.7265625" style="329" customWidth="1"/>
    <col min="14093" max="14095" width="9.1796875" style="329" customWidth="1"/>
    <col min="14096" max="14339" width="8.81640625" style="329"/>
    <col min="14340" max="14340" width="13.26953125" style="329" customWidth="1"/>
    <col min="14341" max="14341" width="27.453125" style="329" customWidth="1"/>
    <col min="14342" max="14343" width="9.54296875" style="329" customWidth="1"/>
    <col min="14344" max="14344" width="9.7265625" style="329" customWidth="1"/>
    <col min="14345" max="14345" width="9.54296875" style="329" customWidth="1"/>
    <col min="14346" max="14346" width="12.54296875" style="329" customWidth="1"/>
    <col min="14347" max="14347" width="10" style="329" customWidth="1"/>
    <col min="14348" max="14348" width="9.7265625" style="329" customWidth="1"/>
    <col min="14349" max="14351" width="9.1796875" style="329" customWidth="1"/>
    <col min="14352" max="14595" width="8.81640625" style="329"/>
    <col min="14596" max="14596" width="13.26953125" style="329" customWidth="1"/>
    <col min="14597" max="14597" width="27.453125" style="329" customWidth="1"/>
    <col min="14598" max="14599" width="9.54296875" style="329" customWidth="1"/>
    <col min="14600" max="14600" width="9.7265625" style="329" customWidth="1"/>
    <col min="14601" max="14601" width="9.54296875" style="329" customWidth="1"/>
    <col min="14602" max="14602" width="12.54296875" style="329" customWidth="1"/>
    <col min="14603" max="14603" width="10" style="329" customWidth="1"/>
    <col min="14604" max="14604" width="9.7265625" style="329" customWidth="1"/>
    <col min="14605" max="14607" width="9.1796875" style="329" customWidth="1"/>
    <col min="14608" max="14851" width="8.81640625" style="329"/>
    <col min="14852" max="14852" width="13.26953125" style="329" customWidth="1"/>
    <col min="14853" max="14853" width="27.453125" style="329" customWidth="1"/>
    <col min="14854" max="14855" width="9.54296875" style="329" customWidth="1"/>
    <col min="14856" max="14856" width="9.7265625" style="329" customWidth="1"/>
    <col min="14857" max="14857" width="9.54296875" style="329" customWidth="1"/>
    <col min="14858" max="14858" width="12.54296875" style="329" customWidth="1"/>
    <col min="14859" max="14859" width="10" style="329" customWidth="1"/>
    <col min="14860" max="14860" width="9.7265625" style="329" customWidth="1"/>
    <col min="14861" max="14863" width="9.1796875" style="329" customWidth="1"/>
    <col min="14864" max="15107" width="8.81640625" style="329"/>
    <col min="15108" max="15108" width="13.26953125" style="329" customWidth="1"/>
    <col min="15109" max="15109" width="27.453125" style="329" customWidth="1"/>
    <col min="15110" max="15111" width="9.54296875" style="329" customWidth="1"/>
    <col min="15112" max="15112" width="9.7265625" style="329" customWidth="1"/>
    <col min="15113" max="15113" width="9.54296875" style="329" customWidth="1"/>
    <col min="15114" max="15114" width="12.54296875" style="329" customWidth="1"/>
    <col min="15115" max="15115" width="10" style="329" customWidth="1"/>
    <col min="15116" max="15116" width="9.7265625" style="329" customWidth="1"/>
    <col min="15117" max="15119" width="9.1796875" style="329" customWidth="1"/>
    <col min="15120" max="15363" width="8.81640625" style="329"/>
    <col min="15364" max="15364" width="13.26953125" style="329" customWidth="1"/>
    <col min="15365" max="15365" width="27.453125" style="329" customWidth="1"/>
    <col min="15366" max="15367" width="9.54296875" style="329" customWidth="1"/>
    <col min="15368" max="15368" width="9.7265625" style="329" customWidth="1"/>
    <col min="15369" max="15369" width="9.54296875" style="329" customWidth="1"/>
    <col min="15370" max="15370" width="12.54296875" style="329" customWidth="1"/>
    <col min="15371" max="15371" width="10" style="329" customWidth="1"/>
    <col min="15372" max="15372" width="9.7265625" style="329" customWidth="1"/>
    <col min="15373" max="15375" width="9.1796875" style="329" customWidth="1"/>
    <col min="15376" max="15619" width="8.81640625" style="329"/>
    <col min="15620" max="15620" width="13.26953125" style="329" customWidth="1"/>
    <col min="15621" max="15621" width="27.453125" style="329" customWidth="1"/>
    <col min="15622" max="15623" width="9.54296875" style="329" customWidth="1"/>
    <col min="15624" max="15624" width="9.7265625" style="329" customWidth="1"/>
    <col min="15625" max="15625" width="9.54296875" style="329" customWidth="1"/>
    <col min="15626" max="15626" width="12.54296875" style="329" customWidth="1"/>
    <col min="15627" max="15627" width="10" style="329" customWidth="1"/>
    <col min="15628" max="15628" width="9.7265625" style="329" customWidth="1"/>
    <col min="15629" max="15631" width="9.1796875" style="329" customWidth="1"/>
    <col min="15632" max="15875" width="8.81640625" style="329"/>
    <col min="15876" max="15876" width="13.26953125" style="329" customWidth="1"/>
    <col min="15877" max="15877" width="27.453125" style="329" customWidth="1"/>
    <col min="15878" max="15879" width="9.54296875" style="329" customWidth="1"/>
    <col min="15880" max="15880" width="9.7265625" style="329" customWidth="1"/>
    <col min="15881" max="15881" width="9.54296875" style="329" customWidth="1"/>
    <col min="15882" max="15882" width="12.54296875" style="329" customWidth="1"/>
    <col min="15883" max="15883" width="10" style="329" customWidth="1"/>
    <col min="15884" max="15884" width="9.7265625" style="329" customWidth="1"/>
    <col min="15885" max="15887" width="9.1796875" style="329" customWidth="1"/>
    <col min="15888" max="16131" width="8.81640625" style="329"/>
    <col min="16132" max="16132" width="13.26953125" style="329" customWidth="1"/>
    <col min="16133" max="16133" width="27.453125" style="329" customWidth="1"/>
    <col min="16134" max="16135" width="9.54296875" style="329" customWidth="1"/>
    <col min="16136" max="16136" width="9.7265625" style="329" customWidth="1"/>
    <col min="16137" max="16137" width="9.54296875" style="329" customWidth="1"/>
    <col min="16138" max="16138" width="12.54296875" style="329" customWidth="1"/>
    <col min="16139" max="16139" width="10" style="329" customWidth="1"/>
    <col min="16140" max="16140" width="9.7265625" style="329" customWidth="1"/>
    <col min="16141" max="16143" width="9.1796875" style="329" customWidth="1"/>
    <col min="16144" max="16383" width="8.81640625" style="329"/>
    <col min="16384" max="16384" width="8.81640625" style="329" customWidth="1"/>
  </cols>
  <sheetData>
    <row r="1" spans="1:21" x14ac:dyDescent="0.35">
      <c r="B1" s="1120"/>
      <c r="C1" s="1120"/>
      <c r="D1" s="1120"/>
      <c r="E1" s="1120"/>
      <c r="F1" s="1120"/>
      <c r="G1" s="1120"/>
      <c r="H1" s="1120"/>
      <c r="I1" s="1120"/>
      <c r="J1" s="1120"/>
      <c r="K1" s="361"/>
      <c r="L1" s="361"/>
      <c r="M1" s="361"/>
      <c r="N1" s="329"/>
      <c r="O1" s="355"/>
      <c r="P1" s="354"/>
    </row>
    <row r="2" spans="1:21" x14ac:dyDescent="0.35">
      <c r="B2" s="1120" t="s">
        <v>906</v>
      </c>
      <c r="C2" s="1120"/>
      <c r="D2" s="1120"/>
      <c r="E2" s="1120"/>
      <c r="F2" s="1120"/>
      <c r="G2" s="1120"/>
      <c r="H2" s="1120"/>
      <c r="I2" s="1120"/>
      <c r="J2" s="1120"/>
      <c r="K2" s="361"/>
      <c r="L2" s="361"/>
      <c r="M2" s="361"/>
      <c r="N2" s="329"/>
      <c r="O2" s="355"/>
      <c r="P2" s="354"/>
    </row>
    <row r="3" spans="1:21" x14ac:dyDescent="0.35">
      <c r="B3" s="1119" t="s">
        <v>863</v>
      </c>
      <c r="C3" s="1119"/>
      <c r="D3" s="1119"/>
      <c r="E3" s="1119"/>
      <c r="F3" s="1119"/>
      <c r="G3" s="1119"/>
      <c r="H3" s="1119"/>
      <c r="I3" s="1119"/>
      <c r="J3" s="1119"/>
      <c r="K3" s="361"/>
      <c r="L3" s="361"/>
      <c r="M3" s="361"/>
      <c r="N3" s="329"/>
      <c r="O3" s="355"/>
      <c r="P3" s="354"/>
    </row>
    <row r="4" spans="1:21" x14ac:dyDescent="0.35">
      <c r="B4" s="1119" t="s">
        <v>863</v>
      </c>
      <c r="C4" s="1119"/>
      <c r="D4" s="1119"/>
      <c r="E4" s="1119"/>
      <c r="F4" s="1119"/>
      <c r="G4" s="1119"/>
      <c r="H4" s="1119"/>
      <c r="I4" s="1119"/>
      <c r="J4" s="1071"/>
      <c r="K4" s="361"/>
      <c r="L4" s="361"/>
      <c r="M4" s="361"/>
      <c r="N4" s="371"/>
      <c r="O4" s="355"/>
      <c r="P4" s="354"/>
    </row>
    <row r="5" spans="1:21" x14ac:dyDescent="0.35">
      <c r="B5" s="371"/>
      <c r="C5" s="371"/>
      <c r="D5" s="371"/>
      <c r="E5" s="371"/>
      <c r="F5" s="305"/>
      <c r="G5" s="371"/>
      <c r="H5" s="371"/>
      <c r="I5" s="371"/>
      <c r="J5" s="371"/>
      <c r="K5" s="361"/>
      <c r="L5" s="361"/>
      <c r="M5" s="361"/>
      <c r="N5" s="371"/>
      <c r="O5" s="355"/>
      <c r="P5" s="354"/>
    </row>
    <row r="6" spans="1:21" s="317" customFormat="1" ht="20.149999999999999" customHeight="1" x14ac:dyDescent="0.35">
      <c r="A6" s="329"/>
      <c r="B6" s="970" t="s">
        <v>302</v>
      </c>
      <c r="C6" s="971" t="s">
        <v>28</v>
      </c>
      <c r="D6" s="1146" t="s">
        <v>919</v>
      </c>
      <c r="E6" s="1148" t="s">
        <v>729</v>
      </c>
      <c r="F6" s="1149" t="s">
        <v>728</v>
      </c>
      <c r="G6" s="1149"/>
      <c r="H6" s="1149"/>
      <c r="I6" s="1149"/>
      <c r="J6" s="1150" t="s">
        <v>29</v>
      </c>
      <c r="K6" s="972"/>
      <c r="L6" s="972"/>
      <c r="M6" s="1143"/>
      <c r="N6" s="365"/>
      <c r="O6" s="451"/>
      <c r="P6" s="319"/>
    </row>
    <row r="7" spans="1:21" s="317" customFormat="1" ht="19.5" customHeight="1" x14ac:dyDescent="0.35">
      <c r="A7" s="329"/>
      <c r="B7" s="973"/>
      <c r="C7" s="974"/>
      <c r="D7" s="1147"/>
      <c r="E7" s="1148"/>
      <c r="F7" s="1075" t="s">
        <v>308</v>
      </c>
      <c r="G7" s="975" t="s">
        <v>309</v>
      </c>
      <c r="H7" s="975" t="s">
        <v>310</v>
      </c>
      <c r="I7" s="975" t="s">
        <v>311</v>
      </c>
      <c r="J7" s="1150"/>
      <c r="K7" s="972"/>
      <c r="L7" s="972"/>
      <c r="M7" s="1144"/>
      <c r="N7" s="367"/>
      <c r="O7" s="451"/>
      <c r="P7" s="319"/>
      <c r="Q7" s="320"/>
      <c r="S7" s="320"/>
    </row>
    <row r="8" spans="1:21" ht="18.75" customHeight="1" x14ac:dyDescent="0.35">
      <c r="A8" s="317"/>
      <c r="B8" s="993" t="s">
        <v>3</v>
      </c>
      <c r="C8" s="994"/>
      <c r="D8" s="994"/>
      <c r="E8" s="994"/>
      <c r="F8" s="1076"/>
      <c r="G8" s="994"/>
      <c r="H8" s="994"/>
      <c r="I8" s="994"/>
      <c r="J8" s="995"/>
      <c r="K8" s="987"/>
      <c r="L8" s="987"/>
      <c r="M8" s="987"/>
      <c r="N8" s="329"/>
    </row>
    <row r="9" spans="1:21" ht="20.149999999999999" customHeight="1" x14ac:dyDescent="0.35">
      <c r="A9" s="329">
        <v>1</v>
      </c>
      <c r="B9" s="1021">
        <v>219</v>
      </c>
      <c r="C9" s="330" t="s">
        <v>214</v>
      </c>
      <c r="D9" s="339">
        <v>0.68</v>
      </c>
      <c r="E9" s="323">
        <f>'[1]road inventory 2018'!C10</f>
        <v>0.65</v>
      </c>
      <c r="F9" s="1046">
        <v>0.68</v>
      </c>
      <c r="G9" s="323">
        <v>0</v>
      </c>
      <c r="H9" s="323">
        <v>0</v>
      </c>
      <c r="I9" s="323">
        <f>D9-F9-G9-H9</f>
        <v>0</v>
      </c>
      <c r="J9" s="325" t="s">
        <v>12</v>
      </c>
      <c r="K9" s="323"/>
      <c r="L9" s="323"/>
      <c r="M9" s="323"/>
      <c r="N9" s="326"/>
      <c r="O9" s="363"/>
      <c r="P9" s="328"/>
    </row>
    <row r="10" spans="1:21" ht="36.75" customHeight="1" x14ac:dyDescent="0.35">
      <c r="A10" s="329">
        <v>2</v>
      </c>
      <c r="B10" s="1021">
        <v>1</v>
      </c>
      <c r="C10" s="330" t="s">
        <v>314</v>
      </c>
      <c r="D10" s="339">
        <v>3.47</v>
      </c>
      <c r="E10" s="323">
        <f>'[1]road inventory 2018'!C11</f>
        <v>5.5</v>
      </c>
      <c r="F10" s="1046">
        <v>0</v>
      </c>
      <c r="G10" s="323">
        <v>0</v>
      </c>
      <c r="H10" s="323">
        <v>0</v>
      </c>
      <c r="I10" s="323">
        <f t="shared" ref="I10:I31" si="0">D10-F10-G10-H10</f>
        <v>3.47</v>
      </c>
      <c r="J10" s="326" t="s">
        <v>10</v>
      </c>
      <c r="K10" s="323"/>
      <c r="L10" s="323"/>
      <c r="M10" s="330"/>
      <c r="N10" s="326"/>
      <c r="O10" s="363"/>
      <c r="P10" s="328"/>
      <c r="Q10" s="951"/>
      <c r="S10" s="331"/>
      <c r="U10" s="331"/>
    </row>
    <row r="11" spans="1:21" ht="20.149999999999999" customHeight="1" x14ac:dyDescent="0.35">
      <c r="A11" s="329">
        <v>3</v>
      </c>
      <c r="B11" s="1021">
        <v>2</v>
      </c>
      <c r="C11" s="330" t="s">
        <v>212</v>
      </c>
      <c r="D11" s="339">
        <v>0.87</v>
      </c>
      <c r="E11" s="323">
        <f>'[1]road inventory 2018'!C12</f>
        <v>0.8</v>
      </c>
      <c r="F11" s="1046">
        <v>0.43</v>
      </c>
      <c r="G11" s="323">
        <v>0</v>
      </c>
      <c r="H11" s="323">
        <v>0</v>
      </c>
      <c r="I11" s="323">
        <f t="shared" si="0"/>
        <v>0.44</v>
      </c>
      <c r="J11" s="326" t="s">
        <v>12</v>
      </c>
      <c r="K11" s="323"/>
      <c r="L11" s="323"/>
      <c r="M11" s="323"/>
      <c r="N11" s="326"/>
      <c r="O11" s="363"/>
      <c r="P11" s="328"/>
    </row>
    <row r="12" spans="1:21" ht="24.5" customHeight="1" x14ac:dyDescent="0.35">
      <c r="A12" s="329">
        <v>4</v>
      </c>
      <c r="B12" s="1021">
        <v>3</v>
      </c>
      <c r="C12" s="330" t="s">
        <v>217</v>
      </c>
      <c r="D12" s="339">
        <v>5.5</v>
      </c>
      <c r="E12" s="323">
        <f>'[1]road inventory 2018'!C13</f>
        <v>4.9000000000000004</v>
      </c>
      <c r="F12" s="1046">
        <v>5.5</v>
      </c>
      <c r="G12" s="323">
        <v>0</v>
      </c>
      <c r="H12" s="323">
        <v>0</v>
      </c>
      <c r="I12" s="323">
        <f t="shared" si="0"/>
        <v>0</v>
      </c>
      <c r="J12" s="325" t="s">
        <v>12</v>
      </c>
      <c r="K12" s="323"/>
      <c r="L12" s="323"/>
      <c r="M12" s="330"/>
      <c r="N12" s="326"/>
      <c r="O12" s="363"/>
      <c r="P12" s="328"/>
      <c r="Q12" s="951"/>
    </row>
    <row r="13" spans="1:21" ht="20.149999999999999" customHeight="1" x14ac:dyDescent="0.35">
      <c r="A13" s="329">
        <v>5</v>
      </c>
      <c r="B13" s="1021">
        <v>4</v>
      </c>
      <c r="C13" s="330" t="s">
        <v>211</v>
      </c>
      <c r="D13" s="339">
        <v>2.77</v>
      </c>
      <c r="E13" s="323">
        <f>'[1]road inventory 2018'!C14</f>
        <v>2.7</v>
      </c>
      <c r="F13" s="1046">
        <v>0.19</v>
      </c>
      <c r="G13" s="323">
        <v>0</v>
      </c>
      <c r="H13" s="323">
        <v>0</v>
      </c>
      <c r="I13" s="323">
        <f t="shared" si="0"/>
        <v>2.58</v>
      </c>
      <c r="J13" s="325" t="s">
        <v>12</v>
      </c>
      <c r="K13" s="323"/>
      <c r="L13" s="323"/>
      <c r="M13" s="323"/>
      <c r="N13" s="326"/>
      <c r="O13" s="363"/>
      <c r="P13" s="328"/>
      <c r="Q13" s="952"/>
    </row>
    <row r="14" spans="1:21" ht="20.149999999999999" customHeight="1" x14ac:dyDescent="0.35">
      <c r="A14" s="329">
        <v>6</v>
      </c>
      <c r="B14" s="1021">
        <v>93</v>
      </c>
      <c r="C14" s="330" t="s">
        <v>13</v>
      </c>
      <c r="D14" s="339">
        <v>3.97</v>
      </c>
      <c r="E14" s="323">
        <f>'[1]road inventory 2018'!C15</f>
        <v>3.9</v>
      </c>
      <c r="F14" s="1046">
        <v>3.69</v>
      </c>
      <c r="G14" s="323">
        <v>0</v>
      </c>
      <c r="H14" s="323">
        <v>0</v>
      </c>
      <c r="I14" s="323">
        <f t="shared" si="0"/>
        <v>0.28000000000000025</v>
      </c>
      <c r="J14" s="325" t="s">
        <v>12</v>
      </c>
      <c r="K14" s="323"/>
      <c r="L14" s="323"/>
      <c r="M14" s="323"/>
      <c r="N14" s="326"/>
      <c r="O14" s="363"/>
      <c r="P14" s="328"/>
      <c r="Q14" s="952"/>
      <c r="S14" s="331"/>
    </row>
    <row r="15" spans="1:21" ht="20.149999999999999" customHeight="1" x14ac:dyDescent="0.35">
      <c r="A15" s="329">
        <v>7</v>
      </c>
      <c r="B15" s="1021">
        <v>218</v>
      </c>
      <c r="C15" s="330" t="s">
        <v>213</v>
      </c>
      <c r="D15" s="339">
        <v>4.7699999999999996</v>
      </c>
      <c r="E15" s="323">
        <f>'[1]road inventory 2018'!C16</f>
        <v>5.8</v>
      </c>
      <c r="F15" s="1046">
        <v>0</v>
      </c>
      <c r="G15" s="323">
        <v>0</v>
      </c>
      <c r="H15" s="323">
        <v>0</v>
      </c>
      <c r="I15" s="323">
        <f t="shared" si="0"/>
        <v>4.7699999999999996</v>
      </c>
      <c r="J15" s="325" t="s">
        <v>12</v>
      </c>
      <c r="K15" s="323"/>
      <c r="L15" s="323"/>
      <c r="M15" s="323"/>
      <c r="N15" s="326"/>
      <c r="O15" s="363"/>
      <c r="P15" s="328"/>
      <c r="Q15" s="952"/>
      <c r="S15" s="327"/>
    </row>
    <row r="16" spans="1:21" ht="24.5" customHeight="1" x14ac:dyDescent="0.35">
      <c r="A16" s="329">
        <v>8</v>
      </c>
      <c r="B16" s="1021">
        <v>5</v>
      </c>
      <c r="C16" s="330" t="s">
        <v>16</v>
      </c>
      <c r="D16" s="339">
        <v>4.09</v>
      </c>
      <c r="E16" s="323">
        <f>'[1]road inventory 2018'!C17</f>
        <v>2.8</v>
      </c>
      <c r="F16" s="1046">
        <v>3.5369999999999999</v>
      </c>
      <c r="G16" s="323">
        <v>0</v>
      </c>
      <c r="H16" s="323">
        <v>0</v>
      </c>
      <c r="I16" s="323">
        <f t="shared" si="0"/>
        <v>0.55299999999999994</v>
      </c>
      <c r="J16" s="325" t="s">
        <v>12</v>
      </c>
      <c r="K16" s="323"/>
      <c r="L16" s="323"/>
      <c r="M16" s="330"/>
      <c r="N16" s="326"/>
      <c r="O16" s="363"/>
      <c r="P16" s="328"/>
      <c r="Q16" s="952"/>
      <c r="R16" s="320"/>
      <c r="S16" s="331"/>
    </row>
    <row r="17" spans="1:19" x14ac:dyDescent="0.35">
      <c r="A17" s="329">
        <v>9</v>
      </c>
      <c r="B17" s="1021">
        <v>6</v>
      </c>
      <c r="C17" s="330" t="s">
        <v>220</v>
      </c>
      <c r="D17" s="339">
        <v>2.67</v>
      </c>
      <c r="E17" s="323">
        <f>'[1]road inventory 2018'!C18</f>
        <v>3.9</v>
      </c>
      <c r="F17" s="1046">
        <v>2.67</v>
      </c>
      <c r="G17" s="323">
        <v>0</v>
      </c>
      <c r="H17" s="323">
        <v>0</v>
      </c>
      <c r="I17" s="323">
        <f t="shared" si="0"/>
        <v>0</v>
      </c>
      <c r="J17" s="325" t="s">
        <v>10</v>
      </c>
      <c r="K17" s="323"/>
      <c r="L17" s="323"/>
      <c r="M17" s="330"/>
      <c r="N17" s="326"/>
      <c r="O17" s="363"/>
      <c r="P17" s="328"/>
      <c r="Q17" s="952"/>
      <c r="S17" s="331"/>
    </row>
    <row r="18" spans="1:19" ht="20.149999999999999" customHeight="1" x14ac:dyDescent="0.35">
      <c r="A18" s="329">
        <v>10</v>
      </c>
      <c r="B18" s="1021">
        <v>7</v>
      </c>
      <c r="C18" s="330" t="s">
        <v>205</v>
      </c>
      <c r="D18" s="339">
        <v>1.19</v>
      </c>
      <c r="E18" s="323">
        <f>'[1]road inventory 2018'!C19</f>
        <v>1.1000000000000001</v>
      </c>
      <c r="F18" s="1046">
        <v>1.19</v>
      </c>
      <c r="G18" s="323">
        <v>0</v>
      </c>
      <c r="H18" s="323">
        <v>0</v>
      </c>
      <c r="I18" s="323">
        <f t="shared" si="0"/>
        <v>0</v>
      </c>
      <c r="J18" s="325" t="s">
        <v>12</v>
      </c>
      <c r="K18" s="323"/>
      <c r="L18" s="323"/>
      <c r="M18" s="323"/>
      <c r="N18" s="326"/>
      <c r="O18" s="363"/>
      <c r="P18" s="328"/>
      <c r="Q18" s="952"/>
    </row>
    <row r="19" spans="1:19" ht="20.149999999999999" customHeight="1" x14ac:dyDescent="0.35">
      <c r="A19" s="329">
        <v>11</v>
      </c>
      <c r="B19" s="1021">
        <v>8</v>
      </c>
      <c r="C19" s="330" t="s">
        <v>324</v>
      </c>
      <c r="D19" s="339">
        <v>0.7</v>
      </c>
      <c r="E19" s="323">
        <f>'[1]road inventory 2018'!C20</f>
        <v>0.6</v>
      </c>
      <c r="F19" s="1046">
        <v>0.7</v>
      </c>
      <c r="G19" s="323">
        <v>0</v>
      </c>
      <c r="H19" s="323">
        <v>0</v>
      </c>
      <c r="I19" s="323">
        <f t="shared" si="0"/>
        <v>0</v>
      </c>
      <c r="J19" s="325" t="s">
        <v>12</v>
      </c>
      <c r="K19" s="323"/>
      <c r="L19" s="323"/>
      <c r="M19" s="323"/>
      <c r="N19" s="326"/>
      <c r="O19" s="363"/>
      <c r="P19" s="328"/>
      <c r="Q19" s="952"/>
      <c r="S19" s="331"/>
    </row>
    <row r="20" spans="1:19" ht="20.149999999999999" customHeight="1" x14ac:dyDescent="0.35">
      <c r="A20" s="329">
        <v>12</v>
      </c>
      <c r="B20" s="1021">
        <v>9</v>
      </c>
      <c r="C20" s="330" t="s">
        <v>19</v>
      </c>
      <c r="D20" s="339">
        <v>9.1</v>
      </c>
      <c r="E20" s="323">
        <f>'[1]road inventory 2018'!C21</f>
        <v>9</v>
      </c>
      <c r="F20" s="1046">
        <v>9.1</v>
      </c>
      <c r="G20" s="323">
        <v>0</v>
      </c>
      <c r="H20" s="323">
        <v>0</v>
      </c>
      <c r="I20" s="323">
        <f t="shared" si="0"/>
        <v>0</v>
      </c>
      <c r="J20" s="325" t="s">
        <v>10</v>
      </c>
      <c r="K20" s="323"/>
      <c r="L20" s="323"/>
      <c r="M20" s="323"/>
      <c r="N20" s="326"/>
      <c r="O20" s="363"/>
      <c r="P20" s="328"/>
      <c r="Q20" s="952"/>
      <c r="S20" s="331"/>
    </row>
    <row r="21" spans="1:19" ht="20.149999999999999" customHeight="1" x14ac:dyDescent="0.35">
      <c r="A21" s="329">
        <v>13</v>
      </c>
      <c r="B21" s="1021">
        <v>10</v>
      </c>
      <c r="C21" s="330" t="s">
        <v>23</v>
      </c>
      <c r="D21" s="339">
        <v>13.9</v>
      </c>
      <c r="E21" s="323">
        <f>'[1]road inventory 2018'!C22</f>
        <v>13.6</v>
      </c>
      <c r="F21" s="1046">
        <v>13.19</v>
      </c>
      <c r="G21" s="323">
        <v>0</v>
      </c>
      <c r="H21" s="323">
        <v>0</v>
      </c>
      <c r="I21" s="323">
        <f t="shared" si="0"/>
        <v>0.71000000000000085</v>
      </c>
      <c r="J21" s="325" t="s">
        <v>10</v>
      </c>
      <c r="K21" s="323"/>
      <c r="L21" s="323"/>
      <c r="M21" s="323"/>
      <c r="N21" s="326"/>
      <c r="O21" s="363"/>
      <c r="P21" s="328"/>
      <c r="Q21" s="951"/>
      <c r="S21" s="331"/>
    </row>
    <row r="22" spans="1:19" ht="20.149999999999999" customHeight="1" x14ac:dyDescent="0.35">
      <c r="A22" s="329">
        <v>14</v>
      </c>
      <c r="B22" s="1021">
        <v>11</v>
      </c>
      <c r="C22" s="330" t="s">
        <v>223</v>
      </c>
      <c r="D22" s="339">
        <v>2.25</v>
      </c>
      <c r="E22" s="323">
        <f>'[1]road inventory 2018'!C23</f>
        <v>2.2000000000000002</v>
      </c>
      <c r="F22" s="1046">
        <v>2.25</v>
      </c>
      <c r="G22" s="323">
        <v>0</v>
      </c>
      <c r="H22" s="323">
        <v>0</v>
      </c>
      <c r="I22" s="323">
        <f t="shared" si="0"/>
        <v>0</v>
      </c>
      <c r="J22" s="325" t="s">
        <v>12</v>
      </c>
      <c r="K22" s="323"/>
      <c r="L22" s="323"/>
      <c r="M22" s="323"/>
      <c r="N22" s="326"/>
      <c r="O22" s="363"/>
      <c r="P22" s="328"/>
      <c r="Q22" s="951"/>
      <c r="S22" s="333"/>
    </row>
    <row r="23" spans="1:19" ht="20.149999999999999" customHeight="1" x14ac:dyDescent="0.35">
      <c r="A23" s="329">
        <v>15</v>
      </c>
      <c r="B23" s="1021">
        <v>13</v>
      </c>
      <c r="C23" s="330" t="s">
        <v>218</v>
      </c>
      <c r="D23" s="339">
        <v>1.75</v>
      </c>
      <c r="E23" s="323">
        <f>'[1]road inventory 2018'!C24</f>
        <v>1.7</v>
      </c>
      <c r="F23" s="1046">
        <v>0</v>
      </c>
      <c r="G23" s="323">
        <v>0</v>
      </c>
      <c r="H23" s="323">
        <v>0</v>
      </c>
      <c r="I23" s="323">
        <f t="shared" si="0"/>
        <v>1.75</v>
      </c>
      <c r="J23" s="325" t="s">
        <v>33</v>
      </c>
      <c r="K23" s="323"/>
      <c r="L23" s="323"/>
      <c r="M23" s="323"/>
      <c r="N23" s="326"/>
      <c r="O23" s="363"/>
      <c r="P23" s="328"/>
      <c r="Q23" s="951"/>
      <c r="S23" s="331"/>
    </row>
    <row r="24" spans="1:19" ht="20.149999999999999" customHeight="1" x14ac:dyDescent="0.35">
      <c r="A24" s="329">
        <v>16</v>
      </c>
      <c r="B24" s="1021">
        <v>12</v>
      </c>
      <c r="C24" s="330" t="s">
        <v>222</v>
      </c>
      <c r="D24" s="339">
        <v>1.65</v>
      </c>
      <c r="E24" s="323">
        <f>'[1]road inventory 2018'!C25</f>
        <v>1.6</v>
      </c>
      <c r="F24" s="1046">
        <v>0.86</v>
      </c>
      <c r="G24" s="323">
        <v>0</v>
      </c>
      <c r="H24" s="323">
        <v>0</v>
      </c>
      <c r="I24" s="323">
        <f t="shared" si="0"/>
        <v>0.78999999999999992</v>
      </c>
      <c r="J24" s="325" t="s">
        <v>33</v>
      </c>
      <c r="K24" s="323"/>
      <c r="L24" s="323"/>
      <c r="M24" s="323"/>
      <c r="N24" s="326"/>
      <c r="O24" s="363"/>
      <c r="P24" s="328"/>
      <c r="Q24" s="951"/>
      <c r="S24" s="331"/>
    </row>
    <row r="25" spans="1:19" ht="20.149999999999999" customHeight="1" x14ac:dyDescent="0.35">
      <c r="A25" s="329">
        <v>17</v>
      </c>
      <c r="B25" s="1021">
        <v>220</v>
      </c>
      <c r="C25" s="330" t="s">
        <v>221</v>
      </c>
      <c r="D25" s="339">
        <v>3</v>
      </c>
      <c r="E25" s="323">
        <f>'[1]road inventory 2018'!C26</f>
        <v>2.2999999999999998</v>
      </c>
      <c r="F25" s="1046">
        <v>0.32500000000000001</v>
      </c>
      <c r="G25" s="323">
        <v>0</v>
      </c>
      <c r="H25" s="323">
        <v>0</v>
      </c>
      <c r="I25" s="323">
        <f t="shared" si="0"/>
        <v>2.6749999999999998</v>
      </c>
      <c r="J25" s="325" t="s">
        <v>33</v>
      </c>
      <c r="K25" s="323"/>
      <c r="L25" s="323"/>
      <c r="M25" s="323"/>
      <c r="N25" s="326"/>
      <c r="O25" s="363"/>
      <c r="P25" s="328"/>
      <c r="Q25" s="951"/>
      <c r="S25" s="331"/>
    </row>
    <row r="26" spans="1:19" ht="20.149999999999999" customHeight="1" x14ac:dyDescent="0.35">
      <c r="A26" s="329">
        <v>18</v>
      </c>
      <c r="B26" s="1021">
        <v>14</v>
      </c>
      <c r="C26" s="330" t="s">
        <v>215</v>
      </c>
      <c r="D26" s="339">
        <v>4.04</v>
      </c>
      <c r="E26" s="323">
        <f>'[1]road inventory 2018'!C27</f>
        <v>4</v>
      </c>
      <c r="F26" s="1046">
        <v>4.04</v>
      </c>
      <c r="G26" s="323">
        <v>0</v>
      </c>
      <c r="H26" s="323">
        <v>0</v>
      </c>
      <c r="I26" s="323">
        <f t="shared" si="0"/>
        <v>0</v>
      </c>
      <c r="J26" s="325" t="s">
        <v>12</v>
      </c>
      <c r="K26" s="323"/>
      <c r="L26" s="323"/>
      <c r="M26" s="323"/>
      <c r="N26" s="326"/>
      <c r="O26" s="363"/>
      <c r="P26" s="328"/>
      <c r="Q26" s="951"/>
      <c r="S26" s="331"/>
    </row>
    <row r="27" spans="1:19" ht="20.149999999999999" customHeight="1" x14ac:dyDescent="0.35">
      <c r="A27" s="329">
        <v>19</v>
      </c>
      <c r="B27" s="1021">
        <v>15</v>
      </c>
      <c r="C27" s="330" t="s">
        <v>334</v>
      </c>
      <c r="D27" s="339">
        <v>3.2</v>
      </c>
      <c r="E27" s="323">
        <v>3.2</v>
      </c>
      <c r="F27" s="1046">
        <v>0</v>
      </c>
      <c r="G27" s="323">
        <v>0</v>
      </c>
      <c r="H27" s="323">
        <v>0</v>
      </c>
      <c r="I27" s="323">
        <f t="shared" si="0"/>
        <v>3.2</v>
      </c>
      <c r="J27" s="325" t="s">
        <v>33</v>
      </c>
      <c r="K27" s="323"/>
      <c r="L27" s="323"/>
      <c r="M27" s="323"/>
      <c r="N27" s="326"/>
      <c r="O27" s="336"/>
      <c r="P27" s="328"/>
      <c r="Q27" s="951"/>
      <c r="S27" s="331"/>
    </row>
    <row r="28" spans="1:19" ht="20.149999999999999" customHeight="1" x14ac:dyDescent="0.35">
      <c r="A28" s="329">
        <v>20</v>
      </c>
      <c r="B28" s="1021">
        <v>16</v>
      </c>
      <c r="C28" s="330" t="s">
        <v>25</v>
      </c>
      <c r="D28" s="339">
        <v>1.028</v>
      </c>
      <c r="E28" s="323">
        <f>'[1]road inventory 2018'!C29</f>
        <v>1</v>
      </c>
      <c r="F28" s="1046">
        <v>0</v>
      </c>
      <c r="G28" s="323">
        <v>0</v>
      </c>
      <c r="H28" s="323">
        <v>0</v>
      </c>
      <c r="I28" s="323">
        <f t="shared" si="0"/>
        <v>1.028</v>
      </c>
      <c r="J28" s="325" t="s">
        <v>12</v>
      </c>
      <c r="K28" s="323"/>
      <c r="L28" s="323"/>
      <c r="M28" s="323"/>
      <c r="N28" s="326"/>
      <c r="O28" s="363"/>
      <c r="P28" s="328"/>
      <c r="Q28" s="951"/>
      <c r="S28" s="331"/>
    </row>
    <row r="29" spans="1:19" ht="20.149999999999999" customHeight="1" x14ac:dyDescent="0.35">
      <c r="A29" s="329">
        <v>21</v>
      </c>
      <c r="B29" s="1021">
        <v>17</v>
      </c>
      <c r="C29" s="330" t="s">
        <v>216</v>
      </c>
      <c r="D29" s="339">
        <v>4</v>
      </c>
      <c r="E29" s="323">
        <f>'[1]road inventory 2018'!C30</f>
        <v>4</v>
      </c>
      <c r="F29" s="1046">
        <v>4</v>
      </c>
      <c r="G29" s="323">
        <v>0</v>
      </c>
      <c r="H29" s="323">
        <v>0</v>
      </c>
      <c r="I29" s="323">
        <f t="shared" si="0"/>
        <v>0</v>
      </c>
      <c r="J29" s="325" t="s">
        <v>10</v>
      </c>
      <c r="K29" s="323"/>
      <c r="L29" s="323"/>
      <c r="M29" s="323"/>
      <c r="N29" s="326"/>
      <c r="O29" s="363"/>
      <c r="P29" s="328"/>
      <c r="Q29" s="951"/>
      <c r="S29" s="331"/>
    </row>
    <row r="30" spans="1:19" ht="20.149999999999999" customHeight="1" x14ac:dyDescent="0.35">
      <c r="A30" s="329">
        <v>22</v>
      </c>
      <c r="B30" s="1021">
        <v>18</v>
      </c>
      <c r="C30" s="330" t="s">
        <v>27</v>
      </c>
      <c r="D30" s="339">
        <v>10.58</v>
      </c>
      <c r="E30" s="323">
        <f>'[1]road inventory 2018'!C31</f>
        <v>10.5</v>
      </c>
      <c r="F30" s="1046">
        <v>10.58</v>
      </c>
      <c r="G30" s="323">
        <v>0</v>
      </c>
      <c r="H30" s="323">
        <v>0</v>
      </c>
      <c r="I30" s="323">
        <f t="shared" si="0"/>
        <v>0</v>
      </c>
      <c r="J30" s="325" t="s">
        <v>12</v>
      </c>
      <c r="K30" s="323"/>
      <c r="L30" s="323"/>
      <c r="M30" s="323"/>
      <c r="N30" s="326"/>
      <c r="O30" s="363"/>
      <c r="P30" s="328"/>
      <c r="Q30" s="951"/>
      <c r="S30" s="331"/>
    </row>
    <row r="31" spans="1:19" ht="20.149999999999999" customHeight="1" x14ac:dyDescent="0.35">
      <c r="A31" s="329">
        <v>23</v>
      </c>
      <c r="B31" s="1021">
        <v>221</v>
      </c>
      <c r="C31" s="330" t="s">
        <v>219</v>
      </c>
      <c r="D31" s="339">
        <v>4.07</v>
      </c>
      <c r="E31" s="323">
        <f>'[1]road inventory 2018'!C32</f>
        <v>5.2</v>
      </c>
      <c r="F31" s="1046">
        <v>1.56</v>
      </c>
      <c r="G31" s="323">
        <v>0</v>
      </c>
      <c r="H31" s="323">
        <v>0</v>
      </c>
      <c r="I31" s="323">
        <f t="shared" si="0"/>
        <v>2.5100000000000002</v>
      </c>
      <c r="J31" s="325" t="s">
        <v>12</v>
      </c>
      <c r="K31" s="323"/>
      <c r="L31" s="323"/>
      <c r="M31" s="323"/>
      <c r="N31" s="326"/>
      <c r="O31" s="363"/>
      <c r="P31" s="328"/>
      <c r="Q31" s="951"/>
      <c r="S31" s="331"/>
    </row>
    <row r="32" spans="1:19" ht="20.149999999999999" customHeight="1" x14ac:dyDescent="0.35">
      <c r="A32" s="329">
        <v>24</v>
      </c>
      <c r="B32" s="1021">
        <v>20</v>
      </c>
      <c r="C32" s="330" t="s">
        <v>208</v>
      </c>
      <c r="D32" s="339">
        <v>7.6680000000000001</v>
      </c>
      <c r="E32" s="323">
        <f>'[1]road inventory 2018'!C33</f>
        <v>7.6</v>
      </c>
      <c r="F32" s="1046">
        <f>6.73+0.938</f>
        <v>7.6680000000000001</v>
      </c>
      <c r="G32" s="323">
        <v>0</v>
      </c>
      <c r="H32" s="323">
        <v>0</v>
      </c>
      <c r="I32" s="323">
        <f>D32-F32-G32-H32</f>
        <v>0</v>
      </c>
      <c r="J32" s="325" t="s">
        <v>10</v>
      </c>
      <c r="K32" s="323"/>
      <c r="L32" s="323"/>
      <c r="M32" s="323"/>
      <c r="N32" s="326"/>
      <c r="O32" s="363"/>
      <c r="P32" s="328"/>
      <c r="Q32" s="331"/>
    </row>
    <row r="33" spans="1:17" s="317" customFormat="1" ht="20.149999999999999" customHeight="1" x14ac:dyDescent="0.35">
      <c r="B33" s="977"/>
      <c r="C33" s="978" t="s">
        <v>341</v>
      </c>
      <c r="D33" s="979">
        <f t="shared" ref="D33:I33" si="1">SUM(D9:D32)</f>
        <v>96.916000000000025</v>
      </c>
      <c r="E33" s="980">
        <f t="shared" si="1"/>
        <v>98.550000000000011</v>
      </c>
      <c r="F33" s="1077">
        <f t="shared" si="1"/>
        <v>72.160000000000011</v>
      </c>
      <c r="G33" s="980">
        <f t="shared" si="1"/>
        <v>0</v>
      </c>
      <c r="H33" s="980">
        <f t="shared" si="1"/>
        <v>0</v>
      </c>
      <c r="I33" s="980">
        <f t="shared" si="1"/>
        <v>24.756</v>
      </c>
      <c r="J33" s="981"/>
      <c r="K33" s="980"/>
      <c r="L33" s="980"/>
      <c r="M33" s="980"/>
      <c r="N33" s="372"/>
      <c r="O33" s="453"/>
      <c r="P33" s="377"/>
      <c r="Q33" s="320"/>
    </row>
    <row r="34" spans="1:17" ht="20.149999999999999" customHeight="1" x14ac:dyDescent="0.35">
      <c r="B34" s="321"/>
      <c r="C34" s="330"/>
      <c r="D34" s="330"/>
      <c r="E34" s="323"/>
      <c r="F34" s="1046"/>
      <c r="G34" s="323"/>
      <c r="H34" s="1138">
        <f>H33+I33</f>
        <v>24.756</v>
      </c>
      <c r="I34" s="1139"/>
      <c r="J34" s="325"/>
      <c r="K34" s="323"/>
      <c r="L34" s="323"/>
      <c r="M34" s="323"/>
      <c r="N34" s="326"/>
      <c r="O34" s="363"/>
      <c r="P34" s="328"/>
      <c r="Q34" s="331"/>
    </row>
    <row r="35" spans="1:17" ht="20.149999999999999" customHeight="1" x14ac:dyDescent="0.35">
      <c r="B35" s="990" t="s">
        <v>455</v>
      </c>
      <c r="C35" s="991"/>
      <c r="D35" s="991"/>
      <c r="E35" s="991"/>
      <c r="F35" s="1078"/>
      <c r="G35" s="991"/>
      <c r="H35" s="991"/>
      <c r="I35" s="991"/>
      <c r="J35" s="992"/>
      <c r="K35" s="985"/>
      <c r="L35" s="985"/>
      <c r="M35" s="989"/>
      <c r="N35" s="329"/>
      <c r="O35" s="363"/>
      <c r="P35" s="328"/>
    </row>
    <row r="36" spans="1:17" ht="20.149999999999999" customHeight="1" x14ac:dyDescent="0.35">
      <c r="A36" s="329">
        <v>1</v>
      </c>
      <c r="B36" s="1021">
        <v>91</v>
      </c>
      <c r="C36" s="335" t="s">
        <v>62</v>
      </c>
      <c r="D36" s="339">
        <v>10.808999999999999</v>
      </c>
      <c r="E36" s="323">
        <f>'[1]road inventory 2018'!C169</f>
        <v>12.9</v>
      </c>
      <c r="F36" s="1046">
        <v>10.311</v>
      </c>
      <c r="G36" s="323">
        <v>0</v>
      </c>
      <c r="H36" s="323">
        <v>0</v>
      </c>
      <c r="I36" s="323">
        <f>D36-F36-G36-H36</f>
        <v>0.49799999999999933</v>
      </c>
      <c r="J36" s="325" t="s">
        <v>12</v>
      </c>
      <c r="K36" s="323"/>
      <c r="L36" s="323"/>
      <c r="M36" s="323"/>
      <c r="N36" s="326"/>
      <c r="O36" s="363"/>
      <c r="P36" s="328"/>
    </row>
    <row r="37" spans="1:17" ht="20.149999999999999" customHeight="1" x14ac:dyDescent="0.35">
      <c r="A37" s="329">
        <v>2</v>
      </c>
      <c r="B37" s="1021">
        <v>92</v>
      </c>
      <c r="C37" s="335" t="s">
        <v>457</v>
      </c>
      <c r="D37" s="339">
        <v>8.0670000000000002</v>
      </c>
      <c r="E37" s="323">
        <f>'[1]road inventory 2018'!C170</f>
        <v>5.6</v>
      </c>
      <c r="F37" s="1046">
        <v>8.0670000000000002</v>
      </c>
      <c r="G37" s="323">
        <v>0</v>
      </c>
      <c r="H37" s="323">
        <v>0</v>
      </c>
      <c r="I37" s="323">
        <f>D37-F37-G37-H37</f>
        <v>0</v>
      </c>
      <c r="J37" s="325" t="s">
        <v>12</v>
      </c>
      <c r="K37" s="323"/>
      <c r="L37" s="323"/>
      <c r="M37" s="323"/>
      <c r="N37" s="325"/>
      <c r="O37" s="363"/>
      <c r="P37" s="328"/>
    </row>
    <row r="38" spans="1:17" s="317" customFormat="1" ht="20.149999999999999" customHeight="1" x14ac:dyDescent="0.35">
      <c r="B38" s="977"/>
      <c r="C38" s="978" t="s">
        <v>341</v>
      </c>
      <c r="D38" s="979">
        <f t="shared" ref="D38:I38" si="2">SUM(D36:D37)</f>
        <v>18.875999999999998</v>
      </c>
      <c r="E38" s="980">
        <f t="shared" si="2"/>
        <v>18.5</v>
      </c>
      <c r="F38" s="1077">
        <f t="shared" si="2"/>
        <v>18.378</v>
      </c>
      <c r="G38" s="980">
        <f t="shared" si="2"/>
        <v>0</v>
      </c>
      <c r="H38" s="980">
        <f t="shared" si="2"/>
        <v>0</v>
      </c>
      <c r="I38" s="980">
        <f t="shared" si="2"/>
        <v>0.49799999999999933</v>
      </c>
      <c r="J38" s="981"/>
      <c r="K38" s="980"/>
      <c r="L38" s="980"/>
      <c r="M38" s="980"/>
      <c r="N38" s="372"/>
      <c r="O38" s="453"/>
      <c r="P38" s="377"/>
      <c r="Q38" s="320"/>
    </row>
    <row r="39" spans="1:17" ht="20.149999999999999" customHeight="1" x14ac:dyDescent="0.35">
      <c r="B39" s="321"/>
      <c r="C39" s="330"/>
      <c r="D39" s="330"/>
      <c r="E39" s="323"/>
      <c r="F39" s="1046"/>
      <c r="G39" s="323"/>
      <c r="H39" s="1138">
        <f>H38+I38</f>
        <v>0.49799999999999933</v>
      </c>
      <c r="I39" s="1139"/>
      <c r="J39" s="325"/>
      <c r="K39" s="323"/>
      <c r="L39" s="323"/>
      <c r="M39" s="323"/>
      <c r="N39" s="326"/>
      <c r="O39" s="363"/>
      <c r="P39" s="328"/>
      <c r="Q39" s="331"/>
    </row>
    <row r="40" spans="1:17" ht="20.149999999999999" customHeight="1" x14ac:dyDescent="0.35">
      <c r="B40" s="986" t="s">
        <v>441</v>
      </c>
      <c r="C40" s="987"/>
      <c r="D40" s="987"/>
      <c r="E40" s="985"/>
      <c r="F40" s="1079"/>
      <c r="G40" s="985"/>
      <c r="H40" s="985"/>
      <c r="I40" s="985"/>
      <c r="J40" s="988"/>
      <c r="K40" s="985"/>
      <c r="L40" s="985"/>
      <c r="M40" s="989"/>
      <c r="N40" s="388"/>
      <c r="O40" s="454"/>
      <c r="P40" s="387"/>
    </row>
    <row r="41" spans="1:17" ht="20.149999999999999" customHeight="1" x14ac:dyDescent="0.35">
      <c r="A41" s="329">
        <v>1</v>
      </c>
      <c r="B41" s="1021">
        <v>95</v>
      </c>
      <c r="C41" s="335" t="s">
        <v>276</v>
      </c>
      <c r="D41" s="339">
        <v>2.0249999999999999</v>
      </c>
      <c r="E41" s="323">
        <v>2</v>
      </c>
      <c r="F41" s="1046">
        <v>1.018</v>
      </c>
      <c r="G41" s="323">
        <v>0</v>
      </c>
      <c r="H41" s="323">
        <v>0</v>
      </c>
      <c r="I41" s="323">
        <f t="shared" ref="I41:I55" si="3">D41-F41-G41-H41</f>
        <v>1.0069999999999999</v>
      </c>
      <c r="J41" s="325" t="s">
        <v>12</v>
      </c>
      <c r="K41" s="323"/>
      <c r="L41" s="323"/>
      <c r="M41" s="323"/>
      <c r="N41" s="326"/>
      <c r="O41" s="350"/>
      <c r="P41" s="328"/>
    </row>
    <row r="42" spans="1:17" ht="20.149999999999999" customHeight="1" x14ac:dyDescent="0.35">
      <c r="A42" s="329">
        <v>2</v>
      </c>
      <c r="B42" s="1021"/>
      <c r="C42" s="335" t="s">
        <v>861</v>
      </c>
      <c r="D42" s="339">
        <v>1.07</v>
      </c>
      <c r="E42" s="323">
        <v>1</v>
      </c>
      <c r="F42" s="1046">
        <v>0.28999999999999998</v>
      </c>
      <c r="G42" s="323">
        <v>0</v>
      </c>
      <c r="H42" s="323">
        <v>0</v>
      </c>
      <c r="I42" s="323">
        <f t="shared" si="3"/>
        <v>0.78</v>
      </c>
      <c r="J42" s="325" t="s">
        <v>33</v>
      </c>
      <c r="K42" s="323"/>
      <c r="L42" s="323"/>
      <c r="M42" s="323"/>
      <c r="N42" s="326"/>
      <c r="O42" s="350"/>
      <c r="P42" s="328"/>
    </row>
    <row r="43" spans="1:17" ht="20.149999999999999" customHeight="1" x14ac:dyDescent="0.35">
      <c r="A43" s="329">
        <v>3</v>
      </c>
      <c r="B43" s="1021">
        <v>77</v>
      </c>
      <c r="C43" s="941" t="s">
        <v>271</v>
      </c>
      <c r="D43" s="339">
        <v>0.7</v>
      </c>
      <c r="E43" s="323">
        <f>'[1]road inventory 2018'!C150</f>
        <v>0.7</v>
      </c>
      <c r="F43" s="1046">
        <v>0.7</v>
      </c>
      <c r="G43" s="323">
        <v>0</v>
      </c>
      <c r="H43" s="323">
        <v>0</v>
      </c>
      <c r="I43" s="323">
        <f t="shared" si="3"/>
        <v>0</v>
      </c>
      <c r="J43" s="325" t="s">
        <v>10</v>
      </c>
      <c r="K43" s="323"/>
      <c r="L43" s="323"/>
      <c r="M43" s="323"/>
      <c r="N43" s="326"/>
      <c r="O43" s="350"/>
      <c r="P43" s="328"/>
    </row>
    <row r="44" spans="1:17" ht="20.149999999999999" customHeight="1" x14ac:dyDescent="0.35">
      <c r="A44" s="329">
        <v>4</v>
      </c>
      <c r="B44" s="1021">
        <v>94</v>
      </c>
      <c r="C44" s="335" t="s">
        <v>278</v>
      </c>
      <c r="D44" s="339">
        <v>0.63400000000000001</v>
      </c>
      <c r="E44" s="323">
        <f>'[1]road inventory 2018'!C151</f>
        <v>0.6</v>
      </c>
      <c r="F44" s="1046">
        <v>0</v>
      </c>
      <c r="G44" s="323">
        <v>0</v>
      </c>
      <c r="H44" s="323">
        <v>0</v>
      </c>
      <c r="I44" s="323">
        <f t="shared" si="3"/>
        <v>0.63400000000000001</v>
      </c>
      <c r="J44" s="325" t="s">
        <v>12</v>
      </c>
      <c r="K44" s="323"/>
      <c r="L44" s="323"/>
      <c r="M44" s="323"/>
      <c r="N44" s="326"/>
      <c r="O44" s="350"/>
      <c r="P44" s="328"/>
    </row>
    <row r="45" spans="1:17" ht="19.5" customHeight="1" x14ac:dyDescent="0.35">
      <c r="A45" s="329">
        <v>5</v>
      </c>
      <c r="B45" s="1021">
        <v>78</v>
      </c>
      <c r="C45" s="335" t="s">
        <v>277</v>
      </c>
      <c r="D45" s="339">
        <v>3.91</v>
      </c>
      <c r="E45" s="323">
        <f>'[1]road inventory 2018'!C152</f>
        <v>3.8</v>
      </c>
      <c r="F45" s="1046">
        <v>0.70799999999999996</v>
      </c>
      <c r="G45" s="323">
        <v>0</v>
      </c>
      <c r="H45" s="323">
        <v>0</v>
      </c>
      <c r="I45" s="323">
        <f t="shared" si="3"/>
        <v>3.202</v>
      </c>
      <c r="J45" s="325" t="s">
        <v>12</v>
      </c>
      <c r="K45" s="323"/>
      <c r="L45" s="323"/>
      <c r="M45" s="323"/>
      <c r="N45" s="326"/>
      <c r="O45" s="350"/>
      <c r="P45" s="328"/>
    </row>
    <row r="46" spans="1:17" ht="20.149999999999999" customHeight="1" x14ac:dyDescent="0.35">
      <c r="A46" s="329">
        <v>6</v>
      </c>
      <c r="B46" s="1021">
        <v>79</v>
      </c>
      <c r="C46" s="335" t="s">
        <v>272</v>
      </c>
      <c r="D46" s="339">
        <v>1.9430000000000001</v>
      </c>
      <c r="E46" s="323">
        <f>'[1]road inventory 2018'!C153</f>
        <v>1.9000000000000001</v>
      </c>
      <c r="F46" s="1046">
        <v>0.12</v>
      </c>
      <c r="G46" s="323">
        <v>0</v>
      </c>
      <c r="H46" s="323">
        <v>0</v>
      </c>
      <c r="I46" s="323">
        <f t="shared" si="3"/>
        <v>1.823</v>
      </c>
      <c r="J46" s="325" t="s">
        <v>33</v>
      </c>
      <c r="K46" s="323"/>
      <c r="L46" s="323"/>
      <c r="M46" s="323"/>
      <c r="N46" s="326"/>
      <c r="O46" s="350"/>
      <c r="P46" s="328"/>
    </row>
    <row r="47" spans="1:17" ht="20.149999999999999" customHeight="1" x14ac:dyDescent="0.35">
      <c r="A47" s="329">
        <v>7</v>
      </c>
      <c r="B47" s="1021">
        <v>80</v>
      </c>
      <c r="C47" s="335" t="s">
        <v>282</v>
      </c>
      <c r="D47" s="339">
        <v>15.714</v>
      </c>
      <c r="E47" s="323">
        <f>'[1]road inventory 2018'!C154</f>
        <v>15.7</v>
      </c>
      <c r="F47" s="1046">
        <v>2.57</v>
      </c>
      <c r="G47" s="323">
        <v>0</v>
      </c>
      <c r="H47" s="323">
        <v>0</v>
      </c>
      <c r="I47" s="323">
        <f t="shared" si="3"/>
        <v>13.144</v>
      </c>
      <c r="J47" s="325" t="s">
        <v>12</v>
      </c>
      <c r="K47" s="323"/>
      <c r="L47" s="323"/>
      <c r="M47" s="323"/>
      <c r="N47" s="326"/>
      <c r="O47" s="350"/>
      <c r="P47" s="328"/>
    </row>
    <row r="48" spans="1:17" ht="20.149999999999999" customHeight="1" x14ac:dyDescent="0.35">
      <c r="A48" s="329">
        <v>8</v>
      </c>
      <c r="B48" s="1021">
        <v>81</v>
      </c>
      <c r="C48" s="335" t="s">
        <v>279</v>
      </c>
      <c r="D48" s="339">
        <v>3.9</v>
      </c>
      <c r="E48" s="323">
        <f>'[1]road inventory 2018'!C155</f>
        <v>3.8</v>
      </c>
      <c r="F48" s="1046">
        <f>0.23+3.33</f>
        <v>3.56</v>
      </c>
      <c r="G48" s="323">
        <v>0</v>
      </c>
      <c r="H48" s="323">
        <v>0</v>
      </c>
      <c r="I48" s="323">
        <f t="shared" si="3"/>
        <v>0.33999999999999986</v>
      </c>
      <c r="J48" s="325" t="s">
        <v>33</v>
      </c>
      <c r="K48" s="323"/>
      <c r="L48" s="323"/>
      <c r="M48" s="323"/>
      <c r="N48" s="326"/>
      <c r="O48" s="350"/>
      <c r="P48" s="328"/>
    </row>
    <row r="49" spans="1:17" ht="19.5" customHeight="1" x14ac:dyDescent="0.35">
      <c r="A49" s="329">
        <v>9</v>
      </c>
      <c r="B49" s="1021">
        <v>82</v>
      </c>
      <c r="C49" s="335" t="s">
        <v>859</v>
      </c>
      <c r="D49" s="339">
        <v>5.42</v>
      </c>
      <c r="E49" s="323">
        <f>'[1]road inventory 2018'!C156</f>
        <v>5.4</v>
      </c>
      <c r="F49" s="1046">
        <f>3.12</f>
        <v>3.12</v>
      </c>
      <c r="G49" s="323">
        <v>0</v>
      </c>
      <c r="H49" s="323">
        <v>0.40400000000000003</v>
      </c>
      <c r="I49" s="323">
        <f t="shared" si="3"/>
        <v>1.8959999999999999</v>
      </c>
      <c r="J49" s="325" t="s">
        <v>10</v>
      </c>
      <c r="K49" s="323"/>
      <c r="L49" s="323"/>
      <c r="M49" s="323"/>
      <c r="N49" s="326"/>
      <c r="O49" s="350"/>
      <c r="P49" s="328"/>
    </row>
    <row r="50" spans="1:17" ht="20.149999999999999" customHeight="1" x14ac:dyDescent="0.35">
      <c r="A50" s="329">
        <v>10</v>
      </c>
      <c r="B50" s="1021">
        <v>83</v>
      </c>
      <c r="C50" s="335" t="s">
        <v>58</v>
      </c>
      <c r="D50" s="339">
        <v>4.2640000000000002</v>
      </c>
      <c r="E50" s="323">
        <f>'[1]road inventory 2018'!C157</f>
        <v>4.2</v>
      </c>
      <c r="F50" s="1046">
        <f>0.328+0.091+0.13+0.039</f>
        <v>0.58800000000000008</v>
      </c>
      <c r="G50" s="323">
        <v>0</v>
      </c>
      <c r="H50" s="323">
        <v>0</v>
      </c>
      <c r="I50" s="323">
        <f t="shared" si="3"/>
        <v>3.6760000000000002</v>
      </c>
      <c r="J50" s="325" t="s">
        <v>12</v>
      </c>
      <c r="K50" s="323"/>
      <c r="L50" s="323"/>
      <c r="M50" s="323"/>
      <c r="N50" s="326"/>
      <c r="O50" s="350"/>
      <c r="P50" s="328"/>
    </row>
    <row r="51" spans="1:17" ht="20.149999999999999" customHeight="1" x14ac:dyDescent="0.35">
      <c r="A51" s="329">
        <v>11</v>
      </c>
      <c r="B51" s="1021">
        <v>84</v>
      </c>
      <c r="C51" s="335" t="s">
        <v>274</v>
      </c>
      <c r="D51" s="339">
        <v>1.1140000000000001</v>
      </c>
      <c r="E51" s="323">
        <v>1.1000000000000001</v>
      </c>
      <c r="F51" s="1046">
        <v>0.86</v>
      </c>
      <c r="G51" s="323">
        <v>0</v>
      </c>
      <c r="H51" s="323">
        <v>0</v>
      </c>
      <c r="I51" s="323">
        <f t="shared" si="3"/>
        <v>0.25400000000000011</v>
      </c>
      <c r="J51" s="325" t="s">
        <v>12</v>
      </c>
      <c r="K51" s="323"/>
      <c r="L51" s="323"/>
      <c r="M51" s="323"/>
      <c r="N51" s="326"/>
      <c r="O51" s="350"/>
      <c r="P51" s="328"/>
    </row>
    <row r="52" spans="1:17" ht="20.149999999999999" customHeight="1" x14ac:dyDescent="0.35">
      <c r="A52" s="329">
        <v>12</v>
      </c>
      <c r="B52" s="1021">
        <v>85</v>
      </c>
      <c r="C52" s="335" t="s">
        <v>281</v>
      </c>
      <c r="D52" s="339">
        <v>2.851</v>
      </c>
      <c r="E52" s="323">
        <f>'[1]road inventory 2018'!C159</f>
        <v>2.8</v>
      </c>
      <c r="F52" s="1046">
        <v>0</v>
      </c>
      <c r="G52" s="323">
        <v>0</v>
      </c>
      <c r="H52" s="323">
        <v>0</v>
      </c>
      <c r="I52" s="323">
        <f t="shared" si="3"/>
        <v>2.851</v>
      </c>
      <c r="J52" s="325" t="s">
        <v>12</v>
      </c>
      <c r="K52" s="323"/>
      <c r="L52" s="323"/>
      <c r="M52" s="323"/>
      <c r="N52" s="326"/>
      <c r="O52" s="350"/>
      <c r="P52" s="328"/>
    </row>
    <row r="53" spans="1:17" ht="20.149999999999999" customHeight="1" x14ac:dyDescent="0.35">
      <c r="A53" s="329">
        <v>13</v>
      </c>
      <c r="B53" s="1021">
        <v>86</v>
      </c>
      <c r="C53" s="335" t="s">
        <v>275</v>
      </c>
      <c r="D53" s="339">
        <v>2.64</v>
      </c>
      <c r="E53" s="323">
        <f>'[1]road inventory 2018'!C160</f>
        <v>2.5</v>
      </c>
      <c r="F53" s="1046">
        <v>0</v>
      </c>
      <c r="G53" s="323">
        <v>0</v>
      </c>
      <c r="H53" s="323">
        <v>2.5</v>
      </c>
      <c r="I53" s="323">
        <f t="shared" si="3"/>
        <v>0.14000000000000012</v>
      </c>
      <c r="J53" s="325" t="s">
        <v>41</v>
      </c>
      <c r="K53" s="323"/>
      <c r="L53" s="323"/>
      <c r="M53" s="323"/>
      <c r="N53" s="326"/>
      <c r="O53" s="350"/>
      <c r="P53" s="328"/>
    </row>
    <row r="54" spans="1:17" ht="20.149999999999999" customHeight="1" x14ac:dyDescent="0.35">
      <c r="A54" s="329">
        <v>14</v>
      </c>
      <c r="B54" s="1021">
        <v>87</v>
      </c>
      <c r="C54" s="335" t="s">
        <v>273</v>
      </c>
      <c r="D54" s="339">
        <v>0.60799999999999998</v>
      </c>
      <c r="E54" s="323">
        <v>0.5</v>
      </c>
      <c r="F54" s="1046">
        <v>0</v>
      </c>
      <c r="G54" s="323">
        <v>0</v>
      </c>
      <c r="H54" s="323">
        <v>0</v>
      </c>
      <c r="I54" s="323">
        <f t="shared" si="3"/>
        <v>0.60799999999999998</v>
      </c>
      <c r="J54" s="325" t="s">
        <v>12</v>
      </c>
      <c r="K54" s="323"/>
      <c r="L54" s="323"/>
      <c r="M54" s="323"/>
      <c r="N54" s="326"/>
      <c r="O54" s="350"/>
      <c r="P54" s="328"/>
    </row>
    <row r="55" spans="1:17" ht="20.149999999999999" customHeight="1" x14ac:dyDescent="0.35">
      <c r="A55" s="329">
        <v>15</v>
      </c>
      <c r="B55" s="1021">
        <v>88</v>
      </c>
      <c r="C55" s="335" t="s">
        <v>280</v>
      </c>
      <c r="D55" s="339">
        <v>3.25</v>
      </c>
      <c r="E55" s="323">
        <f>'[1]road inventory 2018'!C162</f>
        <v>3.2</v>
      </c>
      <c r="F55" s="1046">
        <v>0</v>
      </c>
      <c r="G55" s="323">
        <v>0</v>
      </c>
      <c r="H55" s="323">
        <v>0</v>
      </c>
      <c r="I55" s="323">
        <f t="shared" si="3"/>
        <v>3.25</v>
      </c>
      <c r="J55" s="325" t="s">
        <v>41</v>
      </c>
      <c r="K55" s="323"/>
      <c r="L55" s="323"/>
      <c r="M55" s="323"/>
      <c r="N55" s="326"/>
      <c r="O55" s="350"/>
      <c r="P55" s="328"/>
    </row>
    <row r="56" spans="1:17" s="317" customFormat="1" ht="20.149999999999999" customHeight="1" x14ac:dyDescent="0.35">
      <c r="B56" s="977"/>
      <c r="C56" s="978" t="s">
        <v>341</v>
      </c>
      <c r="D56" s="979">
        <f t="shared" ref="D56:I56" si="4">SUM(D41:D55)</f>
        <v>50.042999999999999</v>
      </c>
      <c r="E56" s="980">
        <f t="shared" si="4"/>
        <v>49.2</v>
      </c>
      <c r="F56" s="1077">
        <f>SUM(F41:F55)</f>
        <v>13.534000000000002</v>
      </c>
      <c r="G56" s="980">
        <f t="shared" si="4"/>
        <v>0</v>
      </c>
      <c r="H56" s="980">
        <f>SUM(H41:H55)</f>
        <v>2.9039999999999999</v>
      </c>
      <c r="I56" s="980">
        <f t="shared" si="4"/>
        <v>33.605000000000004</v>
      </c>
      <c r="J56" s="981"/>
      <c r="K56" s="985"/>
      <c r="L56" s="985"/>
      <c r="M56" s="985"/>
      <c r="N56" s="372"/>
      <c r="O56" s="453"/>
      <c r="P56" s="377"/>
      <c r="Q56" s="320"/>
    </row>
    <row r="57" spans="1:17" s="317" customFormat="1" ht="20.149999999999999" customHeight="1" x14ac:dyDescent="0.35">
      <c r="B57" s="357"/>
      <c r="C57" s="322"/>
      <c r="D57" s="950"/>
      <c r="E57" s="324"/>
      <c r="F57" s="1080"/>
      <c r="G57" s="324"/>
      <c r="H57" s="1138">
        <f>H56+I56</f>
        <v>36.509</v>
      </c>
      <c r="I57" s="1139"/>
      <c r="J57" s="358"/>
      <c r="K57" s="375"/>
      <c r="L57" s="375"/>
      <c r="M57" s="976"/>
      <c r="N57" s="401"/>
      <c r="O57" s="453"/>
      <c r="P57" s="377"/>
      <c r="Q57" s="320"/>
    </row>
    <row r="58" spans="1:17" ht="20.149999999999999" customHeight="1" x14ac:dyDescent="0.35">
      <c r="B58" s="986" t="s">
        <v>411</v>
      </c>
      <c r="C58" s="987"/>
      <c r="D58" s="987"/>
      <c r="E58" s="985"/>
      <c r="F58" s="1079"/>
      <c r="G58" s="985"/>
      <c r="H58" s="985"/>
      <c r="I58" s="985"/>
      <c r="J58" s="988"/>
      <c r="K58" s="985"/>
      <c r="L58" s="985"/>
      <c r="M58" s="989"/>
      <c r="N58" s="388"/>
      <c r="O58" s="454"/>
      <c r="P58" s="387"/>
    </row>
    <row r="59" spans="1:17" ht="20.149999999999999" customHeight="1" x14ac:dyDescent="0.35">
      <c r="A59" s="329">
        <v>1</v>
      </c>
      <c r="B59" s="1021">
        <v>48</v>
      </c>
      <c r="C59" s="335" t="s">
        <v>254</v>
      </c>
      <c r="D59" s="339">
        <v>2.2290000000000001</v>
      </c>
      <c r="E59" s="323">
        <f>D59</f>
        <v>2.2290000000000001</v>
      </c>
      <c r="F59" s="1046">
        <v>0</v>
      </c>
      <c r="G59" s="323">
        <v>0</v>
      </c>
      <c r="H59" s="323">
        <v>0</v>
      </c>
      <c r="I59" s="323">
        <f t="shared" ref="I59:I90" si="5">D59-F59-G59-H59</f>
        <v>2.2290000000000001</v>
      </c>
      <c r="J59" s="325" t="s">
        <v>33</v>
      </c>
      <c r="K59" s="323"/>
      <c r="L59" s="323"/>
      <c r="M59" s="323"/>
      <c r="N59" s="326"/>
      <c r="O59" s="350"/>
      <c r="P59" s="328"/>
    </row>
    <row r="60" spans="1:17" ht="20.149999999999999" customHeight="1" x14ac:dyDescent="0.35">
      <c r="A60" s="329">
        <v>2</v>
      </c>
      <c r="B60" s="1021">
        <v>50</v>
      </c>
      <c r="C60" s="335" t="s">
        <v>255</v>
      </c>
      <c r="D60" s="339">
        <v>7.73</v>
      </c>
      <c r="E60" s="323">
        <f>D60</f>
        <v>7.73</v>
      </c>
      <c r="F60" s="1046">
        <v>1.6</v>
      </c>
      <c r="G60" s="323">
        <v>0</v>
      </c>
      <c r="H60" s="323">
        <v>0</v>
      </c>
      <c r="I60" s="323">
        <f t="shared" si="5"/>
        <v>6.1300000000000008</v>
      </c>
      <c r="J60" s="325" t="s">
        <v>41</v>
      </c>
      <c r="K60" s="323"/>
      <c r="L60" s="323"/>
      <c r="M60" s="323"/>
      <c r="N60" s="326"/>
      <c r="O60" s="350"/>
      <c r="P60" s="328"/>
    </row>
    <row r="61" spans="1:17" ht="20.149999999999999" customHeight="1" x14ac:dyDescent="0.35">
      <c r="A61" s="329">
        <v>3</v>
      </c>
      <c r="B61" s="1021">
        <v>51</v>
      </c>
      <c r="C61" s="335" t="s">
        <v>248</v>
      </c>
      <c r="D61" s="339">
        <v>2.9510000000000001</v>
      </c>
      <c r="E61" s="323">
        <f>D61</f>
        <v>2.9510000000000001</v>
      </c>
      <c r="F61" s="1046">
        <v>0</v>
      </c>
      <c r="G61" s="323">
        <v>0</v>
      </c>
      <c r="H61" s="323">
        <v>0</v>
      </c>
      <c r="I61" s="323">
        <f t="shared" si="5"/>
        <v>2.9510000000000001</v>
      </c>
      <c r="J61" s="325" t="s">
        <v>12</v>
      </c>
      <c r="K61" s="323"/>
      <c r="L61" s="323"/>
      <c r="M61" s="323"/>
      <c r="N61" s="326"/>
      <c r="O61" s="350"/>
      <c r="P61" s="328"/>
    </row>
    <row r="62" spans="1:17" ht="20.149999999999999" customHeight="1" x14ac:dyDescent="0.35">
      <c r="A62" s="329">
        <v>4</v>
      </c>
      <c r="B62" s="1021">
        <v>52</v>
      </c>
      <c r="C62" s="335" t="s">
        <v>251</v>
      </c>
      <c r="D62" s="339">
        <v>6.6669999999999998</v>
      </c>
      <c r="E62" s="323">
        <f>D62</f>
        <v>6.6669999999999998</v>
      </c>
      <c r="F62" s="1046">
        <v>0</v>
      </c>
      <c r="G62" s="323">
        <v>0</v>
      </c>
      <c r="H62" s="323">
        <v>0</v>
      </c>
      <c r="I62" s="323">
        <f t="shared" si="5"/>
        <v>6.6669999999999998</v>
      </c>
      <c r="J62" s="325" t="s">
        <v>12</v>
      </c>
      <c r="K62" s="323"/>
      <c r="L62" s="323"/>
      <c r="M62" s="323"/>
      <c r="N62" s="326"/>
      <c r="O62" s="350"/>
      <c r="P62" s="328"/>
    </row>
    <row r="63" spans="1:17" ht="20.149999999999999" customHeight="1" x14ac:dyDescent="0.35">
      <c r="A63" s="329">
        <v>5</v>
      </c>
      <c r="B63" s="1021">
        <v>53</v>
      </c>
      <c r="C63" s="335" t="s">
        <v>249</v>
      </c>
      <c r="D63" s="339">
        <v>6.5069999999999997</v>
      </c>
      <c r="E63" s="323">
        <f>D63</f>
        <v>6.5069999999999997</v>
      </c>
      <c r="F63" s="1046">
        <v>5.665</v>
      </c>
      <c r="G63" s="323">
        <v>0</v>
      </c>
      <c r="H63" s="323">
        <v>0</v>
      </c>
      <c r="I63" s="323">
        <f t="shared" si="5"/>
        <v>0.84199999999999964</v>
      </c>
      <c r="J63" s="325" t="s">
        <v>10</v>
      </c>
      <c r="K63" s="323"/>
      <c r="L63" s="323"/>
      <c r="M63" s="323"/>
      <c r="N63" s="326"/>
      <c r="O63" s="350"/>
      <c r="P63" s="328"/>
    </row>
    <row r="64" spans="1:17" ht="20.149999999999999" customHeight="1" x14ac:dyDescent="0.35">
      <c r="A64" s="329">
        <v>6</v>
      </c>
      <c r="B64" s="1021">
        <v>54</v>
      </c>
      <c r="C64" s="335" t="s">
        <v>252</v>
      </c>
      <c r="D64" s="339">
        <v>1.7</v>
      </c>
      <c r="E64" s="323">
        <v>1.6</v>
      </c>
      <c r="F64" s="1046">
        <v>1.1779999999999999</v>
      </c>
      <c r="G64" s="323">
        <v>0</v>
      </c>
      <c r="H64" s="323">
        <v>0</v>
      </c>
      <c r="I64" s="323">
        <f t="shared" si="5"/>
        <v>0.52200000000000002</v>
      </c>
      <c r="J64" s="325" t="s">
        <v>10</v>
      </c>
      <c r="K64" s="323"/>
      <c r="L64" s="323"/>
      <c r="M64" s="323"/>
      <c r="N64" s="326"/>
      <c r="O64" s="350"/>
      <c r="P64" s="328"/>
    </row>
    <row r="65" spans="1:16" ht="20.149999999999999" customHeight="1" x14ac:dyDescent="0.35">
      <c r="A65" s="329">
        <v>7</v>
      </c>
      <c r="B65" s="1021">
        <v>103</v>
      </c>
      <c r="C65" s="335" t="s">
        <v>245</v>
      </c>
      <c r="D65" s="339">
        <v>1.2629999999999999</v>
      </c>
      <c r="E65" s="323">
        <f>D65</f>
        <v>1.2629999999999999</v>
      </c>
      <c r="F65" s="1046">
        <v>0.254</v>
      </c>
      <c r="G65" s="323">
        <v>0</v>
      </c>
      <c r="H65" s="323">
        <v>0</v>
      </c>
      <c r="I65" s="323">
        <f t="shared" si="5"/>
        <v>1.0089999999999999</v>
      </c>
      <c r="J65" s="325" t="s">
        <v>12</v>
      </c>
      <c r="K65" s="323"/>
      <c r="L65" s="323"/>
      <c r="M65" s="323"/>
      <c r="N65" s="326"/>
      <c r="O65" s="350"/>
      <c r="P65" s="328"/>
    </row>
    <row r="66" spans="1:16" ht="20.149999999999999" customHeight="1" x14ac:dyDescent="0.35">
      <c r="A66" s="329">
        <v>8</v>
      </c>
      <c r="B66" s="1021">
        <v>55</v>
      </c>
      <c r="C66" s="335" t="s">
        <v>244</v>
      </c>
      <c r="D66" s="339">
        <v>4.202</v>
      </c>
      <c r="E66" s="323">
        <f>D66</f>
        <v>4.202</v>
      </c>
      <c r="F66" s="1046">
        <v>0</v>
      </c>
      <c r="G66" s="323">
        <v>0</v>
      </c>
      <c r="H66" s="323">
        <v>0</v>
      </c>
      <c r="I66" s="323">
        <f t="shared" si="5"/>
        <v>4.202</v>
      </c>
      <c r="J66" s="325" t="s">
        <v>12</v>
      </c>
      <c r="K66" s="323"/>
      <c r="L66" s="323"/>
      <c r="M66" s="323"/>
      <c r="N66" s="326"/>
      <c r="O66" s="350"/>
      <c r="P66" s="328"/>
    </row>
    <row r="67" spans="1:16" ht="20.149999999999999" customHeight="1" x14ac:dyDescent="0.35">
      <c r="A67" s="329">
        <v>9</v>
      </c>
      <c r="B67" s="1021">
        <v>57</v>
      </c>
      <c r="C67" s="335" t="s">
        <v>268</v>
      </c>
      <c r="D67" s="339">
        <v>1.3</v>
      </c>
      <c r="E67" s="323">
        <v>1.3</v>
      </c>
      <c r="F67" s="1046">
        <v>0.30499999999999999</v>
      </c>
      <c r="G67" s="323">
        <v>0</v>
      </c>
      <c r="H67" s="323">
        <v>0</v>
      </c>
      <c r="I67" s="323">
        <f t="shared" si="5"/>
        <v>0.99500000000000011</v>
      </c>
      <c r="J67" s="325" t="s">
        <v>33</v>
      </c>
      <c r="K67" s="323"/>
      <c r="L67" s="323"/>
      <c r="M67" s="323"/>
      <c r="N67" s="326"/>
      <c r="O67" s="350"/>
      <c r="P67" s="328"/>
    </row>
    <row r="68" spans="1:16" ht="20.149999999999999" customHeight="1" x14ac:dyDescent="0.35">
      <c r="A68" s="329">
        <v>10</v>
      </c>
      <c r="B68" s="1021">
        <v>58</v>
      </c>
      <c r="C68" s="335" t="s">
        <v>421</v>
      </c>
      <c r="D68" s="339">
        <v>0.53500000000000003</v>
      </c>
      <c r="E68" s="323">
        <v>0.3</v>
      </c>
      <c r="F68" s="1046">
        <v>0</v>
      </c>
      <c r="G68" s="323">
        <v>0</v>
      </c>
      <c r="H68" s="323">
        <v>0</v>
      </c>
      <c r="I68" s="323">
        <f t="shared" si="5"/>
        <v>0.53500000000000003</v>
      </c>
      <c r="J68" s="325" t="s">
        <v>12</v>
      </c>
      <c r="K68" s="323"/>
      <c r="L68" s="323"/>
      <c r="M68" s="323"/>
      <c r="N68" s="326"/>
      <c r="O68" s="350"/>
      <c r="P68" s="328"/>
    </row>
    <row r="69" spans="1:16" ht="20.149999999999999" customHeight="1" x14ac:dyDescent="0.35">
      <c r="A69" s="329">
        <v>11</v>
      </c>
      <c r="B69" s="1021">
        <v>59</v>
      </c>
      <c r="C69" s="335" t="s">
        <v>262</v>
      </c>
      <c r="D69" s="339">
        <v>0.82399999999999995</v>
      </c>
      <c r="E69" s="323">
        <v>0.8</v>
      </c>
      <c r="F69" s="1046">
        <v>0</v>
      </c>
      <c r="G69" s="323">
        <v>0</v>
      </c>
      <c r="H69" s="323">
        <v>0</v>
      </c>
      <c r="I69" s="323">
        <f t="shared" si="5"/>
        <v>0.82399999999999995</v>
      </c>
      <c r="J69" s="325" t="s">
        <v>12</v>
      </c>
      <c r="K69" s="323"/>
      <c r="L69" s="323"/>
      <c r="M69" s="323"/>
      <c r="N69" s="326"/>
      <c r="O69" s="350"/>
      <c r="P69" s="328"/>
    </row>
    <row r="70" spans="1:16" ht="20.149999999999999" customHeight="1" x14ac:dyDescent="0.35">
      <c r="A70" s="329">
        <v>12</v>
      </c>
      <c r="B70" s="1021">
        <v>97</v>
      </c>
      <c r="C70" s="335" t="s">
        <v>51</v>
      </c>
      <c r="D70" s="339">
        <v>8.56</v>
      </c>
      <c r="E70" s="323">
        <f>D70</f>
        <v>8.56</v>
      </c>
      <c r="F70" s="1046">
        <v>8.56</v>
      </c>
      <c r="G70" s="323">
        <v>0</v>
      </c>
      <c r="H70" s="323">
        <v>0</v>
      </c>
      <c r="I70" s="323">
        <f t="shared" si="5"/>
        <v>0</v>
      </c>
      <c r="J70" s="325" t="s">
        <v>10</v>
      </c>
      <c r="K70" s="323"/>
      <c r="L70" s="323"/>
      <c r="M70" s="323"/>
      <c r="N70" s="326"/>
      <c r="O70" s="350"/>
      <c r="P70" s="328"/>
    </row>
    <row r="71" spans="1:16" ht="20.149999999999999" customHeight="1" x14ac:dyDescent="0.35">
      <c r="A71" s="329">
        <v>13</v>
      </c>
      <c r="B71" s="1021">
        <v>56</v>
      </c>
      <c r="C71" s="335" t="s">
        <v>250</v>
      </c>
      <c r="D71" s="339">
        <v>5.718</v>
      </c>
      <c r="E71" s="323">
        <f>D71</f>
        <v>5.718</v>
      </c>
      <c r="F71" s="1046">
        <v>1.8520000000000001</v>
      </c>
      <c r="G71" s="323">
        <v>0</v>
      </c>
      <c r="H71" s="323">
        <v>0</v>
      </c>
      <c r="I71" s="323">
        <f t="shared" si="5"/>
        <v>3.8659999999999997</v>
      </c>
      <c r="J71" s="325" t="s">
        <v>12</v>
      </c>
      <c r="K71" s="323"/>
      <c r="L71" s="323"/>
      <c r="M71" s="323"/>
      <c r="N71" s="326"/>
      <c r="O71" s="350"/>
      <c r="P71" s="328"/>
    </row>
    <row r="72" spans="1:16" ht="20.149999999999999" customHeight="1" x14ac:dyDescent="0.35">
      <c r="A72" s="329">
        <v>14</v>
      </c>
      <c r="B72" s="1021">
        <v>60</v>
      </c>
      <c r="C72" s="335" t="s">
        <v>253</v>
      </c>
      <c r="D72" s="339">
        <v>9.2170000000000005</v>
      </c>
      <c r="E72" s="323">
        <v>9.1999999999999993</v>
      </c>
      <c r="F72" s="1046">
        <v>8.7650000000000006</v>
      </c>
      <c r="G72" s="323">
        <v>0</v>
      </c>
      <c r="H72" s="323">
        <v>0</v>
      </c>
      <c r="I72" s="323">
        <f t="shared" si="5"/>
        <v>0.45199999999999996</v>
      </c>
      <c r="J72" s="325" t="s">
        <v>10</v>
      </c>
      <c r="K72" s="323"/>
      <c r="L72" s="323"/>
      <c r="M72" s="323"/>
      <c r="N72" s="326"/>
      <c r="O72" s="350"/>
      <c r="P72" s="328"/>
    </row>
    <row r="73" spans="1:16" ht="20.149999999999999" customHeight="1" x14ac:dyDescent="0.35">
      <c r="A73" s="329">
        <v>15</v>
      </c>
      <c r="B73" s="1021">
        <v>61</v>
      </c>
      <c r="C73" s="335" t="s">
        <v>260</v>
      </c>
      <c r="D73" s="339">
        <v>4.5199999999999996</v>
      </c>
      <c r="E73" s="323">
        <v>4.5</v>
      </c>
      <c r="F73" s="1046">
        <v>1.6180000000000001</v>
      </c>
      <c r="G73" s="323">
        <v>0</v>
      </c>
      <c r="H73" s="323">
        <v>0</v>
      </c>
      <c r="I73" s="323">
        <f t="shared" si="5"/>
        <v>2.9019999999999992</v>
      </c>
      <c r="J73" s="325" t="s">
        <v>12</v>
      </c>
      <c r="K73" s="323"/>
      <c r="L73" s="323"/>
      <c r="M73" s="323"/>
      <c r="N73" s="326"/>
      <c r="O73" s="350"/>
      <c r="P73" s="328"/>
    </row>
    <row r="74" spans="1:16" ht="20.149999999999999" customHeight="1" x14ac:dyDescent="0.35">
      <c r="A74" s="329">
        <v>16</v>
      </c>
      <c r="B74" s="1021">
        <v>62</v>
      </c>
      <c r="C74" s="335" t="s">
        <v>269</v>
      </c>
      <c r="D74" s="339">
        <v>2.1019999999999999</v>
      </c>
      <c r="E74" s="323">
        <v>2</v>
      </c>
      <c r="F74" s="1046">
        <v>0</v>
      </c>
      <c r="G74" s="323">
        <v>0</v>
      </c>
      <c r="H74" s="323">
        <v>0</v>
      </c>
      <c r="I74" s="323">
        <f t="shared" si="5"/>
        <v>2.1019999999999999</v>
      </c>
      <c r="J74" s="325" t="s">
        <v>12</v>
      </c>
      <c r="K74" s="323"/>
      <c r="L74" s="323"/>
      <c r="M74" s="323"/>
      <c r="N74" s="326"/>
      <c r="O74" s="350"/>
      <c r="P74" s="328"/>
    </row>
    <row r="75" spans="1:16" ht="20.149999999999999" customHeight="1" x14ac:dyDescent="0.35">
      <c r="A75" s="329">
        <v>17</v>
      </c>
      <c r="B75" s="1021">
        <v>63</v>
      </c>
      <c r="C75" s="335" t="s">
        <v>265</v>
      </c>
      <c r="D75" s="339">
        <v>3.0459999999999998</v>
      </c>
      <c r="E75" s="323">
        <v>0</v>
      </c>
      <c r="F75" s="1046">
        <f>1.161+1.885</f>
        <v>3.0460000000000003</v>
      </c>
      <c r="G75" s="323">
        <v>0</v>
      </c>
      <c r="H75" s="323">
        <v>0</v>
      </c>
      <c r="I75" s="323">
        <f t="shared" si="5"/>
        <v>-4.4408920985006262E-16</v>
      </c>
      <c r="J75" s="325" t="s">
        <v>12</v>
      </c>
      <c r="K75" s="323"/>
      <c r="L75" s="323"/>
      <c r="M75" s="323"/>
      <c r="N75" s="326"/>
      <c r="O75" s="350"/>
      <c r="P75" s="328"/>
    </row>
    <row r="76" spans="1:16" ht="20.149999999999999" customHeight="1" x14ac:dyDescent="0.35">
      <c r="A76" s="329">
        <v>18</v>
      </c>
      <c r="B76" s="1021">
        <v>98</v>
      </c>
      <c r="C76" s="335" t="s">
        <v>247</v>
      </c>
      <c r="D76" s="339">
        <v>5.1120000000000001</v>
      </c>
      <c r="E76" s="323">
        <f>D76</f>
        <v>5.1120000000000001</v>
      </c>
      <c r="F76" s="1046">
        <v>4.9370000000000003</v>
      </c>
      <c r="G76" s="323">
        <v>0</v>
      </c>
      <c r="H76" s="323">
        <v>0</v>
      </c>
      <c r="I76" s="323">
        <f t="shared" si="5"/>
        <v>0.17499999999999982</v>
      </c>
      <c r="J76" s="325" t="s">
        <v>10</v>
      </c>
      <c r="K76" s="323"/>
      <c r="L76" s="323"/>
      <c r="M76" s="323"/>
      <c r="N76" s="326"/>
      <c r="O76" s="350"/>
      <c r="P76" s="328"/>
    </row>
    <row r="77" spans="1:16" ht="20.149999999999999" customHeight="1" x14ac:dyDescent="0.35">
      <c r="A77" s="329">
        <v>19</v>
      </c>
      <c r="B77" s="1021">
        <v>64</v>
      </c>
      <c r="C77" s="335" t="s">
        <v>246</v>
      </c>
      <c r="D77" s="339">
        <v>3.8</v>
      </c>
      <c r="E77" s="323">
        <f>D77</f>
        <v>3.8</v>
      </c>
      <c r="F77" s="1046">
        <v>3.8</v>
      </c>
      <c r="G77" s="323">
        <v>0</v>
      </c>
      <c r="H77" s="323">
        <v>0</v>
      </c>
      <c r="I77" s="323">
        <f t="shared" si="5"/>
        <v>0</v>
      </c>
      <c r="J77" s="325" t="s">
        <v>10</v>
      </c>
      <c r="K77" s="323"/>
      <c r="L77" s="323"/>
      <c r="M77" s="323"/>
      <c r="N77" s="326"/>
      <c r="O77" s="350"/>
      <c r="P77" s="328"/>
    </row>
    <row r="78" spans="1:16" ht="20.149999999999999" customHeight="1" x14ac:dyDescent="0.35">
      <c r="A78" s="329">
        <v>20</v>
      </c>
      <c r="B78" s="1021">
        <v>96</v>
      </c>
      <c r="C78" s="335" t="s">
        <v>270</v>
      </c>
      <c r="D78" s="339">
        <v>5.8440000000000003</v>
      </c>
      <c r="E78" s="323">
        <v>5.6999999999999993</v>
      </c>
      <c r="F78" s="1046">
        <v>3.044</v>
      </c>
      <c r="G78" s="323">
        <v>0</v>
      </c>
      <c r="H78" s="323">
        <v>0</v>
      </c>
      <c r="I78" s="323">
        <f t="shared" si="5"/>
        <v>2.8000000000000003</v>
      </c>
      <c r="J78" s="325" t="s">
        <v>10</v>
      </c>
      <c r="K78" s="323"/>
      <c r="L78" s="323"/>
      <c r="M78" s="323"/>
      <c r="N78" s="326"/>
      <c r="O78" s="350"/>
      <c r="P78" s="328"/>
    </row>
    <row r="79" spans="1:16" ht="20.149999999999999" customHeight="1" x14ac:dyDescent="0.35">
      <c r="A79" s="329">
        <v>21</v>
      </c>
      <c r="B79" s="1021">
        <v>65</v>
      </c>
      <c r="C79" s="335" t="s">
        <v>261</v>
      </c>
      <c r="D79" s="339">
        <v>1.619</v>
      </c>
      <c r="E79" s="323">
        <f>D79</f>
        <v>1.619</v>
      </c>
      <c r="F79" s="1046">
        <v>0</v>
      </c>
      <c r="G79" s="323">
        <v>0</v>
      </c>
      <c r="H79" s="323">
        <v>0</v>
      </c>
      <c r="I79" s="323">
        <f t="shared" si="5"/>
        <v>1.619</v>
      </c>
      <c r="J79" s="325" t="s">
        <v>12</v>
      </c>
      <c r="K79" s="323"/>
      <c r="L79" s="323"/>
      <c r="M79" s="323"/>
      <c r="N79" s="326"/>
      <c r="O79" s="350"/>
      <c r="P79" s="328"/>
    </row>
    <row r="80" spans="1:16" ht="20.149999999999999" customHeight="1" x14ac:dyDescent="0.35">
      <c r="A80" s="329">
        <v>22</v>
      </c>
      <c r="B80" s="1021">
        <v>66</v>
      </c>
      <c r="C80" s="335" t="s">
        <v>432</v>
      </c>
      <c r="D80" s="339">
        <v>3.8879999999999999</v>
      </c>
      <c r="E80" s="323">
        <f>D80</f>
        <v>3.8879999999999999</v>
      </c>
      <c r="F80" s="1046">
        <v>0</v>
      </c>
      <c r="G80" s="323">
        <v>0</v>
      </c>
      <c r="H80" s="323">
        <v>0</v>
      </c>
      <c r="I80" s="323">
        <f t="shared" si="5"/>
        <v>3.8879999999999999</v>
      </c>
      <c r="J80" s="325" t="s">
        <v>33</v>
      </c>
      <c r="K80" s="323"/>
      <c r="L80" s="323"/>
      <c r="M80" s="323"/>
      <c r="N80" s="326"/>
      <c r="O80" s="350"/>
      <c r="P80" s="328"/>
    </row>
    <row r="81" spans="1:19" ht="20.149999999999999" customHeight="1" x14ac:dyDescent="0.35">
      <c r="A81" s="329">
        <v>23</v>
      </c>
      <c r="B81" s="1021">
        <v>67</v>
      </c>
      <c r="C81" s="335" t="s">
        <v>267</v>
      </c>
      <c r="D81" s="339">
        <v>2.0830000000000002</v>
      </c>
      <c r="E81" s="323">
        <v>1.9</v>
      </c>
      <c r="F81" s="1046">
        <v>0.5</v>
      </c>
      <c r="G81" s="323">
        <v>0</v>
      </c>
      <c r="H81" s="323">
        <v>0</v>
      </c>
      <c r="I81" s="323">
        <f t="shared" si="5"/>
        <v>1.5830000000000002</v>
      </c>
      <c r="J81" s="325" t="s">
        <v>33</v>
      </c>
      <c r="K81" s="323"/>
      <c r="L81" s="323"/>
      <c r="M81" s="323"/>
      <c r="N81" s="326"/>
      <c r="O81" s="350"/>
      <c r="P81" s="328"/>
    </row>
    <row r="82" spans="1:19" ht="20.149999999999999" customHeight="1" x14ac:dyDescent="0.35">
      <c r="A82" s="329">
        <v>24</v>
      </c>
      <c r="B82" s="1021">
        <v>68</v>
      </c>
      <c r="C82" s="335" t="s">
        <v>266</v>
      </c>
      <c r="D82" s="339">
        <v>1.6579999999999999</v>
      </c>
      <c r="E82" s="323">
        <v>1.5999999999999999</v>
      </c>
      <c r="F82" s="1046">
        <v>0.221</v>
      </c>
      <c r="G82" s="323">
        <v>0</v>
      </c>
      <c r="H82" s="323">
        <v>0</v>
      </c>
      <c r="I82" s="323">
        <f t="shared" si="5"/>
        <v>1.4369999999999998</v>
      </c>
      <c r="J82" s="325" t="s">
        <v>33</v>
      </c>
      <c r="K82" s="323"/>
      <c r="L82" s="323"/>
      <c r="M82" s="323"/>
      <c r="N82" s="326"/>
      <c r="O82" s="350"/>
      <c r="P82" s="328"/>
    </row>
    <row r="83" spans="1:19" ht="20.149999999999999" customHeight="1" x14ac:dyDescent="0.35">
      <c r="A83" s="329">
        <v>25</v>
      </c>
      <c r="B83" s="1021">
        <v>69</v>
      </c>
      <c r="C83" s="335" t="s">
        <v>264</v>
      </c>
      <c r="D83" s="339">
        <v>1.6870000000000001</v>
      </c>
      <c r="E83" s="323">
        <v>1.6</v>
      </c>
      <c r="F83" s="1046">
        <v>0</v>
      </c>
      <c r="G83" s="323">
        <v>0</v>
      </c>
      <c r="H83" s="323">
        <v>0</v>
      </c>
      <c r="I83" s="323">
        <f t="shared" si="5"/>
        <v>1.6870000000000001</v>
      </c>
      <c r="J83" s="325" t="s">
        <v>33</v>
      </c>
      <c r="K83" s="323"/>
      <c r="L83" s="323"/>
      <c r="M83" s="323"/>
      <c r="N83" s="326"/>
      <c r="O83" s="350"/>
      <c r="P83" s="328"/>
    </row>
    <row r="84" spans="1:19" ht="20.149999999999999" customHeight="1" x14ac:dyDescent="0.35">
      <c r="A84" s="329">
        <v>26</v>
      </c>
      <c r="B84" s="1021">
        <v>70</v>
      </c>
      <c r="C84" s="335" t="s">
        <v>263</v>
      </c>
      <c r="D84" s="339">
        <v>2.4</v>
      </c>
      <c r="E84" s="323">
        <v>2.6</v>
      </c>
      <c r="F84" s="1046">
        <v>0.78700000000000003</v>
      </c>
      <c r="G84" s="323">
        <v>0</v>
      </c>
      <c r="H84" s="323">
        <v>0</v>
      </c>
      <c r="I84" s="323">
        <f t="shared" si="5"/>
        <v>1.613</v>
      </c>
      <c r="J84" s="325" t="s">
        <v>33</v>
      </c>
      <c r="K84" s="323"/>
      <c r="L84" s="323"/>
      <c r="M84" s="323"/>
      <c r="N84" s="326"/>
      <c r="O84" s="350"/>
      <c r="P84" s="328"/>
    </row>
    <row r="85" spans="1:19" ht="20.149999999999999" customHeight="1" x14ac:dyDescent="0.35">
      <c r="A85" s="329">
        <v>27</v>
      </c>
      <c r="B85" s="1021">
        <v>71</v>
      </c>
      <c r="C85" s="335" t="s">
        <v>54</v>
      </c>
      <c r="D85" s="339">
        <v>2.7269999999999999</v>
      </c>
      <c r="E85" s="323">
        <v>2.7</v>
      </c>
      <c r="F85" s="1046">
        <v>0.124</v>
      </c>
      <c r="G85" s="323">
        <v>0</v>
      </c>
      <c r="H85" s="323">
        <v>0</v>
      </c>
      <c r="I85" s="323">
        <f t="shared" si="5"/>
        <v>2.6029999999999998</v>
      </c>
      <c r="J85" s="325" t="s">
        <v>12</v>
      </c>
      <c r="K85" s="323"/>
      <c r="L85" s="323"/>
      <c r="M85" s="323"/>
      <c r="N85" s="326"/>
      <c r="O85" s="350"/>
      <c r="P85" s="328"/>
    </row>
    <row r="86" spans="1:19" ht="20.149999999999999" customHeight="1" x14ac:dyDescent="0.35">
      <c r="A86" s="329">
        <v>28</v>
      </c>
      <c r="B86" s="1021">
        <v>72</v>
      </c>
      <c r="C86" s="335" t="s">
        <v>56</v>
      </c>
      <c r="D86" s="339">
        <v>2</v>
      </c>
      <c r="E86" s="323">
        <v>1.7</v>
      </c>
      <c r="F86" s="1046">
        <v>1.99</v>
      </c>
      <c r="G86" s="323">
        <v>0</v>
      </c>
      <c r="H86" s="323">
        <v>0</v>
      </c>
      <c r="I86" s="323">
        <f t="shared" si="5"/>
        <v>1.0000000000000009E-2</v>
      </c>
      <c r="J86" s="325" t="s">
        <v>12</v>
      </c>
      <c r="K86" s="323"/>
      <c r="L86" s="323"/>
      <c r="M86" s="323"/>
      <c r="N86" s="326"/>
      <c r="O86" s="350"/>
      <c r="P86" s="328"/>
    </row>
    <row r="87" spans="1:19" ht="20.149999999999999" customHeight="1" x14ac:dyDescent="0.35">
      <c r="A87" s="329">
        <v>29</v>
      </c>
      <c r="B87" s="1021">
        <v>73</v>
      </c>
      <c r="C87" s="336" t="s">
        <v>258</v>
      </c>
      <c r="D87" s="339">
        <v>5.7320000000000002</v>
      </c>
      <c r="E87" s="323">
        <v>5.5</v>
      </c>
      <c r="F87" s="1046">
        <v>1.7999999999999999E-2</v>
      </c>
      <c r="G87" s="323">
        <v>0</v>
      </c>
      <c r="H87" s="323">
        <v>0</v>
      </c>
      <c r="I87" s="323">
        <f t="shared" si="5"/>
        <v>5.7140000000000004</v>
      </c>
      <c r="J87" s="325" t="s">
        <v>33</v>
      </c>
      <c r="K87" s="323"/>
      <c r="L87" s="323"/>
      <c r="M87" s="323"/>
      <c r="N87" s="326"/>
      <c r="O87" s="350"/>
      <c r="P87" s="328"/>
    </row>
    <row r="88" spans="1:19" ht="20.149999999999999" customHeight="1" x14ac:dyDescent="0.35">
      <c r="A88" s="329">
        <v>30</v>
      </c>
      <c r="B88" s="1021">
        <v>74</v>
      </c>
      <c r="C88" s="336" t="s">
        <v>257</v>
      </c>
      <c r="D88" s="339">
        <v>0.58399999999999996</v>
      </c>
      <c r="E88" s="323">
        <v>0.5</v>
      </c>
      <c r="F88" s="1046">
        <v>0</v>
      </c>
      <c r="G88" s="323">
        <v>0</v>
      </c>
      <c r="H88" s="323">
        <v>0</v>
      </c>
      <c r="I88" s="323">
        <f t="shared" si="5"/>
        <v>0.58399999999999996</v>
      </c>
      <c r="J88" s="325" t="s">
        <v>33</v>
      </c>
      <c r="K88" s="323"/>
      <c r="L88" s="323"/>
      <c r="M88" s="323"/>
      <c r="N88" s="326"/>
      <c r="O88" s="350"/>
      <c r="P88" s="328"/>
    </row>
    <row r="89" spans="1:19" ht="20.149999999999999" customHeight="1" x14ac:dyDescent="0.35">
      <c r="A89" s="329">
        <v>31</v>
      </c>
      <c r="B89" s="1021">
        <v>75</v>
      </c>
      <c r="C89" s="336" t="s">
        <v>259</v>
      </c>
      <c r="D89" s="339">
        <v>2.1</v>
      </c>
      <c r="E89" s="323">
        <v>2.1</v>
      </c>
      <c r="F89" s="1046">
        <v>0</v>
      </c>
      <c r="G89" s="323">
        <v>0</v>
      </c>
      <c r="H89" s="323">
        <v>0</v>
      </c>
      <c r="I89" s="323">
        <f t="shared" si="5"/>
        <v>2.1</v>
      </c>
      <c r="J89" s="325" t="s">
        <v>33</v>
      </c>
      <c r="K89" s="323"/>
      <c r="L89" s="323"/>
      <c r="M89" s="323"/>
      <c r="N89" s="326"/>
      <c r="O89" s="350"/>
      <c r="P89" s="328"/>
    </row>
    <row r="90" spans="1:19" ht="20.149999999999999" customHeight="1" x14ac:dyDescent="0.35">
      <c r="A90" s="329">
        <v>32</v>
      </c>
      <c r="B90" s="1021">
        <v>76</v>
      </c>
      <c r="C90" s="336" t="s">
        <v>256</v>
      </c>
      <c r="D90" s="339">
        <v>0.30199999999999999</v>
      </c>
      <c r="E90" s="323">
        <v>0.2</v>
      </c>
      <c r="F90" s="1046">
        <v>0.30199999999999999</v>
      </c>
      <c r="G90" s="323">
        <v>0</v>
      </c>
      <c r="H90" s="323">
        <v>0</v>
      </c>
      <c r="I90" s="323">
        <f t="shared" si="5"/>
        <v>0</v>
      </c>
      <c r="J90" s="325" t="s">
        <v>12</v>
      </c>
      <c r="K90" s="323"/>
      <c r="L90" s="323"/>
      <c r="M90" s="323"/>
      <c r="N90" s="326"/>
      <c r="O90" s="350"/>
      <c r="P90" s="328"/>
    </row>
    <row r="91" spans="1:19" s="317" customFormat="1" ht="20.149999999999999" customHeight="1" x14ac:dyDescent="0.35">
      <c r="B91" s="977"/>
      <c r="C91" s="978" t="s">
        <v>341</v>
      </c>
      <c r="D91" s="979">
        <f t="shared" ref="D91:I91" si="6">SUM(D59:D90)</f>
        <v>110.607</v>
      </c>
      <c r="E91" s="980">
        <f t="shared" si="6"/>
        <v>106.04599999999998</v>
      </c>
      <c r="F91" s="1077">
        <f t="shared" si="6"/>
        <v>48.565999999999995</v>
      </c>
      <c r="G91" s="980">
        <f t="shared" si="6"/>
        <v>0</v>
      </c>
      <c r="H91" s="980">
        <f t="shared" si="6"/>
        <v>0</v>
      </c>
      <c r="I91" s="980">
        <f t="shared" si="6"/>
        <v>62.04099999999999</v>
      </c>
      <c r="J91" s="981"/>
      <c r="K91" s="980"/>
      <c r="L91" s="980"/>
      <c r="M91" s="980"/>
      <c r="N91" s="372"/>
      <c r="O91" s="453"/>
      <c r="P91" s="377"/>
      <c r="Q91" s="320"/>
    </row>
    <row r="92" spans="1:19" ht="20.149999999999999" customHeight="1" x14ac:dyDescent="0.35">
      <c r="B92" s="321"/>
      <c r="C92" s="330"/>
      <c r="D92" s="330"/>
      <c r="E92" s="323"/>
      <c r="F92" s="1046"/>
      <c r="G92" s="323"/>
      <c r="H92" s="1138">
        <f>H91+I91</f>
        <v>62.04099999999999</v>
      </c>
      <c r="I92" s="1139"/>
      <c r="J92" s="325"/>
      <c r="K92" s="323"/>
      <c r="L92" s="323"/>
      <c r="M92" s="323"/>
      <c r="N92" s="326"/>
      <c r="O92" s="363"/>
      <c r="P92" s="328"/>
      <c r="Q92" s="331"/>
    </row>
    <row r="93" spans="1:19" s="317" customFormat="1" ht="20.149999999999999" customHeight="1" x14ac:dyDescent="0.35">
      <c r="B93" s="982" t="s">
        <v>342</v>
      </c>
      <c r="C93" s="983"/>
      <c r="D93" s="983"/>
      <c r="E93" s="980"/>
      <c r="F93" s="1077"/>
      <c r="G93" s="980"/>
      <c r="H93" s="980"/>
      <c r="I93" s="980"/>
      <c r="J93" s="981"/>
      <c r="K93" s="980"/>
      <c r="L93" s="980"/>
      <c r="M93" s="984"/>
      <c r="N93" s="378"/>
      <c r="O93" s="453"/>
      <c r="P93" s="377"/>
    </row>
    <row r="94" spans="1:19" ht="41.25" customHeight="1" x14ac:dyDescent="0.35">
      <c r="A94" s="329">
        <v>1</v>
      </c>
      <c r="B94" s="1021">
        <v>21</v>
      </c>
      <c r="C94" s="336" t="s">
        <v>241</v>
      </c>
      <c r="D94" s="326">
        <v>3.16</v>
      </c>
      <c r="E94" s="323">
        <f>'[1]road inventory 2018'!C41</f>
        <v>4.3</v>
      </c>
      <c r="F94" s="1046">
        <v>0</v>
      </c>
      <c r="G94" s="323">
        <v>0</v>
      </c>
      <c r="H94" s="323">
        <v>0</v>
      </c>
      <c r="I94" s="323">
        <f t="shared" ref="I94:I122" si="7">D94-F94-G94-H94</f>
        <v>3.16</v>
      </c>
      <c r="J94" s="325" t="s">
        <v>10</v>
      </c>
      <c r="K94" s="323"/>
      <c r="L94" s="323"/>
      <c r="M94" s="330"/>
      <c r="N94" s="326"/>
      <c r="O94" s="350"/>
      <c r="P94" s="328"/>
      <c r="Q94" s="331"/>
      <c r="R94" s="331"/>
      <c r="S94" s="331"/>
    </row>
    <row r="95" spans="1:19" ht="20.149999999999999" customHeight="1" x14ac:dyDescent="0.35">
      <c r="A95" s="329">
        <v>2</v>
      </c>
      <c r="B95" s="1021">
        <v>22</v>
      </c>
      <c r="C95" s="336" t="s">
        <v>225</v>
      </c>
      <c r="D95" s="942">
        <v>4.0330000000000004</v>
      </c>
      <c r="E95" s="323">
        <f>'[1]road inventory 2018'!C42</f>
        <v>3.9</v>
      </c>
      <c r="F95" s="1046">
        <v>0</v>
      </c>
      <c r="G95" s="323">
        <v>0</v>
      </c>
      <c r="H95" s="323">
        <v>0</v>
      </c>
      <c r="I95" s="323">
        <f t="shared" si="7"/>
        <v>4.0330000000000004</v>
      </c>
      <c r="J95" s="325" t="s">
        <v>33</v>
      </c>
      <c r="K95" s="323"/>
      <c r="L95" s="323"/>
      <c r="M95" s="323"/>
      <c r="N95" s="326"/>
      <c r="O95" s="350"/>
      <c r="P95" s="328"/>
    </row>
    <row r="96" spans="1:19" ht="20.149999999999999" customHeight="1" x14ac:dyDescent="0.35">
      <c r="A96" s="329">
        <v>3</v>
      </c>
      <c r="B96" s="1021">
        <v>23</v>
      </c>
      <c r="C96" s="336" t="s">
        <v>237</v>
      </c>
      <c r="D96" s="942">
        <v>4.45</v>
      </c>
      <c r="E96" s="323">
        <f>'[1]road inventory 2018'!C43</f>
        <v>4.3</v>
      </c>
      <c r="F96" s="1046">
        <v>2.93</v>
      </c>
      <c r="G96" s="323">
        <v>0</v>
      </c>
      <c r="H96" s="323">
        <v>0</v>
      </c>
      <c r="I96" s="323">
        <f t="shared" si="7"/>
        <v>1.52</v>
      </c>
      <c r="J96" s="325" t="s">
        <v>12</v>
      </c>
      <c r="K96" s="323"/>
      <c r="L96" s="323"/>
      <c r="M96" s="323"/>
      <c r="N96" s="326"/>
      <c r="O96" s="350"/>
      <c r="P96" s="328"/>
    </row>
    <row r="97" spans="1:16" ht="20.149999999999999" customHeight="1" x14ac:dyDescent="0.35">
      <c r="A97" s="329">
        <v>4</v>
      </c>
      <c r="B97" s="1021">
        <v>24</v>
      </c>
      <c r="C97" s="336" t="s">
        <v>236</v>
      </c>
      <c r="D97" s="942">
        <v>8.36</v>
      </c>
      <c r="E97" s="323">
        <v>7.9</v>
      </c>
      <c r="F97" s="1046">
        <v>8.36</v>
      </c>
      <c r="G97" s="323">
        <v>0</v>
      </c>
      <c r="H97" s="323">
        <v>0</v>
      </c>
      <c r="I97" s="323">
        <f t="shared" si="7"/>
        <v>0</v>
      </c>
      <c r="J97" s="325" t="s">
        <v>12</v>
      </c>
      <c r="K97" s="323"/>
      <c r="L97" s="323"/>
      <c r="M97" s="323"/>
      <c r="N97" s="326"/>
      <c r="O97" s="350"/>
      <c r="P97" s="328"/>
    </row>
    <row r="98" spans="1:16" ht="20.149999999999999" customHeight="1" x14ac:dyDescent="0.35">
      <c r="A98" s="329">
        <v>5</v>
      </c>
      <c r="B98" s="1021">
        <v>25</v>
      </c>
      <c r="C98" s="336" t="s">
        <v>30</v>
      </c>
      <c r="D98" s="942">
        <v>1.7689999999999999</v>
      </c>
      <c r="E98" s="323">
        <f>'[1]road inventory 2018'!C45</f>
        <v>1.7</v>
      </c>
      <c r="F98" s="1046">
        <v>0</v>
      </c>
      <c r="G98" s="323">
        <v>0</v>
      </c>
      <c r="H98" s="323">
        <v>0</v>
      </c>
      <c r="I98" s="323">
        <f t="shared" si="7"/>
        <v>1.7689999999999999</v>
      </c>
      <c r="J98" s="325" t="s">
        <v>12</v>
      </c>
      <c r="K98" s="323"/>
      <c r="L98" s="323"/>
      <c r="M98" s="323"/>
      <c r="N98" s="326"/>
      <c r="O98" s="350"/>
      <c r="P98" s="328"/>
    </row>
    <row r="99" spans="1:16" ht="20.149999999999999" customHeight="1" x14ac:dyDescent="0.35">
      <c r="A99" s="329">
        <v>6</v>
      </c>
      <c r="B99" s="1021">
        <v>26</v>
      </c>
      <c r="C99" s="336" t="s">
        <v>350</v>
      </c>
      <c r="D99" s="326">
        <v>6.02</v>
      </c>
      <c r="E99" s="323">
        <f>'[1]road inventory 2018'!C46</f>
        <v>5.9</v>
      </c>
      <c r="F99" s="1046">
        <v>3.91</v>
      </c>
      <c r="G99" s="323">
        <v>0</v>
      </c>
      <c r="H99" s="323">
        <v>0</v>
      </c>
      <c r="I99" s="323">
        <f t="shared" si="7"/>
        <v>2.1099999999999994</v>
      </c>
      <c r="J99" s="326" t="s">
        <v>10</v>
      </c>
      <c r="K99" s="323"/>
      <c r="L99" s="323"/>
      <c r="M99" s="323"/>
      <c r="N99" s="326"/>
      <c r="O99" s="350"/>
      <c r="P99" s="328"/>
    </row>
    <row r="100" spans="1:16" ht="20.149999999999999" customHeight="1" x14ac:dyDescent="0.35">
      <c r="A100" s="329">
        <v>7</v>
      </c>
      <c r="B100" s="1021">
        <v>27</v>
      </c>
      <c r="C100" s="336" t="s">
        <v>224</v>
      </c>
      <c r="D100" s="942">
        <v>1.97</v>
      </c>
      <c r="E100" s="323">
        <f>'[1]road inventory 2018'!C47</f>
        <v>1.9</v>
      </c>
      <c r="F100" s="1046">
        <v>0.3</v>
      </c>
      <c r="G100" s="323">
        <v>0</v>
      </c>
      <c r="H100" s="323">
        <v>0</v>
      </c>
      <c r="I100" s="323">
        <f t="shared" si="7"/>
        <v>1.67</v>
      </c>
      <c r="J100" s="325" t="s">
        <v>12</v>
      </c>
      <c r="K100" s="323"/>
      <c r="L100" s="323"/>
      <c r="M100" s="323"/>
      <c r="N100" s="326"/>
      <c r="O100" s="350"/>
      <c r="P100" s="328"/>
    </row>
    <row r="101" spans="1:16" ht="20.149999999999999" customHeight="1" x14ac:dyDescent="0.35">
      <c r="A101" s="329">
        <v>8</v>
      </c>
      <c r="B101" s="1021">
        <v>28</v>
      </c>
      <c r="C101" s="336" t="s">
        <v>233</v>
      </c>
      <c r="D101" s="942">
        <v>5.65</v>
      </c>
      <c r="E101" s="323">
        <f>'[1]road inventory 2018'!C48</f>
        <v>5.6</v>
      </c>
      <c r="F101" s="1046">
        <v>2.79</v>
      </c>
      <c r="G101" s="323">
        <v>0</v>
      </c>
      <c r="H101" s="323">
        <v>0</v>
      </c>
      <c r="I101" s="323">
        <f t="shared" si="7"/>
        <v>2.8600000000000003</v>
      </c>
      <c r="J101" s="325" t="s">
        <v>12</v>
      </c>
      <c r="K101" s="323"/>
      <c r="L101" s="323"/>
      <c r="M101" s="323"/>
      <c r="N101" s="326"/>
      <c r="O101" s="350"/>
      <c r="P101" s="328"/>
    </row>
    <row r="102" spans="1:16" ht="19.5" customHeight="1" x14ac:dyDescent="0.35">
      <c r="A102" s="329">
        <v>9</v>
      </c>
      <c r="B102" s="1021">
        <v>29</v>
      </c>
      <c r="C102" s="336" t="s">
        <v>239</v>
      </c>
      <c r="D102" s="326">
        <v>0.88</v>
      </c>
      <c r="E102" s="323">
        <f>'[1]road inventory 2018'!C49</f>
        <v>0.8</v>
      </c>
      <c r="F102" s="1046">
        <v>0.5</v>
      </c>
      <c r="G102" s="323">
        <v>0</v>
      </c>
      <c r="H102" s="323">
        <v>0</v>
      </c>
      <c r="I102" s="323">
        <f t="shared" si="7"/>
        <v>0.38</v>
      </c>
      <c r="J102" s="325" t="s">
        <v>10</v>
      </c>
      <c r="K102" s="323"/>
      <c r="L102" s="323"/>
      <c r="M102" s="323"/>
      <c r="N102" s="326"/>
      <c r="O102" s="350"/>
      <c r="P102" s="328"/>
    </row>
    <row r="103" spans="1:16" ht="20.149999999999999" customHeight="1" x14ac:dyDescent="0.35">
      <c r="A103" s="329">
        <v>10</v>
      </c>
      <c r="B103" s="1021">
        <v>30</v>
      </c>
      <c r="C103" s="336" t="s">
        <v>354</v>
      </c>
      <c r="D103" s="326">
        <v>2.15</v>
      </c>
      <c r="E103" s="323">
        <f>'[1]road inventory 2018'!C50</f>
        <v>2</v>
      </c>
      <c r="F103" s="1046">
        <v>2.09</v>
      </c>
      <c r="G103" s="323">
        <v>0</v>
      </c>
      <c r="H103" s="323">
        <v>0</v>
      </c>
      <c r="I103" s="323">
        <f t="shared" si="7"/>
        <v>6.0000000000000053E-2</v>
      </c>
      <c r="J103" s="325" t="s">
        <v>12</v>
      </c>
      <c r="K103" s="323"/>
      <c r="L103" s="323"/>
      <c r="M103" s="323"/>
      <c r="N103" s="326"/>
      <c r="O103" s="350"/>
      <c r="P103" s="328"/>
    </row>
    <row r="104" spans="1:16" ht="20.149999999999999" customHeight="1" x14ac:dyDescent="0.35">
      <c r="A104" s="329">
        <v>11</v>
      </c>
      <c r="B104" s="1021">
        <v>106</v>
      </c>
      <c r="C104" s="336" t="s">
        <v>238</v>
      </c>
      <c r="D104" s="326">
        <v>3.2829999999999999</v>
      </c>
      <c r="E104" s="323">
        <f>'[1]road inventory 2018'!C51</f>
        <v>3.2</v>
      </c>
      <c r="F104" s="1046">
        <v>3.2829999999999999</v>
      </c>
      <c r="G104" s="323">
        <v>0</v>
      </c>
      <c r="H104" s="323">
        <v>0</v>
      </c>
      <c r="I104" s="323">
        <f t="shared" si="7"/>
        <v>0</v>
      </c>
      <c r="J104" s="325" t="s">
        <v>10</v>
      </c>
      <c r="K104" s="323"/>
      <c r="L104" s="323"/>
      <c r="M104" s="323"/>
      <c r="N104" s="326"/>
      <c r="O104" s="350"/>
      <c r="P104" s="328"/>
    </row>
    <row r="105" spans="1:16" ht="20.149999999999999" customHeight="1" x14ac:dyDescent="0.35">
      <c r="A105" s="329">
        <v>12</v>
      </c>
      <c r="B105" s="1021">
        <v>31</v>
      </c>
      <c r="C105" s="336" t="s">
        <v>359</v>
      </c>
      <c r="D105" s="942">
        <v>0.82199999999999995</v>
      </c>
      <c r="E105" s="323">
        <f>'[1]road inventory 2018'!C52</f>
        <v>0.8</v>
      </c>
      <c r="F105" s="1046">
        <v>0.82199999999999995</v>
      </c>
      <c r="G105" s="323">
        <v>0</v>
      </c>
      <c r="H105" s="323">
        <v>0</v>
      </c>
      <c r="I105" s="323">
        <f t="shared" si="7"/>
        <v>0</v>
      </c>
      <c r="J105" s="325" t="s">
        <v>33</v>
      </c>
      <c r="K105" s="323"/>
      <c r="L105" s="323"/>
      <c r="M105" s="323"/>
      <c r="N105" s="326"/>
      <c r="O105" s="350"/>
      <c r="P105" s="328"/>
    </row>
    <row r="106" spans="1:16" ht="20.149999999999999" customHeight="1" x14ac:dyDescent="0.35">
      <c r="A106" s="329">
        <v>13</v>
      </c>
      <c r="B106" s="1021">
        <v>32</v>
      </c>
      <c r="C106" s="336" t="s">
        <v>232</v>
      </c>
      <c r="D106" s="942">
        <v>3</v>
      </c>
      <c r="E106" s="323">
        <f>'[1]road inventory 2018'!C53</f>
        <v>3</v>
      </c>
      <c r="F106" s="1046">
        <v>0</v>
      </c>
      <c r="G106" s="323">
        <v>0</v>
      </c>
      <c r="H106" s="323">
        <v>0</v>
      </c>
      <c r="I106" s="323">
        <f t="shared" si="7"/>
        <v>3</v>
      </c>
      <c r="J106" s="325" t="s">
        <v>12</v>
      </c>
      <c r="K106" s="323"/>
      <c r="L106" s="323"/>
      <c r="M106" s="323"/>
      <c r="N106" s="326"/>
      <c r="O106" s="350"/>
      <c r="P106" s="328"/>
    </row>
    <row r="107" spans="1:16" ht="20.149999999999999" customHeight="1" x14ac:dyDescent="0.35">
      <c r="A107" s="329">
        <v>14</v>
      </c>
      <c r="B107" s="1021">
        <v>33</v>
      </c>
      <c r="C107" s="336" t="s">
        <v>34</v>
      </c>
      <c r="D107" s="326">
        <v>2.52</v>
      </c>
      <c r="E107" s="323">
        <f>'[1]road inventory 2018'!C54</f>
        <v>2.4</v>
      </c>
      <c r="F107" s="1046">
        <v>0.83</v>
      </c>
      <c r="G107" s="323">
        <v>0</v>
      </c>
      <c r="H107" s="323">
        <v>0</v>
      </c>
      <c r="I107" s="323">
        <f t="shared" si="7"/>
        <v>1.69</v>
      </c>
      <c r="J107" s="326" t="s">
        <v>33</v>
      </c>
      <c r="K107" s="323"/>
      <c r="L107" s="323"/>
      <c r="M107" s="323"/>
      <c r="N107" s="326"/>
      <c r="O107" s="350"/>
      <c r="P107" s="328"/>
    </row>
    <row r="108" spans="1:16" ht="20.149999999999999" customHeight="1" x14ac:dyDescent="0.35">
      <c r="A108" s="329">
        <v>15</v>
      </c>
      <c r="B108" s="1021">
        <v>34</v>
      </c>
      <c r="C108" s="336" t="s">
        <v>235</v>
      </c>
      <c r="D108" s="326">
        <v>4.3600000000000003</v>
      </c>
      <c r="E108" s="323">
        <f>'[1]road inventory 2018'!C55</f>
        <v>4.2</v>
      </c>
      <c r="F108" s="1046">
        <v>1.06</v>
      </c>
      <c r="G108" s="323">
        <v>0</v>
      </c>
      <c r="H108" s="323">
        <v>0</v>
      </c>
      <c r="I108" s="323">
        <f t="shared" si="7"/>
        <v>3.3000000000000003</v>
      </c>
      <c r="J108" s="325" t="s">
        <v>41</v>
      </c>
      <c r="K108" s="323"/>
      <c r="L108" s="323"/>
      <c r="M108" s="323"/>
      <c r="N108" s="326"/>
      <c r="O108" s="350"/>
      <c r="P108" s="328"/>
    </row>
    <row r="109" spans="1:16" ht="20.149999999999999" customHeight="1" x14ac:dyDescent="0.35">
      <c r="A109" s="329">
        <v>16</v>
      </c>
      <c r="B109" s="1021">
        <v>35</v>
      </c>
      <c r="C109" s="336" t="s">
        <v>364</v>
      </c>
      <c r="D109" s="942">
        <v>3.06</v>
      </c>
      <c r="E109" s="323">
        <f>'[1]road inventory 2018'!C56</f>
        <v>3</v>
      </c>
      <c r="F109" s="1046">
        <v>2.2799999999999998</v>
      </c>
      <c r="G109" s="323">
        <v>0</v>
      </c>
      <c r="H109" s="323">
        <v>0</v>
      </c>
      <c r="I109" s="323">
        <f t="shared" si="7"/>
        <v>0.78000000000000025</v>
      </c>
      <c r="J109" s="325" t="s">
        <v>12</v>
      </c>
      <c r="K109" s="323"/>
      <c r="L109" s="323"/>
      <c r="M109" s="323"/>
      <c r="N109" s="326"/>
      <c r="O109" s="350"/>
      <c r="P109" s="328"/>
    </row>
    <row r="110" spans="1:16" ht="20.149999999999999" customHeight="1" x14ac:dyDescent="0.35">
      <c r="A110" s="329">
        <v>17</v>
      </c>
      <c r="B110" s="1021">
        <v>36</v>
      </c>
      <c r="C110" s="336" t="s">
        <v>366</v>
      </c>
      <c r="D110" s="942">
        <v>6.06</v>
      </c>
      <c r="E110" s="323">
        <f>'[1]road inventory 2018'!C57</f>
        <v>6.2</v>
      </c>
      <c r="F110" s="1046">
        <v>0</v>
      </c>
      <c r="G110" s="323">
        <v>0</v>
      </c>
      <c r="H110" s="323">
        <v>0</v>
      </c>
      <c r="I110" s="323">
        <f t="shared" si="7"/>
        <v>6.06</v>
      </c>
      <c r="J110" s="325" t="s">
        <v>12</v>
      </c>
      <c r="K110" s="323"/>
      <c r="L110" s="323"/>
      <c r="M110" s="323"/>
      <c r="N110" s="326"/>
      <c r="O110" s="350"/>
      <c r="P110" s="328"/>
    </row>
    <row r="111" spans="1:16" ht="20.149999999999999" customHeight="1" x14ac:dyDescent="0.35">
      <c r="A111" s="329">
        <v>18</v>
      </c>
      <c r="B111" s="1021">
        <v>37</v>
      </c>
      <c r="C111" s="336" t="s">
        <v>234</v>
      </c>
      <c r="D111" s="942">
        <v>1.63</v>
      </c>
      <c r="E111" s="323">
        <f>'[1]road inventory 2018'!C58</f>
        <v>1.6</v>
      </c>
      <c r="F111" s="1046">
        <v>0</v>
      </c>
      <c r="G111" s="323">
        <v>0</v>
      </c>
      <c r="H111" s="323">
        <v>0</v>
      </c>
      <c r="I111" s="323">
        <f t="shared" si="7"/>
        <v>1.63</v>
      </c>
      <c r="J111" s="325" t="s">
        <v>41</v>
      </c>
      <c r="K111" s="323"/>
      <c r="L111" s="323"/>
      <c r="M111" s="323"/>
      <c r="N111" s="326"/>
      <c r="O111" s="350"/>
      <c r="P111" s="328"/>
    </row>
    <row r="112" spans="1:16" ht="20.149999999999999" customHeight="1" x14ac:dyDescent="0.35">
      <c r="A112" s="329">
        <v>19</v>
      </c>
      <c r="B112" s="1021">
        <v>38</v>
      </c>
      <c r="C112" s="336" t="s">
        <v>36</v>
      </c>
      <c r="D112" s="942">
        <v>4.41</v>
      </c>
      <c r="E112" s="323">
        <f>'[1]road inventory 2018'!C59</f>
        <v>4.4000000000000004</v>
      </c>
      <c r="F112" s="1046">
        <v>1.5860000000000001</v>
      </c>
      <c r="G112" s="323">
        <v>0</v>
      </c>
      <c r="H112" s="323">
        <v>0</v>
      </c>
      <c r="I112" s="323">
        <f t="shared" si="7"/>
        <v>2.8239999999999998</v>
      </c>
      <c r="J112" s="325" t="s">
        <v>33</v>
      </c>
      <c r="K112" s="323"/>
      <c r="L112" s="323"/>
      <c r="M112" s="323"/>
      <c r="N112" s="326"/>
      <c r="O112" s="350"/>
      <c r="P112" s="328"/>
    </row>
    <row r="113" spans="1:21" ht="20.149999999999999" customHeight="1" x14ac:dyDescent="0.35">
      <c r="A113" s="329">
        <v>20</v>
      </c>
      <c r="B113" s="1021">
        <v>39</v>
      </c>
      <c r="C113" s="336" t="s">
        <v>370</v>
      </c>
      <c r="D113" s="326">
        <v>5.04</v>
      </c>
      <c r="E113" s="323">
        <f>'[1]road inventory 2018'!C60</f>
        <v>4.9000000000000004</v>
      </c>
      <c r="F113" s="1046">
        <v>1.24</v>
      </c>
      <c r="G113" s="323">
        <v>0</v>
      </c>
      <c r="H113" s="323">
        <v>0</v>
      </c>
      <c r="I113" s="323">
        <f t="shared" si="7"/>
        <v>3.8</v>
      </c>
      <c r="J113" s="325" t="s">
        <v>12</v>
      </c>
      <c r="K113" s="323"/>
      <c r="L113" s="323"/>
      <c r="M113" s="323"/>
      <c r="N113" s="326"/>
      <c r="O113" s="350"/>
      <c r="P113" s="328"/>
    </row>
    <row r="114" spans="1:21" ht="20.149999999999999" customHeight="1" x14ac:dyDescent="0.35">
      <c r="A114" s="329">
        <v>21</v>
      </c>
      <c r="B114" s="1021">
        <v>105</v>
      </c>
      <c r="C114" s="336" t="s">
        <v>228</v>
      </c>
      <c r="D114" s="942">
        <v>3.68</v>
      </c>
      <c r="E114" s="323">
        <f>'[1]road inventory 2018'!C61</f>
        <v>3.6</v>
      </c>
      <c r="F114" s="1046">
        <v>0</v>
      </c>
      <c r="G114" s="323">
        <v>0</v>
      </c>
      <c r="H114" s="323">
        <v>0</v>
      </c>
      <c r="I114" s="323">
        <f t="shared" si="7"/>
        <v>3.68</v>
      </c>
      <c r="J114" s="325" t="s">
        <v>12</v>
      </c>
      <c r="K114" s="323"/>
      <c r="L114" s="323"/>
      <c r="M114" s="323"/>
      <c r="N114" s="326"/>
      <c r="O114" s="350"/>
      <c r="P114" s="328"/>
    </row>
    <row r="115" spans="1:21" ht="20.149999999999999" customHeight="1" x14ac:dyDescent="0.35">
      <c r="A115" s="329">
        <v>22</v>
      </c>
      <c r="B115" s="1021">
        <v>40</v>
      </c>
      <c r="C115" s="336" t="s">
        <v>231</v>
      </c>
      <c r="D115" s="942">
        <v>1.65</v>
      </c>
      <c r="E115" s="323">
        <f>'[1]road inventory 2018'!C62</f>
        <v>1.5</v>
      </c>
      <c r="F115" s="1046">
        <v>1.1299999999999999</v>
      </c>
      <c r="G115" s="323">
        <v>0</v>
      </c>
      <c r="H115" s="323">
        <v>0</v>
      </c>
      <c r="I115" s="323">
        <f t="shared" si="7"/>
        <v>0.52</v>
      </c>
      <c r="J115" s="325" t="s">
        <v>10</v>
      </c>
      <c r="K115" s="323"/>
      <c r="L115" s="323"/>
      <c r="M115" s="323"/>
      <c r="N115" s="326"/>
      <c r="O115" s="350"/>
      <c r="P115" s="328"/>
    </row>
    <row r="116" spans="1:21" ht="20.149999999999999" customHeight="1" x14ac:dyDescent="0.35">
      <c r="A116" s="329">
        <v>23</v>
      </c>
      <c r="B116" s="1021">
        <v>41</v>
      </c>
      <c r="C116" s="336" t="s">
        <v>883</v>
      </c>
      <c r="D116" s="942">
        <v>2.83</v>
      </c>
      <c r="E116" s="323">
        <f>'[1]road inventory 2018'!C63</f>
        <v>2.8</v>
      </c>
      <c r="F116" s="1046">
        <v>0</v>
      </c>
      <c r="G116" s="323">
        <v>0</v>
      </c>
      <c r="H116" s="323">
        <v>0</v>
      </c>
      <c r="I116" s="323">
        <f t="shared" si="7"/>
        <v>2.83</v>
      </c>
      <c r="J116" s="325" t="s">
        <v>12</v>
      </c>
      <c r="K116" s="323"/>
      <c r="L116" s="323"/>
      <c r="M116" s="323"/>
      <c r="N116" s="326"/>
      <c r="O116" s="350"/>
      <c r="P116" s="328"/>
    </row>
    <row r="117" spans="1:21" ht="20.149999999999999" customHeight="1" x14ac:dyDescent="0.35">
      <c r="A117" s="329">
        <v>24</v>
      </c>
      <c r="B117" s="1021">
        <v>42</v>
      </c>
      <c r="C117" s="336" t="s">
        <v>227</v>
      </c>
      <c r="D117" s="942">
        <v>1.59</v>
      </c>
      <c r="E117" s="323">
        <f>'[1]road inventory 2018'!C64</f>
        <v>1.5</v>
      </c>
      <c r="F117" s="1046">
        <v>1.18</v>
      </c>
      <c r="G117" s="323">
        <v>0</v>
      </c>
      <c r="H117" s="323">
        <v>0</v>
      </c>
      <c r="I117" s="323">
        <f t="shared" si="7"/>
        <v>0.41000000000000014</v>
      </c>
      <c r="J117" s="325" t="s">
        <v>33</v>
      </c>
      <c r="K117" s="323"/>
      <c r="L117" s="323"/>
      <c r="M117" s="323"/>
      <c r="N117" s="326"/>
      <c r="O117" s="350"/>
      <c r="P117" s="328"/>
    </row>
    <row r="118" spans="1:21" ht="20.149999999999999" customHeight="1" x14ac:dyDescent="0.35">
      <c r="A118" s="329">
        <v>25</v>
      </c>
      <c r="B118" s="1021">
        <v>43</v>
      </c>
      <c r="C118" s="336" t="s">
        <v>226</v>
      </c>
      <c r="D118" s="326">
        <v>13.24</v>
      </c>
      <c r="E118" s="323">
        <f>'[1]road inventory 2018'!C65</f>
        <v>12.7</v>
      </c>
      <c r="F118" s="1046">
        <v>0.16</v>
      </c>
      <c r="G118" s="323">
        <v>0</v>
      </c>
      <c r="H118" s="323">
        <v>0</v>
      </c>
      <c r="I118" s="323">
        <f t="shared" si="7"/>
        <v>13.08</v>
      </c>
      <c r="J118" s="325" t="s">
        <v>41</v>
      </c>
      <c r="K118" s="323"/>
      <c r="L118" s="323"/>
      <c r="M118" s="323"/>
      <c r="N118" s="326"/>
      <c r="O118" s="350"/>
      <c r="P118" s="328"/>
      <c r="S118" s="331"/>
    </row>
    <row r="119" spans="1:21" ht="19.5" customHeight="1" x14ac:dyDescent="0.35">
      <c r="A119" s="329">
        <v>26</v>
      </c>
      <c r="B119" s="1021">
        <v>44</v>
      </c>
      <c r="C119" s="336" t="s">
        <v>752</v>
      </c>
      <c r="D119" s="942">
        <v>5.47</v>
      </c>
      <c r="E119" s="323">
        <f>'[1]road inventory 2018'!C66</f>
        <v>5.3</v>
      </c>
      <c r="F119" s="1046">
        <v>1.1499999999999999</v>
      </c>
      <c r="G119" s="323">
        <v>0</v>
      </c>
      <c r="H119" s="323">
        <v>0</v>
      </c>
      <c r="I119" s="323">
        <f t="shared" si="7"/>
        <v>4.32</v>
      </c>
      <c r="J119" s="325" t="s">
        <v>33</v>
      </c>
      <c r="K119" s="323"/>
      <c r="L119" s="323"/>
      <c r="M119" s="323"/>
      <c r="N119" s="326"/>
      <c r="O119" s="350"/>
      <c r="P119" s="328"/>
      <c r="Q119" s="332"/>
      <c r="U119" s="329" t="s">
        <v>881</v>
      </c>
    </row>
    <row r="120" spans="1:21" ht="54.75" customHeight="1" x14ac:dyDescent="0.35">
      <c r="A120" s="329">
        <v>27</v>
      </c>
      <c r="B120" s="1021">
        <v>104</v>
      </c>
      <c r="C120" s="336" t="s">
        <v>240</v>
      </c>
      <c r="D120" s="942">
        <v>4.3499999999999996</v>
      </c>
      <c r="E120" s="323">
        <f>'[1]road inventory 2018'!C67</f>
        <v>3.1</v>
      </c>
      <c r="F120" s="1046">
        <v>4.1399999999999997</v>
      </c>
      <c r="G120" s="323">
        <v>0</v>
      </c>
      <c r="H120" s="323">
        <v>0</v>
      </c>
      <c r="I120" s="323">
        <f t="shared" si="7"/>
        <v>0.20999999999999996</v>
      </c>
      <c r="J120" s="325" t="s">
        <v>33</v>
      </c>
      <c r="K120" s="323"/>
      <c r="L120" s="323"/>
      <c r="M120" s="330"/>
      <c r="N120" s="326"/>
      <c r="O120" s="350"/>
      <c r="P120" s="328"/>
    </row>
    <row r="121" spans="1:21" ht="20.149999999999999" customHeight="1" x14ac:dyDescent="0.35">
      <c r="A121" s="329">
        <v>28</v>
      </c>
      <c r="B121" s="321"/>
      <c r="C121" s="336" t="s">
        <v>868</v>
      </c>
      <c r="D121" s="326">
        <v>2.7</v>
      </c>
      <c r="E121" s="323"/>
      <c r="F121" s="1046">
        <v>0.2</v>
      </c>
      <c r="G121" s="323">
        <v>0</v>
      </c>
      <c r="H121" s="323">
        <v>0</v>
      </c>
      <c r="I121" s="323">
        <f t="shared" si="7"/>
        <v>2.5</v>
      </c>
      <c r="J121" s="325" t="s">
        <v>12</v>
      </c>
      <c r="K121" s="323"/>
      <c r="L121" s="323"/>
      <c r="M121" s="323"/>
      <c r="N121" s="326"/>
      <c r="O121" s="350"/>
      <c r="P121" s="328"/>
    </row>
    <row r="122" spans="1:21" ht="20.149999999999999" customHeight="1" x14ac:dyDescent="0.35">
      <c r="A122" s="329">
        <v>29</v>
      </c>
      <c r="B122" s="321"/>
      <c r="C122" s="336" t="s">
        <v>869</v>
      </c>
      <c r="D122" s="942">
        <v>2.14</v>
      </c>
      <c r="E122" s="323"/>
      <c r="F122" s="1046">
        <v>0.9</v>
      </c>
      <c r="G122" s="323">
        <v>0</v>
      </c>
      <c r="H122" s="323">
        <v>0</v>
      </c>
      <c r="I122" s="323">
        <f t="shared" si="7"/>
        <v>1.2400000000000002</v>
      </c>
      <c r="J122" s="325" t="s">
        <v>12</v>
      </c>
      <c r="K122" s="323"/>
      <c r="L122" s="323"/>
      <c r="M122" s="323"/>
      <c r="N122" s="326"/>
      <c r="O122" s="350"/>
      <c r="P122" s="328"/>
    </row>
    <row r="123" spans="1:21" s="317" customFormat="1" ht="20.149999999999999" customHeight="1" x14ac:dyDescent="0.35">
      <c r="B123" s="977"/>
      <c r="C123" s="978" t="s">
        <v>341</v>
      </c>
      <c r="D123" s="979">
        <f t="shared" ref="D123:I123" si="8">SUM(D94:D122)</f>
        <v>110.27700000000003</v>
      </c>
      <c r="E123" s="980">
        <f t="shared" si="8"/>
        <v>102.5</v>
      </c>
      <c r="F123" s="1077">
        <f t="shared" si="8"/>
        <v>40.840999999999994</v>
      </c>
      <c r="G123" s="980">
        <f t="shared" si="8"/>
        <v>0</v>
      </c>
      <c r="H123" s="980">
        <f t="shared" si="8"/>
        <v>0</v>
      </c>
      <c r="I123" s="980">
        <f t="shared" si="8"/>
        <v>69.435999999999979</v>
      </c>
      <c r="J123" s="981"/>
      <c r="K123" s="980"/>
      <c r="L123" s="980"/>
      <c r="M123" s="980"/>
      <c r="N123" s="372"/>
      <c r="O123" s="453"/>
      <c r="P123" s="377"/>
      <c r="Q123" s="320"/>
    </row>
    <row r="124" spans="1:21" ht="20.149999999999999" customHeight="1" x14ac:dyDescent="0.35">
      <c r="B124" s="321"/>
      <c r="C124" s="330"/>
      <c r="D124" s="330"/>
      <c r="E124" s="323"/>
      <c r="F124" s="1046"/>
      <c r="G124" s="323"/>
      <c r="H124" s="1138">
        <f>H123+I123</f>
        <v>69.435999999999979</v>
      </c>
      <c r="I124" s="1139"/>
      <c r="J124" s="325"/>
      <c r="K124" s="323"/>
      <c r="L124" s="323"/>
      <c r="M124" s="323"/>
      <c r="N124" s="326"/>
      <c r="O124" s="363"/>
      <c r="P124" s="328"/>
      <c r="Q124" s="331"/>
    </row>
    <row r="125" spans="1:21" s="317" customFormat="1" ht="20.149999999999999" customHeight="1" x14ac:dyDescent="0.35">
      <c r="B125" s="982" t="s">
        <v>380</v>
      </c>
      <c r="C125" s="983"/>
      <c r="D125" s="983"/>
      <c r="E125" s="980"/>
      <c r="F125" s="1077"/>
      <c r="G125" s="980"/>
      <c r="H125" s="980"/>
      <c r="I125" s="980"/>
      <c r="J125" s="981"/>
      <c r="K125" s="980"/>
      <c r="L125" s="980"/>
      <c r="M125" s="984"/>
      <c r="N125" s="378"/>
      <c r="O125" s="453"/>
      <c r="P125" s="377"/>
    </row>
    <row r="126" spans="1:21" ht="20.149999999999999" customHeight="1" x14ac:dyDescent="0.35">
      <c r="A126" s="329">
        <v>1</v>
      </c>
      <c r="B126" s="1021">
        <v>107</v>
      </c>
      <c r="C126" s="336" t="s">
        <v>381</v>
      </c>
      <c r="D126" s="326">
        <v>1.31</v>
      </c>
      <c r="E126" s="323">
        <f>'[1]road inventory 2018'!C73</f>
        <v>2.5</v>
      </c>
      <c r="F126" s="1046">
        <v>0</v>
      </c>
      <c r="G126" s="323">
        <v>0</v>
      </c>
      <c r="H126" s="323">
        <v>0</v>
      </c>
      <c r="I126" s="323">
        <f t="shared" ref="I126:I132" si="9">D126-F126-G126-H126</f>
        <v>1.31</v>
      </c>
      <c r="J126" s="325" t="s">
        <v>12</v>
      </c>
      <c r="K126" s="323"/>
      <c r="L126" s="323"/>
      <c r="M126" s="323"/>
      <c r="N126" s="326"/>
      <c r="O126" s="350"/>
      <c r="P126" s="328"/>
    </row>
    <row r="127" spans="1:21" ht="20.149999999999999" customHeight="1" x14ac:dyDescent="0.35">
      <c r="A127" s="329">
        <v>2</v>
      </c>
      <c r="B127" s="1021">
        <v>102</v>
      </c>
      <c r="C127" s="336" t="s">
        <v>242</v>
      </c>
      <c r="D127" s="326">
        <v>1.39</v>
      </c>
      <c r="E127" s="323">
        <f>'[1]road inventory 2018'!C74</f>
        <v>1.3</v>
      </c>
      <c r="F127" s="1046">
        <v>0.17</v>
      </c>
      <c r="G127" s="323">
        <v>0</v>
      </c>
      <c r="H127" s="323">
        <v>0</v>
      </c>
      <c r="I127" s="323">
        <f t="shared" si="9"/>
        <v>1.22</v>
      </c>
      <c r="J127" s="325" t="s">
        <v>33</v>
      </c>
      <c r="K127" s="323"/>
      <c r="L127" s="323"/>
      <c r="M127" s="323"/>
      <c r="N127" s="326"/>
      <c r="O127" s="350"/>
      <c r="P127" s="328"/>
    </row>
    <row r="128" spans="1:21" ht="20.149999999999999" customHeight="1" x14ac:dyDescent="0.35">
      <c r="A128" s="329">
        <v>3</v>
      </c>
      <c r="B128" s="1021">
        <v>101</v>
      </c>
      <c r="C128" s="336" t="s">
        <v>384</v>
      </c>
      <c r="D128" s="942">
        <v>0.64900000000000002</v>
      </c>
      <c r="E128" s="323">
        <v>0.6</v>
      </c>
      <c r="F128" s="1046">
        <f>D128</f>
        <v>0.64900000000000002</v>
      </c>
      <c r="G128" s="323">
        <v>0</v>
      </c>
      <c r="H128" s="323">
        <v>0</v>
      </c>
      <c r="I128" s="323">
        <f t="shared" si="9"/>
        <v>0</v>
      </c>
      <c r="J128" s="325" t="s">
        <v>12</v>
      </c>
      <c r="K128" s="323"/>
      <c r="L128" s="323"/>
      <c r="M128" s="323"/>
      <c r="N128" s="326"/>
      <c r="O128" s="350"/>
      <c r="P128" s="328"/>
    </row>
    <row r="129" spans="1:18" ht="20.149999999999999" customHeight="1" x14ac:dyDescent="0.35">
      <c r="A129" s="329">
        <v>4</v>
      </c>
      <c r="B129" s="1021">
        <v>47</v>
      </c>
      <c r="C129" s="336" t="s">
        <v>38</v>
      </c>
      <c r="D129" s="326">
        <v>17.399999999999999</v>
      </c>
      <c r="E129" s="323">
        <f>'[1]road inventory 2018'!C76</f>
        <v>17</v>
      </c>
      <c r="F129" s="1046">
        <v>1.3169999999999999</v>
      </c>
      <c r="G129" s="323">
        <v>0</v>
      </c>
      <c r="H129" s="323">
        <v>0</v>
      </c>
      <c r="I129" s="323">
        <f t="shared" si="9"/>
        <v>16.082999999999998</v>
      </c>
      <c r="J129" s="325" t="s">
        <v>33</v>
      </c>
      <c r="K129" s="323"/>
      <c r="L129" s="323"/>
      <c r="M129" s="323"/>
      <c r="N129" s="326"/>
      <c r="O129" s="350"/>
      <c r="P129" s="328"/>
    </row>
    <row r="130" spans="1:18" ht="20.149999999999999" customHeight="1" x14ac:dyDescent="0.35">
      <c r="A130" s="329">
        <v>5</v>
      </c>
      <c r="B130" s="1021">
        <v>48</v>
      </c>
      <c r="C130" s="336" t="s">
        <v>388</v>
      </c>
      <c r="D130" s="326">
        <v>2.65</v>
      </c>
      <c r="E130" s="323">
        <f>'[1]road inventory 2018'!C77</f>
        <v>2.6</v>
      </c>
      <c r="F130" s="1046">
        <v>0</v>
      </c>
      <c r="G130" s="323">
        <v>0</v>
      </c>
      <c r="H130" s="323">
        <v>0</v>
      </c>
      <c r="I130" s="323">
        <f t="shared" si="9"/>
        <v>2.65</v>
      </c>
      <c r="J130" s="325" t="s">
        <v>12</v>
      </c>
      <c r="K130" s="323"/>
      <c r="L130" s="323"/>
      <c r="M130" s="323"/>
      <c r="N130" s="326"/>
      <c r="O130" s="350"/>
      <c r="P130" s="328"/>
    </row>
    <row r="131" spans="1:18" ht="20.149999999999999" customHeight="1" x14ac:dyDescent="0.35">
      <c r="A131" s="329">
        <v>6</v>
      </c>
      <c r="B131" s="1021">
        <v>90</v>
      </c>
      <c r="C131" s="336" t="s">
        <v>390</v>
      </c>
      <c r="D131" s="942">
        <v>4.58</v>
      </c>
      <c r="E131" s="323">
        <f>'[1]road inventory 2018'!C78</f>
        <v>4.3499999999999996</v>
      </c>
      <c r="F131" s="1046">
        <v>0</v>
      </c>
      <c r="G131" s="323">
        <v>0</v>
      </c>
      <c r="H131" s="323">
        <v>0</v>
      </c>
      <c r="I131" s="323">
        <f t="shared" si="9"/>
        <v>4.58</v>
      </c>
      <c r="J131" s="325" t="s">
        <v>12</v>
      </c>
      <c r="K131" s="323"/>
      <c r="L131" s="323"/>
      <c r="M131" s="323"/>
      <c r="N131" s="326"/>
      <c r="O131" s="350"/>
      <c r="P131" s="328"/>
    </row>
    <row r="132" spans="1:18" ht="20.149999999999999" customHeight="1" x14ac:dyDescent="0.35">
      <c r="A132" s="329">
        <v>7</v>
      </c>
      <c r="B132" s="1021">
        <v>99</v>
      </c>
      <c r="C132" s="336" t="s">
        <v>392</v>
      </c>
      <c r="D132" s="942">
        <v>14.1</v>
      </c>
      <c r="E132" s="323">
        <f>'[1]road inventory 2018'!C79</f>
        <v>14.1</v>
      </c>
      <c r="F132" s="1046">
        <f>2.14+4.82</f>
        <v>6.9600000000000009</v>
      </c>
      <c r="G132" s="323">
        <v>0</v>
      </c>
      <c r="H132" s="323">
        <v>0</v>
      </c>
      <c r="I132" s="323">
        <f t="shared" si="9"/>
        <v>7.1399999999999988</v>
      </c>
      <c r="J132" s="325" t="s">
        <v>33</v>
      </c>
      <c r="K132" s="323"/>
      <c r="L132" s="323"/>
      <c r="M132" s="323"/>
      <c r="N132" s="326"/>
      <c r="O132" s="350"/>
      <c r="P132" s="328"/>
    </row>
    <row r="133" spans="1:18" s="317" customFormat="1" ht="20.149999999999999" customHeight="1" x14ac:dyDescent="0.35">
      <c r="B133" s="977"/>
      <c r="C133" s="978" t="s">
        <v>341</v>
      </c>
      <c r="D133" s="979">
        <f t="shared" ref="D133:I133" si="10">SUM(D126:D132)</f>
        <v>42.079000000000001</v>
      </c>
      <c r="E133" s="980">
        <f t="shared" si="10"/>
        <v>42.45</v>
      </c>
      <c r="F133" s="1077">
        <f t="shared" si="10"/>
        <v>9.0960000000000001</v>
      </c>
      <c r="G133" s="980">
        <f t="shared" si="10"/>
        <v>0</v>
      </c>
      <c r="H133" s="980">
        <f t="shared" si="10"/>
        <v>0</v>
      </c>
      <c r="I133" s="980">
        <f t="shared" si="10"/>
        <v>32.982999999999997</v>
      </c>
      <c r="J133" s="981"/>
      <c r="K133" s="980"/>
      <c r="L133" s="980"/>
      <c r="M133" s="980"/>
      <c r="N133" s="372"/>
      <c r="O133" s="453"/>
      <c r="P133" s="377"/>
      <c r="Q133" s="320"/>
    </row>
    <row r="134" spans="1:18" ht="20.149999999999999" customHeight="1" x14ac:dyDescent="0.35">
      <c r="B134" s="321"/>
      <c r="C134" s="330"/>
      <c r="D134" s="330"/>
      <c r="E134" s="323"/>
      <c r="F134" s="1046"/>
      <c r="G134" s="323"/>
      <c r="H134" s="1138">
        <f>H133+I133</f>
        <v>32.982999999999997</v>
      </c>
      <c r="I134" s="1139"/>
      <c r="J134" s="325"/>
      <c r="K134" s="323"/>
      <c r="L134" s="323"/>
      <c r="M134" s="323"/>
      <c r="N134" s="326"/>
      <c r="O134" s="363"/>
      <c r="P134" s="328"/>
      <c r="Q134" s="331"/>
    </row>
    <row r="135" spans="1:18" s="317" customFormat="1" ht="20.149999999999999" customHeight="1" x14ac:dyDescent="0.35">
      <c r="B135" s="982" t="s">
        <v>394</v>
      </c>
      <c r="C135" s="983"/>
      <c r="D135" s="983"/>
      <c r="E135" s="980"/>
      <c r="F135" s="1077"/>
      <c r="G135" s="980"/>
      <c r="H135" s="980"/>
      <c r="I135" s="980"/>
      <c r="J135" s="981"/>
      <c r="K135" s="980"/>
      <c r="L135" s="980"/>
      <c r="M135" s="984"/>
      <c r="N135" s="378"/>
      <c r="O135" s="453"/>
      <c r="P135" s="377"/>
    </row>
    <row r="136" spans="1:18" s="327" customFormat="1" ht="20.149999999999999" customHeight="1" x14ac:dyDescent="0.35">
      <c r="A136" s="327">
        <v>1</v>
      </c>
      <c r="B136" s="1022">
        <v>108</v>
      </c>
      <c r="C136" s="336" t="s">
        <v>395</v>
      </c>
      <c r="D136" s="326">
        <v>3.33</v>
      </c>
      <c r="E136" s="339">
        <f>'[1]road inventory 2018'!C86</f>
        <v>3.1</v>
      </c>
      <c r="F136" s="1081">
        <v>0.52</v>
      </c>
      <c r="G136" s="339">
        <v>0</v>
      </c>
      <c r="H136" s="339">
        <v>0</v>
      </c>
      <c r="I136" s="323">
        <f>D136-F136-G136-H136</f>
        <v>2.81</v>
      </c>
      <c r="J136" s="326" t="s">
        <v>12</v>
      </c>
      <c r="K136" s="323"/>
      <c r="L136" s="323"/>
      <c r="M136" s="323"/>
      <c r="N136" s="326"/>
      <c r="O136" s="350"/>
      <c r="P136" s="341"/>
    </row>
    <row r="137" spans="1:18" s="317" customFormat="1" ht="20.149999999999999" customHeight="1" x14ac:dyDescent="0.35">
      <c r="B137" s="977"/>
      <c r="C137" s="978" t="s">
        <v>341</v>
      </c>
      <c r="D137" s="980">
        <f t="shared" ref="D137:I137" si="11">SUM(D136)</f>
        <v>3.33</v>
      </c>
      <c r="E137" s="980">
        <f t="shared" si="11"/>
        <v>3.1</v>
      </c>
      <c r="F137" s="1077">
        <f t="shared" si="11"/>
        <v>0.52</v>
      </c>
      <c r="G137" s="980">
        <f t="shared" si="11"/>
        <v>0</v>
      </c>
      <c r="H137" s="980">
        <f t="shared" si="11"/>
        <v>0</v>
      </c>
      <c r="I137" s="980">
        <f t="shared" si="11"/>
        <v>2.81</v>
      </c>
      <c r="J137" s="981"/>
      <c r="K137" s="980"/>
      <c r="L137" s="980"/>
      <c r="M137" s="980"/>
      <c r="N137" s="372"/>
      <c r="O137" s="453"/>
      <c r="P137" s="377"/>
      <c r="Q137" s="320"/>
    </row>
    <row r="138" spans="1:18" ht="20.149999999999999" customHeight="1" x14ac:dyDescent="0.35">
      <c r="B138" s="321"/>
      <c r="C138" s="330"/>
      <c r="D138" s="330"/>
      <c r="E138" s="323"/>
      <c r="F138" s="1046"/>
      <c r="G138" s="323"/>
      <c r="H138" s="1138">
        <f>H137+I137</f>
        <v>2.81</v>
      </c>
      <c r="I138" s="1139"/>
      <c r="J138" s="325"/>
      <c r="K138" s="323"/>
      <c r="L138" s="323"/>
      <c r="M138" s="323"/>
      <c r="N138" s="326"/>
      <c r="O138" s="363"/>
      <c r="P138" s="328"/>
      <c r="Q138" s="331"/>
    </row>
    <row r="139" spans="1:18" s="317" customFormat="1" ht="20.149999999999999" customHeight="1" x14ac:dyDescent="0.35">
      <c r="B139" s="982" t="s">
        <v>397</v>
      </c>
      <c r="C139" s="983"/>
      <c r="D139" s="983"/>
      <c r="E139" s="980"/>
      <c r="F139" s="1077"/>
      <c r="G139" s="980"/>
      <c r="H139" s="980"/>
      <c r="I139" s="980"/>
      <c r="J139" s="981"/>
      <c r="K139" s="980"/>
      <c r="L139" s="980"/>
      <c r="M139" s="984"/>
      <c r="N139" s="378"/>
      <c r="O139" s="453"/>
      <c r="P139" s="377"/>
    </row>
    <row r="140" spans="1:18" ht="20.149999999999999" customHeight="1" x14ac:dyDescent="0.35">
      <c r="A140" s="329">
        <v>1</v>
      </c>
      <c r="B140" s="1021">
        <v>223</v>
      </c>
      <c r="C140" s="336" t="s">
        <v>42</v>
      </c>
      <c r="D140" s="942">
        <v>4.0999999999999996</v>
      </c>
      <c r="E140" s="323">
        <f>'[1]road inventory 2018'!C93</f>
        <v>4.0999999999999996</v>
      </c>
      <c r="F140" s="1046">
        <v>0</v>
      </c>
      <c r="G140" s="323">
        <v>0</v>
      </c>
      <c r="H140" s="323">
        <v>0</v>
      </c>
      <c r="I140" s="323">
        <f t="shared" ref="I140:I149" si="12">D140-F140-G140-H140</f>
        <v>4.0999999999999996</v>
      </c>
      <c r="J140" s="325" t="s">
        <v>33</v>
      </c>
      <c r="K140" s="323"/>
      <c r="L140" s="323"/>
      <c r="M140" s="323"/>
      <c r="N140" s="326"/>
      <c r="O140" s="350"/>
      <c r="P140" s="328"/>
    </row>
    <row r="141" spans="1:18" ht="20.149999999999999" customHeight="1" x14ac:dyDescent="0.35">
      <c r="A141" s="329">
        <v>2</v>
      </c>
      <c r="B141" s="1021">
        <v>224</v>
      </c>
      <c r="C141" s="336" t="s">
        <v>44</v>
      </c>
      <c r="D141" s="942">
        <v>7.2060000000000004</v>
      </c>
      <c r="E141" s="323">
        <f>'[1]road inventory 2018'!C94</f>
        <v>7.2</v>
      </c>
      <c r="F141" s="1046">
        <v>3.09</v>
      </c>
      <c r="G141" s="323">
        <v>0</v>
      </c>
      <c r="H141" s="323">
        <v>0</v>
      </c>
      <c r="I141" s="323">
        <f t="shared" si="12"/>
        <v>4.1160000000000005</v>
      </c>
      <c r="J141" s="325" t="s">
        <v>12</v>
      </c>
      <c r="K141" s="323"/>
      <c r="L141" s="323"/>
      <c r="M141" s="323"/>
      <c r="N141" s="326"/>
      <c r="O141" s="350"/>
      <c r="P141" s="328"/>
      <c r="Q141" s="363"/>
      <c r="R141" s="328"/>
    </row>
    <row r="142" spans="1:18" ht="20.149999999999999" customHeight="1" x14ac:dyDescent="0.35">
      <c r="A142" s="329">
        <v>3</v>
      </c>
      <c r="B142" s="1021">
        <v>45</v>
      </c>
      <c r="C142" s="336" t="s">
        <v>400</v>
      </c>
      <c r="D142" s="942">
        <v>8.3000000000000007</v>
      </c>
      <c r="E142" s="323">
        <f>'[1]road inventory 2018'!C95</f>
        <v>7.8999999999999995</v>
      </c>
      <c r="F142" s="1046">
        <v>1.125</v>
      </c>
      <c r="G142" s="323">
        <v>0</v>
      </c>
      <c r="H142" s="323">
        <v>0</v>
      </c>
      <c r="I142" s="323">
        <f t="shared" si="12"/>
        <v>7.1750000000000007</v>
      </c>
      <c r="J142" s="325" t="s">
        <v>41</v>
      </c>
      <c r="K142" s="323"/>
      <c r="L142" s="323"/>
      <c r="M142" s="323"/>
      <c r="N142" s="326"/>
      <c r="O142" s="350"/>
      <c r="P142" s="328"/>
    </row>
    <row r="143" spans="1:18" ht="20.149999999999999" customHeight="1" x14ac:dyDescent="0.35">
      <c r="A143" s="329">
        <v>4</v>
      </c>
      <c r="B143" s="1021">
        <v>217</v>
      </c>
      <c r="C143" s="336" t="s">
        <v>243</v>
      </c>
      <c r="D143" s="942">
        <v>1.1000000000000001</v>
      </c>
      <c r="E143" s="323">
        <f>'[1]road inventory 2018'!C96</f>
        <v>1.1000000000000001</v>
      </c>
      <c r="F143" s="1046">
        <v>1.1000000000000001</v>
      </c>
      <c r="G143" s="323">
        <v>0</v>
      </c>
      <c r="H143" s="323">
        <v>0</v>
      </c>
      <c r="I143" s="323">
        <f t="shared" si="12"/>
        <v>0</v>
      </c>
      <c r="J143" s="325" t="s">
        <v>10</v>
      </c>
      <c r="K143" s="323"/>
      <c r="L143" s="323"/>
      <c r="M143" s="323"/>
      <c r="N143" s="326"/>
      <c r="O143" s="350"/>
      <c r="P143" s="328"/>
    </row>
    <row r="144" spans="1:18" ht="20.149999999999999" customHeight="1" x14ac:dyDescent="0.35">
      <c r="A144" s="329">
        <v>5</v>
      </c>
      <c r="B144" s="1021">
        <v>225</v>
      </c>
      <c r="C144" s="336" t="s">
        <v>403</v>
      </c>
      <c r="D144" s="942">
        <v>0.42</v>
      </c>
      <c r="E144" s="323">
        <f>'[1]road inventory 2018'!C97</f>
        <v>0.4</v>
      </c>
      <c r="F144" s="1046">
        <v>0</v>
      </c>
      <c r="G144" s="323">
        <v>0</v>
      </c>
      <c r="H144" s="323">
        <v>0</v>
      </c>
      <c r="I144" s="323">
        <f t="shared" si="12"/>
        <v>0.42</v>
      </c>
      <c r="J144" s="325" t="s">
        <v>12</v>
      </c>
      <c r="K144" s="323"/>
      <c r="L144" s="323"/>
      <c r="M144" s="323"/>
      <c r="N144" s="326"/>
      <c r="O144" s="350"/>
      <c r="P144" s="328"/>
    </row>
    <row r="145" spans="1:17" ht="20.149999999999999" customHeight="1" x14ac:dyDescent="0.35">
      <c r="A145" s="329">
        <v>6</v>
      </c>
      <c r="B145" s="1021">
        <v>226</v>
      </c>
      <c r="C145" s="336" t="s">
        <v>45</v>
      </c>
      <c r="D145" s="942">
        <v>5.016</v>
      </c>
      <c r="E145" s="323">
        <f>'[1]road inventory 2018'!C98</f>
        <v>4.8</v>
      </c>
      <c r="F145" s="1046">
        <f>5.016</f>
        <v>5.016</v>
      </c>
      <c r="G145" s="323">
        <v>0</v>
      </c>
      <c r="H145" s="323">
        <v>0</v>
      </c>
      <c r="I145" s="323">
        <f t="shared" si="12"/>
        <v>0</v>
      </c>
      <c r="J145" s="325" t="s">
        <v>12</v>
      </c>
      <c r="K145" s="323"/>
      <c r="L145" s="323"/>
      <c r="M145" s="323"/>
      <c r="N145" s="326"/>
      <c r="O145" s="350"/>
      <c r="P145" s="328"/>
    </row>
    <row r="146" spans="1:17" ht="20.149999999999999" customHeight="1" x14ac:dyDescent="0.35">
      <c r="A146" s="329">
        <v>7</v>
      </c>
      <c r="B146" s="1021">
        <v>116</v>
      </c>
      <c r="C146" s="336" t="s">
        <v>47</v>
      </c>
      <c r="D146" s="942">
        <v>13.17</v>
      </c>
      <c r="E146" s="323">
        <f>'[1]road inventory 2018'!C99</f>
        <v>12.3</v>
      </c>
      <c r="F146" s="1046">
        <f>7.972+5.26-0.062</f>
        <v>13.17</v>
      </c>
      <c r="G146" s="323">
        <v>0</v>
      </c>
      <c r="H146" s="323">
        <v>0</v>
      </c>
      <c r="I146" s="323">
        <f t="shared" si="12"/>
        <v>0</v>
      </c>
      <c r="J146" s="325" t="s">
        <v>12</v>
      </c>
      <c r="K146" s="323"/>
      <c r="L146" s="323"/>
      <c r="M146" s="323"/>
      <c r="N146" s="326"/>
      <c r="O146" s="350"/>
      <c r="P146" s="328"/>
    </row>
    <row r="147" spans="1:17" ht="20.149999999999999" customHeight="1" x14ac:dyDescent="0.35">
      <c r="A147" s="329">
        <v>8</v>
      </c>
      <c r="B147" s="1021">
        <v>46</v>
      </c>
      <c r="C147" s="336" t="s">
        <v>406</v>
      </c>
      <c r="D147" s="942">
        <v>1.31</v>
      </c>
      <c r="E147" s="323">
        <f>'[1]road inventory 2018'!C100</f>
        <v>1.3</v>
      </c>
      <c r="F147" s="1046">
        <v>1.31</v>
      </c>
      <c r="G147" s="323">
        <v>0</v>
      </c>
      <c r="H147" s="323">
        <v>0</v>
      </c>
      <c r="I147" s="323">
        <f t="shared" si="12"/>
        <v>0</v>
      </c>
      <c r="J147" s="325" t="s">
        <v>12</v>
      </c>
      <c r="K147" s="323"/>
      <c r="L147" s="323"/>
      <c r="M147" s="323"/>
      <c r="N147" s="326"/>
      <c r="O147" s="350"/>
      <c r="P147" s="328"/>
    </row>
    <row r="148" spans="1:17" ht="20.149999999999999" customHeight="1" x14ac:dyDescent="0.35">
      <c r="A148" s="329">
        <v>9</v>
      </c>
      <c r="B148" s="1021">
        <v>227</v>
      </c>
      <c r="C148" s="336" t="s">
        <v>408</v>
      </c>
      <c r="D148" s="942">
        <v>7.2</v>
      </c>
      <c r="E148" s="323">
        <f>'[1]road inventory 2018'!C101</f>
        <v>7.2</v>
      </c>
      <c r="F148" s="1046">
        <v>0</v>
      </c>
      <c r="G148" s="323">
        <v>0</v>
      </c>
      <c r="H148" s="323">
        <v>0</v>
      </c>
      <c r="I148" s="323">
        <f t="shared" si="12"/>
        <v>7.2</v>
      </c>
      <c r="J148" s="325" t="s">
        <v>12</v>
      </c>
      <c r="K148" s="323"/>
      <c r="L148" s="323"/>
      <c r="M148" s="323"/>
      <c r="N148" s="326"/>
      <c r="O148" s="350"/>
      <c r="P148" s="328"/>
    </row>
    <row r="149" spans="1:17" ht="20.149999999999999" customHeight="1" x14ac:dyDescent="0.35">
      <c r="A149" s="329">
        <v>10</v>
      </c>
      <c r="B149" s="1021">
        <v>100</v>
      </c>
      <c r="C149" s="336" t="s">
        <v>50</v>
      </c>
      <c r="D149" s="942">
        <v>7.8</v>
      </c>
      <c r="E149" s="323">
        <f>'[1]road inventory 2018'!C102</f>
        <v>7.8</v>
      </c>
      <c r="F149" s="1046">
        <v>0</v>
      </c>
      <c r="G149" s="323">
        <v>0</v>
      </c>
      <c r="H149" s="323">
        <v>0</v>
      </c>
      <c r="I149" s="323">
        <f t="shared" si="12"/>
        <v>7.8</v>
      </c>
      <c r="J149" s="325" t="s">
        <v>33</v>
      </c>
      <c r="K149" s="323"/>
      <c r="L149" s="323"/>
      <c r="M149" s="323"/>
      <c r="N149" s="326"/>
      <c r="O149" s="350"/>
      <c r="P149" s="328"/>
    </row>
    <row r="150" spans="1:17" s="317" customFormat="1" ht="20.149999999999999" customHeight="1" x14ac:dyDescent="0.35">
      <c r="B150" s="977"/>
      <c r="C150" s="978" t="s">
        <v>341</v>
      </c>
      <c r="D150" s="979">
        <f t="shared" ref="D150:I150" si="13">SUM(D140:D149)</f>
        <v>55.622000000000007</v>
      </c>
      <c r="E150" s="980">
        <f t="shared" si="13"/>
        <v>54.099999999999994</v>
      </c>
      <c r="F150" s="1077">
        <f t="shared" si="13"/>
        <v>24.810999999999996</v>
      </c>
      <c r="G150" s="980">
        <f t="shared" si="13"/>
        <v>0</v>
      </c>
      <c r="H150" s="980">
        <f t="shared" si="13"/>
        <v>0</v>
      </c>
      <c r="I150" s="980">
        <f t="shared" si="13"/>
        <v>30.811000000000003</v>
      </c>
      <c r="J150" s="981"/>
      <c r="K150" s="980"/>
      <c r="L150" s="980"/>
      <c r="M150" s="980"/>
      <c r="N150" s="372"/>
      <c r="O150" s="453"/>
      <c r="P150" s="377"/>
      <c r="Q150" s="320"/>
    </row>
    <row r="151" spans="1:17" ht="20.149999999999999" customHeight="1" x14ac:dyDescent="0.35">
      <c r="B151" s="321"/>
      <c r="C151" s="330"/>
      <c r="D151" s="330"/>
      <c r="E151" s="323"/>
      <c r="F151" s="1046"/>
      <c r="G151" s="323"/>
      <c r="H151" s="1138">
        <f>H150+I150</f>
        <v>30.811000000000003</v>
      </c>
      <c r="I151" s="1139"/>
      <c r="J151" s="325"/>
      <c r="K151" s="323"/>
      <c r="L151" s="323"/>
      <c r="M151" s="323"/>
      <c r="N151" s="326"/>
      <c r="O151" s="363"/>
      <c r="P151" s="328"/>
      <c r="Q151" s="331"/>
    </row>
    <row r="152" spans="1:17" s="983" customFormat="1" ht="20.149999999999999" customHeight="1" x14ac:dyDescent="0.35">
      <c r="A152" s="317"/>
      <c r="B152" s="1004" t="s">
        <v>579</v>
      </c>
      <c r="E152" s="980"/>
      <c r="F152" s="1077"/>
      <c r="G152" s="980"/>
      <c r="H152" s="980"/>
      <c r="I152" s="980"/>
      <c r="J152" s="981"/>
      <c r="K152" s="980"/>
      <c r="L152" s="980"/>
      <c r="M152" s="984"/>
      <c r="O152" s="997"/>
      <c r="P152" s="998"/>
      <c r="Q152" s="984"/>
    </row>
    <row r="153" spans="1:17" ht="20.149999999999999" customHeight="1" x14ac:dyDescent="0.35">
      <c r="A153" s="329">
        <v>1</v>
      </c>
      <c r="B153" s="1021">
        <v>214</v>
      </c>
      <c r="C153" s="336" t="s">
        <v>580</v>
      </c>
      <c r="D153" s="942">
        <v>4.5</v>
      </c>
      <c r="E153" s="323">
        <f>'[1]road inventory 2018'!C318</f>
        <v>4.5</v>
      </c>
      <c r="F153" s="1046">
        <v>0.7</v>
      </c>
      <c r="G153" s="323">
        <v>0</v>
      </c>
      <c r="H153" s="323">
        <v>0</v>
      </c>
      <c r="I153" s="323">
        <f>D153-F153-G153-H153</f>
        <v>3.8</v>
      </c>
      <c r="J153" s="325" t="s">
        <v>12</v>
      </c>
      <c r="K153" s="323"/>
      <c r="L153" s="323"/>
      <c r="M153" s="323"/>
      <c r="N153" s="326"/>
      <c r="O153" s="350"/>
      <c r="P153" s="328"/>
    </row>
    <row r="154" spans="1:17" ht="20.149999999999999" customHeight="1" x14ac:dyDescent="0.35">
      <c r="A154" s="329">
        <v>2</v>
      </c>
      <c r="B154" s="1021">
        <v>212</v>
      </c>
      <c r="C154" s="336" t="s">
        <v>582</v>
      </c>
      <c r="D154" s="942">
        <v>2.75</v>
      </c>
      <c r="E154" s="323">
        <f>'[1]road inventory 2018'!C319</f>
        <v>2.75</v>
      </c>
      <c r="F154" s="1046">
        <v>2.6</v>
      </c>
      <c r="G154" s="323">
        <v>0</v>
      </c>
      <c r="H154" s="323">
        <v>0</v>
      </c>
      <c r="I154" s="323">
        <f>D154-F154-G154-H154</f>
        <v>0.14999999999999991</v>
      </c>
      <c r="J154" s="325" t="s">
        <v>12</v>
      </c>
      <c r="K154" s="323"/>
      <c r="L154" s="323"/>
      <c r="M154" s="323"/>
      <c r="N154" s="326"/>
      <c r="O154" s="350"/>
      <c r="P154" s="328"/>
    </row>
    <row r="155" spans="1:17" s="983" customFormat="1" ht="20.149999999999999" customHeight="1" x14ac:dyDescent="0.35">
      <c r="B155" s="977"/>
      <c r="C155" s="978" t="s">
        <v>341</v>
      </c>
      <c r="D155" s="979">
        <f t="shared" ref="D155:I155" si="14">SUM(D153:D154)</f>
        <v>7.25</v>
      </c>
      <c r="E155" s="980">
        <f t="shared" si="14"/>
        <v>7.25</v>
      </c>
      <c r="F155" s="1077">
        <f t="shared" si="14"/>
        <v>3.3</v>
      </c>
      <c r="G155" s="980">
        <f t="shared" si="14"/>
        <v>0</v>
      </c>
      <c r="H155" s="980">
        <f t="shared" si="14"/>
        <v>0</v>
      </c>
      <c r="I155" s="980">
        <f t="shared" si="14"/>
        <v>3.9499999999999997</v>
      </c>
      <c r="J155" s="981"/>
      <c r="K155" s="980"/>
      <c r="L155" s="980"/>
      <c r="M155" s="980"/>
      <c r="N155" s="999"/>
      <c r="O155" s="997"/>
      <c r="P155" s="998"/>
      <c r="Q155" s="984"/>
    </row>
    <row r="156" spans="1:17" ht="15" customHeight="1" x14ac:dyDescent="0.35">
      <c r="B156" s="321"/>
      <c r="C156" s="330"/>
      <c r="D156" s="330"/>
      <c r="E156" s="323"/>
      <c r="F156" s="1046"/>
      <c r="G156" s="323"/>
      <c r="H156" s="1138">
        <f>H155+I155</f>
        <v>3.9499999999999997</v>
      </c>
      <c r="I156" s="1139"/>
      <c r="J156" s="325"/>
      <c r="K156" s="323"/>
      <c r="L156" s="323"/>
      <c r="M156" s="323"/>
      <c r="N156" s="326"/>
      <c r="O156" s="363"/>
      <c r="P156" s="328"/>
      <c r="Q156" s="331"/>
    </row>
    <row r="157" spans="1:17" s="983" customFormat="1" ht="20.149999999999999" customHeight="1" x14ac:dyDescent="0.35">
      <c r="B157" s="982" t="s">
        <v>526</v>
      </c>
      <c r="E157" s="980"/>
      <c r="F157" s="1082"/>
      <c r="G157" s="1005"/>
      <c r="H157" s="1005"/>
      <c r="I157" s="980"/>
      <c r="J157" s="981"/>
      <c r="K157" s="980"/>
      <c r="L157" s="980"/>
      <c r="M157" s="984"/>
      <c r="O157" s="997"/>
      <c r="P157" s="998"/>
    </row>
    <row r="158" spans="1:17" ht="20.149999999999999" customHeight="1" x14ac:dyDescent="0.35">
      <c r="A158" s="329">
        <v>1</v>
      </c>
      <c r="B158" s="1021">
        <v>160</v>
      </c>
      <c r="C158" s="336" t="s">
        <v>527</v>
      </c>
      <c r="D158" s="942">
        <v>28</v>
      </c>
      <c r="E158" s="323">
        <f>'[1]road inventory 2018'!C266</f>
        <v>28</v>
      </c>
      <c r="F158" s="1046">
        <f>11.72+2.86</f>
        <v>14.58</v>
      </c>
      <c r="G158" s="323">
        <v>0</v>
      </c>
      <c r="H158" s="323">
        <v>0</v>
      </c>
      <c r="I158" s="323">
        <f t="shared" ref="I158:I168" si="15">D158-F158-G158-H158</f>
        <v>13.42</v>
      </c>
      <c r="J158" s="325" t="s">
        <v>33</v>
      </c>
      <c r="K158" s="323"/>
      <c r="L158" s="323"/>
      <c r="M158" s="323"/>
      <c r="N158" s="326"/>
      <c r="O158" s="363"/>
      <c r="P158" s="328"/>
    </row>
    <row r="159" spans="1:17" ht="20.149999999999999" customHeight="1" x14ac:dyDescent="0.35">
      <c r="A159" s="329">
        <v>2</v>
      </c>
      <c r="B159" s="1021">
        <v>161</v>
      </c>
      <c r="C159" s="336" t="s">
        <v>529</v>
      </c>
      <c r="D159" s="942">
        <v>1.8</v>
      </c>
      <c r="E159" s="323">
        <f>'[1]road inventory 2018'!C267</f>
        <v>1.8</v>
      </c>
      <c r="F159" s="1046">
        <v>1.8</v>
      </c>
      <c r="G159" s="323">
        <v>0</v>
      </c>
      <c r="H159" s="323">
        <v>0</v>
      </c>
      <c r="I159" s="323">
        <f t="shared" si="15"/>
        <v>0</v>
      </c>
      <c r="J159" s="325" t="s">
        <v>12</v>
      </c>
      <c r="K159" s="323"/>
      <c r="L159" s="323"/>
      <c r="M159" s="323"/>
      <c r="N159" s="326"/>
      <c r="O159" s="363"/>
      <c r="P159" s="328"/>
    </row>
    <row r="160" spans="1:17" ht="20.149999999999999" customHeight="1" x14ac:dyDescent="0.35">
      <c r="A160" s="329">
        <v>3</v>
      </c>
      <c r="B160" s="1021">
        <v>162</v>
      </c>
      <c r="C160" s="336" t="s">
        <v>530</v>
      </c>
      <c r="D160" s="942">
        <v>1.9</v>
      </c>
      <c r="E160" s="323">
        <f>'[1]road inventory 2018'!C268</f>
        <v>1.9</v>
      </c>
      <c r="F160" s="1046">
        <v>0</v>
      </c>
      <c r="G160" s="323">
        <v>0</v>
      </c>
      <c r="H160" s="323">
        <v>0</v>
      </c>
      <c r="I160" s="323">
        <f t="shared" si="15"/>
        <v>1.9</v>
      </c>
      <c r="J160" s="325" t="s">
        <v>33</v>
      </c>
      <c r="K160" s="323"/>
      <c r="L160" s="323"/>
      <c r="M160" s="323"/>
      <c r="N160" s="326"/>
      <c r="O160" s="363"/>
      <c r="P160" s="328"/>
    </row>
    <row r="161" spans="1:17" ht="20.149999999999999" customHeight="1" x14ac:dyDescent="0.35">
      <c r="A161" s="329">
        <v>4</v>
      </c>
      <c r="B161" s="1021">
        <v>163</v>
      </c>
      <c r="C161" s="336" t="s">
        <v>532</v>
      </c>
      <c r="D161" s="942">
        <v>9</v>
      </c>
      <c r="E161" s="323">
        <f>'[1]road inventory 2018'!C269</f>
        <v>9</v>
      </c>
      <c r="F161" s="1046">
        <v>0.59399999999999997</v>
      </c>
      <c r="G161" s="323">
        <v>0</v>
      </c>
      <c r="H161" s="323">
        <v>0</v>
      </c>
      <c r="I161" s="323">
        <f t="shared" si="15"/>
        <v>8.4060000000000006</v>
      </c>
      <c r="J161" s="325" t="s">
        <v>33</v>
      </c>
      <c r="K161" s="323"/>
      <c r="L161" s="323"/>
      <c r="M161" s="323"/>
      <c r="N161" s="326"/>
      <c r="O161" s="363"/>
      <c r="P161" s="328"/>
    </row>
    <row r="162" spans="1:17" ht="20.149999999999999" customHeight="1" x14ac:dyDescent="0.35">
      <c r="A162" s="329">
        <v>5</v>
      </c>
      <c r="B162" s="1021">
        <v>164</v>
      </c>
      <c r="C162" s="336" t="s">
        <v>534</v>
      </c>
      <c r="D162" s="942">
        <v>2.2000000000000002</v>
      </c>
      <c r="E162" s="323">
        <f>'[1]road inventory 2018'!C270</f>
        <v>2.2000000000000002</v>
      </c>
      <c r="F162" s="1046">
        <v>0.42099999999999999</v>
      </c>
      <c r="G162" s="323">
        <v>0</v>
      </c>
      <c r="H162" s="323">
        <v>0</v>
      </c>
      <c r="I162" s="323">
        <f t="shared" si="15"/>
        <v>1.7790000000000001</v>
      </c>
      <c r="J162" s="325" t="s">
        <v>33</v>
      </c>
      <c r="K162" s="323"/>
      <c r="L162" s="323"/>
      <c r="M162" s="323"/>
      <c r="N162" s="326"/>
      <c r="O162" s="363"/>
      <c r="P162" s="328"/>
    </row>
    <row r="163" spans="1:17" ht="20.149999999999999" customHeight="1" x14ac:dyDescent="0.35">
      <c r="A163" s="329">
        <v>6</v>
      </c>
      <c r="B163" s="1021">
        <v>165</v>
      </c>
      <c r="C163" s="336" t="s">
        <v>536</v>
      </c>
      <c r="D163" s="942">
        <v>3.5</v>
      </c>
      <c r="E163" s="323">
        <f>'[1]road inventory 2018'!C271</f>
        <v>3.5</v>
      </c>
      <c r="F163" s="1046">
        <v>0</v>
      </c>
      <c r="G163" s="323">
        <v>0</v>
      </c>
      <c r="H163" s="323">
        <v>0</v>
      </c>
      <c r="I163" s="323">
        <f t="shared" si="15"/>
        <v>3.5</v>
      </c>
      <c r="J163" s="325" t="s">
        <v>33</v>
      </c>
      <c r="K163" s="323"/>
      <c r="L163" s="323"/>
      <c r="M163" s="323"/>
      <c r="N163" s="326"/>
      <c r="O163" s="363"/>
      <c r="P163" s="328"/>
    </row>
    <row r="164" spans="1:17" ht="20.149999999999999" customHeight="1" x14ac:dyDescent="0.35">
      <c r="A164" s="329">
        <v>7</v>
      </c>
      <c r="B164" s="1021">
        <v>166</v>
      </c>
      <c r="C164" s="336" t="s">
        <v>538</v>
      </c>
      <c r="D164" s="942">
        <v>2.8</v>
      </c>
      <c r="E164" s="323">
        <f>'[1]road inventory 2018'!C272</f>
        <v>2.8</v>
      </c>
      <c r="F164" s="1046">
        <v>8.1000000000000003E-2</v>
      </c>
      <c r="G164" s="323">
        <v>0</v>
      </c>
      <c r="H164" s="323">
        <v>0</v>
      </c>
      <c r="I164" s="323">
        <f t="shared" si="15"/>
        <v>2.7189999999999999</v>
      </c>
      <c r="J164" s="325" t="s">
        <v>12</v>
      </c>
      <c r="K164" s="323"/>
      <c r="L164" s="323"/>
      <c r="M164" s="323"/>
      <c r="N164" s="326"/>
      <c r="O164" s="363"/>
      <c r="P164" s="328"/>
    </row>
    <row r="165" spans="1:17" ht="20.149999999999999" customHeight="1" x14ac:dyDescent="0.35">
      <c r="A165" s="329">
        <v>8</v>
      </c>
      <c r="B165" s="1021">
        <v>167</v>
      </c>
      <c r="C165" s="336" t="s">
        <v>540</v>
      </c>
      <c r="D165" s="942">
        <v>5.5</v>
      </c>
      <c r="E165" s="323">
        <f>'[1]road inventory 2018'!C273</f>
        <v>5.5</v>
      </c>
      <c r="F165" s="1046">
        <v>0.67400000000000004</v>
      </c>
      <c r="G165" s="323">
        <v>0</v>
      </c>
      <c r="H165" s="323">
        <v>0</v>
      </c>
      <c r="I165" s="323">
        <f t="shared" si="15"/>
        <v>4.8259999999999996</v>
      </c>
      <c r="J165" s="325" t="s">
        <v>33</v>
      </c>
      <c r="K165" s="323"/>
      <c r="L165" s="323"/>
      <c r="M165" s="323"/>
      <c r="N165" s="326"/>
      <c r="O165" s="363"/>
      <c r="P165" s="328"/>
    </row>
    <row r="166" spans="1:17" ht="20.149999999999999" customHeight="1" x14ac:dyDescent="0.35">
      <c r="A166" s="329">
        <v>9</v>
      </c>
      <c r="B166" s="1021">
        <v>168</v>
      </c>
      <c r="C166" s="336" t="s">
        <v>542</v>
      </c>
      <c r="D166" s="942">
        <v>2.8</v>
      </c>
      <c r="E166" s="323">
        <f>'[1]road inventory 2018'!C274</f>
        <v>2.8</v>
      </c>
      <c r="F166" s="1046">
        <v>0</v>
      </c>
      <c r="G166" s="323">
        <v>0</v>
      </c>
      <c r="H166" s="323">
        <v>0</v>
      </c>
      <c r="I166" s="323">
        <f t="shared" si="15"/>
        <v>2.8</v>
      </c>
      <c r="J166" s="325" t="s">
        <v>33</v>
      </c>
      <c r="K166" s="323"/>
      <c r="L166" s="323"/>
      <c r="M166" s="323"/>
      <c r="N166" s="326"/>
      <c r="O166" s="363"/>
      <c r="P166" s="328"/>
    </row>
    <row r="167" spans="1:17" ht="20.149999999999999" customHeight="1" x14ac:dyDescent="0.35">
      <c r="A167" s="329">
        <v>10</v>
      </c>
      <c r="B167" s="1021">
        <v>170</v>
      </c>
      <c r="C167" s="336" t="s">
        <v>544</v>
      </c>
      <c r="D167" s="942">
        <v>1.3</v>
      </c>
      <c r="E167" s="323">
        <f>'[1]road inventory 2018'!C275</f>
        <v>1.3</v>
      </c>
      <c r="F167" s="1046">
        <v>0</v>
      </c>
      <c r="G167" s="323">
        <v>0</v>
      </c>
      <c r="H167" s="323">
        <v>0</v>
      </c>
      <c r="I167" s="323">
        <f t="shared" si="15"/>
        <v>1.3</v>
      </c>
      <c r="J167" s="325" t="s">
        <v>33</v>
      </c>
      <c r="K167" s="323"/>
      <c r="L167" s="323"/>
      <c r="M167" s="323"/>
      <c r="N167" s="326"/>
      <c r="O167" s="363"/>
      <c r="P167" s="328"/>
    </row>
    <row r="168" spans="1:17" ht="20.149999999999999" customHeight="1" x14ac:dyDescent="0.35">
      <c r="A168" s="329">
        <v>11</v>
      </c>
      <c r="B168" s="1021">
        <v>169</v>
      </c>
      <c r="C168" s="336" t="s">
        <v>545</v>
      </c>
      <c r="D168" s="942">
        <v>3.2</v>
      </c>
      <c r="E168" s="323">
        <f>'[1]road inventory 2018'!C276</f>
        <v>3.2</v>
      </c>
      <c r="F168" s="1046">
        <v>0</v>
      </c>
      <c r="G168" s="323">
        <v>0</v>
      </c>
      <c r="H168" s="323">
        <v>0</v>
      </c>
      <c r="I168" s="323">
        <f t="shared" si="15"/>
        <v>3.2</v>
      </c>
      <c r="J168" s="325" t="s">
        <v>33</v>
      </c>
      <c r="K168" s="323"/>
      <c r="L168" s="323"/>
      <c r="M168" s="323"/>
      <c r="N168" s="326"/>
      <c r="O168" s="363"/>
      <c r="P168" s="328"/>
    </row>
    <row r="169" spans="1:17" s="983" customFormat="1" ht="20.149999999999999" customHeight="1" x14ac:dyDescent="0.35">
      <c r="B169" s="977"/>
      <c r="C169" s="978" t="s">
        <v>341</v>
      </c>
      <c r="D169" s="979">
        <f t="shared" ref="D169:I169" si="16">SUM(D158:D168)</f>
        <v>62</v>
      </c>
      <c r="E169" s="980">
        <f t="shared" si="16"/>
        <v>62</v>
      </c>
      <c r="F169" s="1077">
        <f t="shared" si="16"/>
        <v>18.149999999999999</v>
      </c>
      <c r="G169" s="980">
        <f t="shared" si="16"/>
        <v>0</v>
      </c>
      <c r="H169" s="980">
        <f t="shared" si="16"/>
        <v>0</v>
      </c>
      <c r="I169" s="980">
        <f t="shared" si="16"/>
        <v>43.849999999999994</v>
      </c>
      <c r="J169" s="981"/>
      <c r="K169" s="980"/>
      <c r="L169" s="980"/>
      <c r="M169" s="980"/>
      <c r="N169" s="999"/>
      <c r="O169" s="997"/>
      <c r="P169" s="998"/>
      <c r="Q169" s="984"/>
    </row>
    <row r="170" spans="1:17" ht="20.149999999999999" customHeight="1" x14ac:dyDescent="0.35">
      <c r="B170" s="321"/>
      <c r="C170" s="330"/>
      <c r="D170" s="330"/>
      <c r="E170" s="323"/>
      <c r="F170" s="1046"/>
      <c r="G170" s="323"/>
      <c r="H170" s="1138">
        <f>I169+H169</f>
        <v>43.849999999999994</v>
      </c>
      <c r="I170" s="1139"/>
      <c r="J170" s="325"/>
      <c r="K170" s="323"/>
      <c r="L170" s="323"/>
      <c r="M170" s="323"/>
      <c r="N170" s="326"/>
      <c r="O170" s="363"/>
      <c r="P170" s="328"/>
      <c r="Q170" s="331"/>
    </row>
    <row r="171" spans="1:17" s="983" customFormat="1" ht="20.149999999999999" customHeight="1" x14ac:dyDescent="0.35">
      <c r="A171" s="317"/>
      <c r="B171" s="982" t="s">
        <v>596</v>
      </c>
      <c r="D171" s="983" t="s">
        <v>648</v>
      </c>
      <c r="E171" s="980"/>
      <c r="F171" s="1075" t="s">
        <v>308</v>
      </c>
      <c r="G171" s="975" t="s">
        <v>309</v>
      </c>
      <c r="H171" s="975" t="s">
        <v>310</v>
      </c>
      <c r="I171" s="975" t="s">
        <v>311</v>
      </c>
      <c r="J171" s="981"/>
      <c r="K171" s="980"/>
      <c r="L171" s="980"/>
      <c r="M171" s="984"/>
      <c r="O171" s="997"/>
      <c r="P171" s="998"/>
    </row>
    <row r="172" spans="1:17" ht="20.149999999999999" customHeight="1" x14ac:dyDescent="0.35">
      <c r="A172" s="776">
        <v>1</v>
      </c>
      <c r="B172" s="1021">
        <v>187</v>
      </c>
      <c r="C172" s="336" t="s">
        <v>597</v>
      </c>
      <c r="D172" s="942">
        <v>0.504</v>
      </c>
      <c r="E172" s="325">
        <f>'[1]road inventory 2018'!C345</f>
        <v>0.504</v>
      </c>
      <c r="F172" s="1046">
        <v>0.504</v>
      </c>
      <c r="G172" s="323">
        <v>0</v>
      </c>
      <c r="H172" s="323">
        <v>0</v>
      </c>
      <c r="I172" s="323">
        <f t="shared" ref="I172:I179" si="17">D172-F172-G172-H172</f>
        <v>0</v>
      </c>
      <c r="J172" s="326" t="s">
        <v>12</v>
      </c>
      <c r="K172" s="323"/>
      <c r="L172" s="323"/>
      <c r="M172" s="323"/>
      <c r="N172" s="326"/>
    </row>
    <row r="173" spans="1:17" ht="20.149999999999999" customHeight="1" x14ac:dyDescent="0.35">
      <c r="A173" s="776">
        <v>2</v>
      </c>
      <c r="B173" s="1021">
        <v>188</v>
      </c>
      <c r="C173" s="336" t="s">
        <v>598</v>
      </c>
      <c r="D173" s="942">
        <v>0.158</v>
      </c>
      <c r="E173" s="325">
        <f>'[1]road inventory 2018'!C346</f>
        <v>0.158</v>
      </c>
      <c r="F173" s="1046">
        <v>0.158</v>
      </c>
      <c r="G173" s="323">
        <v>0</v>
      </c>
      <c r="H173" s="323">
        <v>0</v>
      </c>
      <c r="I173" s="323">
        <f t="shared" si="17"/>
        <v>0</v>
      </c>
      <c r="J173" s="326" t="s">
        <v>12</v>
      </c>
      <c r="K173" s="323"/>
      <c r="L173" s="323"/>
      <c r="M173" s="323"/>
      <c r="N173" s="326"/>
    </row>
    <row r="174" spans="1:17" ht="20.149999999999999" customHeight="1" x14ac:dyDescent="0.35">
      <c r="A174" s="776">
        <v>3</v>
      </c>
      <c r="B174" s="1021">
        <v>189</v>
      </c>
      <c r="C174" s="336" t="s">
        <v>599</v>
      </c>
      <c r="D174" s="942">
        <v>0.74199999999999999</v>
      </c>
      <c r="E174" s="325">
        <f>'[1]road inventory 2018'!C347</f>
        <v>0.74199999999999999</v>
      </c>
      <c r="F174" s="1046">
        <v>0.74199999999999999</v>
      </c>
      <c r="G174" s="323">
        <v>0</v>
      </c>
      <c r="H174" s="323">
        <v>0</v>
      </c>
      <c r="I174" s="323">
        <f t="shared" si="17"/>
        <v>0</v>
      </c>
      <c r="J174" s="326" t="s">
        <v>12</v>
      </c>
      <c r="K174" s="323"/>
      <c r="L174" s="323"/>
      <c r="M174" s="323"/>
      <c r="N174" s="326"/>
    </row>
    <row r="175" spans="1:17" ht="20.149999999999999" customHeight="1" x14ac:dyDescent="0.35">
      <c r="A175" s="329">
        <v>4</v>
      </c>
      <c r="B175" s="1021">
        <v>185</v>
      </c>
      <c r="C175" s="336" t="s">
        <v>600</v>
      </c>
      <c r="D175" s="942">
        <v>7.6</v>
      </c>
      <c r="E175" s="325">
        <v>7.6</v>
      </c>
      <c r="F175" s="1046">
        <v>1.47</v>
      </c>
      <c r="G175" s="323">
        <v>0</v>
      </c>
      <c r="H175" s="323">
        <f>D175-F175</f>
        <v>6.13</v>
      </c>
      <c r="I175" s="323">
        <f t="shared" si="17"/>
        <v>0</v>
      </c>
      <c r="J175" s="326" t="s">
        <v>33</v>
      </c>
      <c r="K175" s="323"/>
      <c r="L175" s="323"/>
      <c r="M175" s="323"/>
      <c r="N175" s="326"/>
    </row>
    <row r="176" spans="1:17" ht="20.149999999999999" customHeight="1" x14ac:dyDescent="0.35">
      <c r="A176" s="329">
        <v>5</v>
      </c>
      <c r="B176" s="1021">
        <v>186</v>
      </c>
      <c r="C176" s="336" t="s">
        <v>601</v>
      </c>
      <c r="D176" s="942">
        <v>10.5</v>
      </c>
      <c r="E176" s="325">
        <f>'[1]road inventory 2018'!C349</f>
        <v>10.5</v>
      </c>
      <c r="F176" s="1046">
        <v>1.84</v>
      </c>
      <c r="G176" s="323">
        <v>0</v>
      </c>
      <c r="H176" s="323">
        <f>D176-F176</f>
        <v>8.66</v>
      </c>
      <c r="I176" s="323">
        <f t="shared" si="17"/>
        <v>0</v>
      </c>
      <c r="J176" s="326" t="s">
        <v>33</v>
      </c>
      <c r="K176" s="323"/>
      <c r="L176" s="323"/>
      <c r="M176" s="323"/>
      <c r="N176" s="326"/>
    </row>
    <row r="177" spans="1:21" ht="20.149999999999999" customHeight="1" x14ac:dyDescent="0.35">
      <c r="A177" s="329">
        <v>6</v>
      </c>
      <c r="B177" s="1021">
        <v>190</v>
      </c>
      <c r="C177" s="336" t="s">
        <v>602</v>
      </c>
      <c r="D177" s="942">
        <v>17.5</v>
      </c>
      <c r="E177" s="325">
        <f>'[1]road inventory 2018'!C350</f>
        <v>17.5</v>
      </c>
      <c r="F177" s="1046">
        <v>15</v>
      </c>
      <c r="G177" s="323">
        <v>0</v>
      </c>
      <c r="H177" s="323">
        <v>2.5</v>
      </c>
      <c r="I177" s="323">
        <f t="shared" si="17"/>
        <v>0</v>
      </c>
      <c r="J177" s="326" t="s">
        <v>10</v>
      </c>
      <c r="K177" s="323"/>
      <c r="L177" s="323"/>
      <c r="M177" s="323"/>
      <c r="N177" s="326"/>
    </row>
    <row r="178" spans="1:21" ht="20.149999999999999" customHeight="1" x14ac:dyDescent="0.35">
      <c r="A178" s="329">
        <v>7</v>
      </c>
      <c r="B178" s="1021">
        <v>191</v>
      </c>
      <c r="C178" s="336" t="s">
        <v>603</v>
      </c>
      <c r="D178" s="942">
        <v>3.5</v>
      </c>
      <c r="E178" s="325">
        <f>'[1]road inventory 2018'!C351</f>
        <v>3.5</v>
      </c>
      <c r="F178" s="1046">
        <v>0</v>
      </c>
      <c r="G178" s="323">
        <v>0</v>
      </c>
      <c r="H178" s="323">
        <v>3.5</v>
      </c>
      <c r="I178" s="323">
        <f t="shared" si="17"/>
        <v>0</v>
      </c>
      <c r="J178" s="326" t="s">
        <v>33</v>
      </c>
      <c r="K178" s="323"/>
      <c r="L178" s="323"/>
      <c r="M178" s="323"/>
      <c r="N178" s="326"/>
    </row>
    <row r="179" spans="1:21" ht="20.149999999999999" customHeight="1" x14ac:dyDescent="0.35">
      <c r="A179" s="329">
        <v>8</v>
      </c>
      <c r="B179" s="1021">
        <v>230</v>
      </c>
      <c r="C179" s="336" t="s">
        <v>604</v>
      </c>
      <c r="D179" s="942">
        <v>1.58</v>
      </c>
      <c r="E179" s="325">
        <f>'[1]road inventory 2018'!C352</f>
        <v>1.58</v>
      </c>
      <c r="F179" s="1046">
        <v>1.58</v>
      </c>
      <c r="G179" s="323">
        <v>0</v>
      </c>
      <c r="H179" s="323">
        <v>0</v>
      </c>
      <c r="I179" s="323">
        <f t="shared" si="17"/>
        <v>0</v>
      </c>
      <c r="J179" s="326" t="s">
        <v>10</v>
      </c>
      <c r="K179" s="323"/>
      <c r="L179" s="323"/>
      <c r="M179" s="323"/>
      <c r="N179" s="326"/>
    </row>
    <row r="180" spans="1:21" s="983" customFormat="1" ht="20.149999999999999" customHeight="1" x14ac:dyDescent="0.35">
      <c r="B180" s="977"/>
      <c r="C180" s="978" t="s">
        <v>341</v>
      </c>
      <c r="D180" s="979">
        <f t="shared" ref="D180:I180" si="18">SUM(D172:D179)</f>
        <v>42.083999999999996</v>
      </c>
      <c r="E180" s="980">
        <f t="shared" si="18"/>
        <v>42.083999999999996</v>
      </c>
      <c r="F180" s="1077">
        <f t="shared" si="18"/>
        <v>21.293999999999997</v>
      </c>
      <c r="G180" s="980">
        <f t="shared" si="18"/>
        <v>0</v>
      </c>
      <c r="H180" s="980">
        <f t="shared" si="18"/>
        <v>20.79</v>
      </c>
      <c r="I180" s="980">
        <f t="shared" si="18"/>
        <v>0</v>
      </c>
      <c r="J180" s="981"/>
      <c r="K180" s="980"/>
      <c r="L180" s="980"/>
      <c r="M180" s="980"/>
      <c r="N180" s="999"/>
      <c r="O180" s="997"/>
      <c r="P180" s="998"/>
      <c r="Q180" s="984"/>
    </row>
    <row r="181" spans="1:21" ht="20.149999999999999" customHeight="1" x14ac:dyDescent="0.35">
      <c r="B181" s="321"/>
      <c r="C181" s="330"/>
      <c r="D181" s="330"/>
      <c r="E181" s="323"/>
      <c r="F181" s="1046"/>
      <c r="G181" s="323"/>
      <c r="H181" s="1138">
        <f>H180+I180</f>
        <v>20.79</v>
      </c>
      <c r="I181" s="1139"/>
      <c r="J181" s="325"/>
      <c r="K181" s="323"/>
      <c r="L181" s="323"/>
      <c r="M181" s="323"/>
      <c r="N181" s="326"/>
      <c r="O181" s="363"/>
      <c r="P181" s="328"/>
      <c r="Q181" s="331"/>
    </row>
    <row r="182" spans="1:21" s="983" customFormat="1" ht="20.149999999999999" customHeight="1" x14ac:dyDescent="0.35">
      <c r="B182" s="982" t="s">
        <v>734</v>
      </c>
      <c r="E182" s="981"/>
      <c r="F182" s="1077"/>
      <c r="G182" s="980"/>
      <c r="H182" s="980"/>
      <c r="I182" s="980"/>
      <c r="J182" s="999"/>
      <c r="K182" s="980"/>
      <c r="L182" s="980"/>
      <c r="M182" s="980"/>
      <c r="N182" s="996"/>
      <c r="O182" s="1006"/>
      <c r="P182" s="1000"/>
    </row>
    <row r="183" spans="1:21" ht="20.149999999999999" customHeight="1" x14ac:dyDescent="0.35">
      <c r="A183" s="329">
        <v>1</v>
      </c>
      <c r="B183" s="1021">
        <v>171</v>
      </c>
      <c r="C183" s="336" t="s">
        <v>611</v>
      </c>
      <c r="D183" s="326">
        <v>8.7409999999999997</v>
      </c>
      <c r="E183" s="323">
        <v>8.7409999999999997</v>
      </c>
      <c r="F183" s="1046">
        <v>1.18</v>
      </c>
      <c r="G183" s="323">
        <v>0</v>
      </c>
      <c r="H183" s="323">
        <v>0</v>
      </c>
      <c r="I183" s="323">
        <f>D183-F183-G183-H183</f>
        <v>7.5609999999999999</v>
      </c>
      <c r="J183" s="325" t="s">
        <v>12</v>
      </c>
      <c r="K183" s="323"/>
      <c r="L183" s="323"/>
      <c r="M183" s="323"/>
      <c r="N183" s="326"/>
      <c r="O183" s="363"/>
      <c r="P183" s="328"/>
    </row>
    <row r="184" spans="1:21" s="983" customFormat="1" ht="20.149999999999999" customHeight="1" x14ac:dyDescent="0.35">
      <c r="B184" s="977"/>
      <c r="C184" s="978" t="s">
        <v>341</v>
      </c>
      <c r="D184" s="979">
        <f>D183</f>
        <v>8.7409999999999997</v>
      </c>
      <c r="E184" s="980">
        <f>SUM(E183)</f>
        <v>8.7409999999999997</v>
      </c>
      <c r="F184" s="1077">
        <f>SUM(F183)</f>
        <v>1.18</v>
      </c>
      <c r="G184" s="980">
        <f>SUM(G183)</f>
        <v>0</v>
      </c>
      <c r="H184" s="980">
        <f>SUM(H183)</f>
        <v>0</v>
      </c>
      <c r="I184" s="980">
        <f>SUM(I183)</f>
        <v>7.5609999999999999</v>
      </c>
      <c r="J184" s="981"/>
      <c r="K184" s="980"/>
      <c r="L184" s="980"/>
      <c r="M184" s="980"/>
      <c r="N184" s="999"/>
      <c r="O184" s="997"/>
      <c r="P184" s="998"/>
      <c r="Q184" s="984"/>
    </row>
    <row r="185" spans="1:21" ht="20.149999999999999" customHeight="1" x14ac:dyDescent="0.35">
      <c r="B185" s="321"/>
      <c r="C185" s="330"/>
      <c r="D185" s="330"/>
      <c r="E185" s="323"/>
      <c r="F185" s="1046"/>
      <c r="G185" s="323"/>
      <c r="H185" s="1138">
        <f>H184+I184</f>
        <v>7.5609999999999999</v>
      </c>
      <c r="I185" s="1139"/>
      <c r="J185" s="325"/>
      <c r="K185" s="323"/>
      <c r="L185" s="323"/>
      <c r="M185" s="323"/>
      <c r="N185" s="326"/>
      <c r="O185" s="363"/>
      <c r="P185" s="328"/>
      <c r="Q185" s="331"/>
    </row>
    <row r="186" spans="1:21" s="983" customFormat="1" ht="20.149999999999999" customHeight="1" x14ac:dyDescent="0.35">
      <c r="A186" s="317"/>
      <c r="B186" s="982" t="s">
        <v>583</v>
      </c>
      <c r="D186" s="983" t="s">
        <v>648</v>
      </c>
      <c r="E186" s="980"/>
      <c r="F186" s="1075" t="s">
        <v>308</v>
      </c>
      <c r="G186" s="975" t="s">
        <v>309</v>
      </c>
      <c r="H186" s="975" t="s">
        <v>310</v>
      </c>
      <c r="I186" s="975" t="s">
        <v>311</v>
      </c>
      <c r="J186" s="981"/>
      <c r="K186" s="980"/>
      <c r="L186" s="980"/>
      <c r="M186" s="980"/>
      <c r="N186" s="996"/>
      <c r="O186" s="997"/>
      <c r="P186" s="998"/>
    </row>
    <row r="187" spans="1:21" ht="20.149999999999999" customHeight="1" x14ac:dyDescent="0.35">
      <c r="A187" s="776">
        <v>1</v>
      </c>
      <c r="B187" s="1021">
        <v>173</v>
      </c>
      <c r="C187" s="336" t="s">
        <v>584</v>
      </c>
      <c r="D187" s="942">
        <v>1.5</v>
      </c>
      <c r="E187" s="323">
        <f>'[1]road inventory 2018'!C326</f>
        <v>1.5</v>
      </c>
      <c r="F187" s="1046">
        <v>1.5</v>
      </c>
      <c r="G187" s="323">
        <v>0</v>
      </c>
      <c r="H187" s="323">
        <v>0</v>
      </c>
      <c r="I187" s="323">
        <f t="shared" ref="I187:I199" si="19">D187-F187-G187-H187</f>
        <v>0</v>
      </c>
      <c r="J187" s="325" t="s">
        <v>10</v>
      </c>
      <c r="K187" s="323"/>
      <c r="L187" s="323"/>
      <c r="M187" s="323"/>
      <c r="N187" s="326"/>
      <c r="O187" s="363"/>
      <c r="P187" s="328"/>
    </row>
    <row r="188" spans="1:21" ht="20.149999999999999" customHeight="1" x14ac:dyDescent="0.35">
      <c r="A188" s="776">
        <v>2</v>
      </c>
      <c r="B188" s="1021">
        <v>174</v>
      </c>
      <c r="C188" s="336" t="s">
        <v>585</v>
      </c>
      <c r="D188" s="942">
        <v>0.2</v>
      </c>
      <c r="E188" s="323">
        <f>'[1]road inventory 2018'!C327</f>
        <v>0.2</v>
      </c>
      <c r="F188" s="1046">
        <v>0.2</v>
      </c>
      <c r="G188" s="323">
        <v>0</v>
      </c>
      <c r="H188" s="323">
        <v>0</v>
      </c>
      <c r="I188" s="323">
        <f t="shared" si="19"/>
        <v>0</v>
      </c>
      <c r="J188" s="326" t="s">
        <v>33</v>
      </c>
      <c r="K188" s="323"/>
      <c r="L188" s="323"/>
      <c r="M188" s="323"/>
      <c r="N188" s="326"/>
      <c r="O188" s="363"/>
      <c r="P188" s="328"/>
    </row>
    <row r="189" spans="1:21" ht="20.149999999999999" customHeight="1" x14ac:dyDescent="0.35">
      <c r="A189" s="329">
        <v>3</v>
      </c>
      <c r="B189" s="1021">
        <v>175</v>
      </c>
      <c r="C189" s="336" t="s">
        <v>586</v>
      </c>
      <c r="D189" s="942">
        <v>6.7</v>
      </c>
      <c r="E189" s="323">
        <f>'[1]road inventory 2018'!C328</f>
        <v>3.6</v>
      </c>
      <c r="F189" s="1046">
        <v>6.7</v>
      </c>
      <c r="G189" s="323">
        <v>0</v>
      </c>
      <c r="H189" s="323">
        <v>0</v>
      </c>
      <c r="I189" s="323">
        <f t="shared" si="19"/>
        <v>0</v>
      </c>
      <c r="J189" s="326" t="s">
        <v>10</v>
      </c>
      <c r="K189" s="323"/>
      <c r="L189" s="323"/>
      <c r="M189" s="323"/>
      <c r="N189" s="326"/>
      <c r="O189" s="363"/>
      <c r="P189" s="328"/>
    </row>
    <row r="190" spans="1:21" ht="20.149999999999999" customHeight="1" x14ac:dyDescent="0.35">
      <c r="A190" s="329">
        <v>4</v>
      </c>
      <c r="B190" s="1021">
        <v>176</v>
      </c>
      <c r="C190" s="336" t="s">
        <v>587</v>
      </c>
      <c r="D190" s="942">
        <v>13.42</v>
      </c>
      <c r="E190" s="323">
        <f>'[1]road inventory 2018'!C329</f>
        <v>20.5</v>
      </c>
      <c r="F190" s="1046">
        <v>8.35</v>
      </c>
      <c r="G190" s="323">
        <v>0</v>
      </c>
      <c r="H190" s="323">
        <v>5.07</v>
      </c>
      <c r="I190" s="323">
        <f t="shared" si="19"/>
        <v>0</v>
      </c>
      <c r="J190" s="326" t="s">
        <v>10</v>
      </c>
      <c r="K190" s="323"/>
      <c r="L190" s="323"/>
      <c r="M190" s="323"/>
      <c r="N190" s="326"/>
      <c r="O190" s="363"/>
      <c r="P190" s="328"/>
    </row>
    <row r="191" spans="1:21" ht="20.149999999999999" customHeight="1" x14ac:dyDescent="0.35">
      <c r="A191" s="329">
        <v>5</v>
      </c>
      <c r="B191" s="1021">
        <v>177</v>
      </c>
      <c r="C191" s="336" t="s">
        <v>588</v>
      </c>
      <c r="D191" s="942">
        <v>13.5</v>
      </c>
      <c r="E191" s="323">
        <f>'[1]road inventory 2018'!C330</f>
        <v>13.5</v>
      </c>
      <c r="F191" s="1046">
        <v>13.5</v>
      </c>
      <c r="G191" s="323">
        <v>0</v>
      </c>
      <c r="H191" s="323">
        <v>0</v>
      </c>
      <c r="I191" s="323">
        <f t="shared" si="19"/>
        <v>0</v>
      </c>
      <c r="J191" s="325" t="s">
        <v>10</v>
      </c>
      <c r="K191" s="323"/>
      <c r="L191" s="323"/>
      <c r="M191" s="323"/>
      <c r="N191" s="326"/>
      <c r="O191" s="363"/>
      <c r="P191" s="328"/>
    </row>
    <row r="192" spans="1:21" ht="20.149999999999999" customHeight="1" x14ac:dyDescent="0.35">
      <c r="A192" s="776">
        <v>6</v>
      </c>
      <c r="B192" s="1021">
        <v>172</v>
      </c>
      <c r="C192" s="336" t="s">
        <v>589</v>
      </c>
      <c r="D192" s="942">
        <v>5.7</v>
      </c>
      <c r="E192" s="323">
        <f>'[1]road inventory 2018'!C331</f>
        <v>5.7</v>
      </c>
      <c r="F192" s="1046">
        <v>1.02</v>
      </c>
      <c r="G192" s="323">
        <v>0</v>
      </c>
      <c r="H192" s="323">
        <v>3.42</v>
      </c>
      <c r="I192" s="323">
        <f t="shared" si="19"/>
        <v>1.2599999999999998</v>
      </c>
      <c r="J192" s="325" t="s">
        <v>10</v>
      </c>
      <c r="K192" s="323"/>
      <c r="L192" s="323"/>
      <c r="M192" s="323"/>
      <c r="N192" s="326"/>
      <c r="O192" s="363"/>
      <c r="P192" s="328"/>
      <c r="U192" s="331"/>
    </row>
    <row r="193" spans="1:18" ht="20.149999999999999" customHeight="1" x14ac:dyDescent="0.35">
      <c r="A193" s="329">
        <v>7</v>
      </c>
      <c r="B193" s="1021">
        <v>178</v>
      </c>
      <c r="C193" s="336" t="s">
        <v>296</v>
      </c>
      <c r="D193" s="942">
        <v>30.67</v>
      </c>
      <c r="E193" s="323">
        <f>'[1]road inventory 2018'!C332</f>
        <v>25.54</v>
      </c>
      <c r="F193" s="1046">
        <v>9.1300000000000008</v>
      </c>
      <c r="G193" s="323">
        <v>0</v>
      </c>
      <c r="H193" s="323">
        <v>12.84</v>
      </c>
      <c r="I193" s="323">
        <f t="shared" si="19"/>
        <v>8.6999999999999993</v>
      </c>
      <c r="J193" s="326" t="s">
        <v>41</v>
      </c>
      <c r="K193" s="323"/>
      <c r="L193" s="323"/>
      <c r="M193" s="323"/>
      <c r="N193" s="326"/>
      <c r="O193" s="363"/>
      <c r="P193" s="328"/>
    </row>
    <row r="194" spans="1:18" ht="20.149999999999999" customHeight="1" x14ac:dyDescent="0.35">
      <c r="A194" s="329">
        <v>8</v>
      </c>
      <c r="B194" s="1021">
        <v>179</v>
      </c>
      <c r="C194" s="336" t="s">
        <v>590</v>
      </c>
      <c r="D194" s="942">
        <v>9.4</v>
      </c>
      <c r="E194" s="323">
        <f>'[1]road inventory 2018'!C333</f>
        <v>9.4</v>
      </c>
      <c r="F194" s="1046">
        <v>0</v>
      </c>
      <c r="G194" s="323">
        <v>0</v>
      </c>
      <c r="H194" s="323">
        <v>9.4</v>
      </c>
      <c r="I194" s="323">
        <f t="shared" si="19"/>
        <v>0</v>
      </c>
      <c r="J194" s="325" t="s">
        <v>41</v>
      </c>
      <c r="K194" s="323"/>
      <c r="L194" s="323"/>
      <c r="M194" s="323"/>
      <c r="N194" s="326"/>
      <c r="O194" s="363"/>
      <c r="P194" s="328"/>
    </row>
    <row r="195" spans="1:18" ht="20.149999999999999" customHeight="1" x14ac:dyDescent="0.35">
      <c r="A195" s="329">
        <v>9</v>
      </c>
      <c r="B195" s="1021">
        <v>180</v>
      </c>
      <c r="C195" s="336" t="s">
        <v>591</v>
      </c>
      <c r="D195" s="942">
        <v>2.42</v>
      </c>
      <c r="E195" s="323">
        <f>'[1]road inventory 2018'!C334</f>
        <v>2.42</v>
      </c>
      <c r="F195" s="1046">
        <v>0</v>
      </c>
      <c r="G195" s="323">
        <v>0</v>
      </c>
      <c r="H195" s="323">
        <v>0</v>
      </c>
      <c r="I195" s="323">
        <f t="shared" si="19"/>
        <v>2.42</v>
      </c>
      <c r="J195" s="326" t="s">
        <v>12</v>
      </c>
      <c r="K195" s="323"/>
      <c r="L195" s="323"/>
      <c r="M195" s="323"/>
      <c r="N195" s="326"/>
      <c r="O195" s="363"/>
      <c r="P195" s="328"/>
    </row>
    <row r="196" spans="1:18" ht="20.149999999999999" customHeight="1" x14ac:dyDescent="0.35">
      <c r="A196" s="329">
        <v>10</v>
      </c>
      <c r="B196" s="1021">
        <v>181</v>
      </c>
      <c r="C196" s="336" t="s">
        <v>592</v>
      </c>
      <c r="D196" s="942">
        <v>4.9000000000000004</v>
      </c>
      <c r="E196" s="323">
        <f>'[1]road inventory 2018'!C335</f>
        <v>4.9000000000000004</v>
      </c>
      <c r="F196" s="1046">
        <v>4.9000000000000004</v>
      </c>
      <c r="G196" s="323">
        <v>0</v>
      </c>
      <c r="H196" s="323">
        <v>0</v>
      </c>
      <c r="I196" s="323">
        <f t="shared" si="19"/>
        <v>0</v>
      </c>
      <c r="J196" s="325" t="s">
        <v>10</v>
      </c>
      <c r="K196" s="323"/>
      <c r="L196" s="323"/>
      <c r="M196" s="323"/>
      <c r="N196" s="326"/>
      <c r="O196" s="363"/>
      <c r="P196" s="328"/>
    </row>
    <row r="197" spans="1:18" ht="20.149999999999999" customHeight="1" x14ac:dyDescent="0.35">
      <c r="A197" s="329">
        <v>11</v>
      </c>
      <c r="B197" s="1021">
        <v>182</v>
      </c>
      <c r="C197" s="336" t="s">
        <v>593</v>
      </c>
      <c r="D197" s="942">
        <v>16</v>
      </c>
      <c r="E197" s="323">
        <f>'[1]road inventory 2018'!C336</f>
        <v>16</v>
      </c>
      <c r="F197" s="1046">
        <v>16</v>
      </c>
      <c r="G197" s="323">
        <v>0</v>
      </c>
      <c r="H197" s="323">
        <v>0</v>
      </c>
      <c r="I197" s="323">
        <f t="shared" si="19"/>
        <v>0</v>
      </c>
      <c r="J197" s="326" t="s">
        <v>10</v>
      </c>
      <c r="K197" s="323"/>
      <c r="L197" s="323"/>
      <c r="M197" s="323"/>
      <c r="N197" s="326"/>
      <c r="O197" s="363"/>
      <c r="P197" s="328"/>
    </row>
    <row r="198" spans="1:18" ht="20.149999999999999" customHeight="1" x14ac:dyDescent="0.35">
      <c r="A198" s="776">
        <v>12</v>
      </c>
      <c r="B198" s="1021">
        <v>183</v>
      </c>
      <c r="C198" s="336" t="s">
        <v>594</v>
      </c>
      <c r="D198" s="942">
        <v>1.7</v>
      </c>
      <c r="E198" s="323">
        <f>'[1]road inventory 2018'!C337</f>
        <v>1.7</v>
      </c>
      <c r="F198" s="1046">
        <v>0</v>
      </c>
      <c r="G198" s="323">
        <v>0</v>
      </c>
      <c r="H198" s="323">
        <v>0</v>
      </c>
      <c r="I198" s="323">
        <f t="shared" si="19"/>
        <v>1.7</v>
      </c>
      <c r="J198" s="326" t="s">
        <v>12</v>
      </c>
      <c r="K198" s="323"/>
      <c r="L198" s="323"/>
      <c r="M198" s="323"/>
      <c r="N198" s="326"/>
      <c r="O198" s="363"/>
      <c r="P198" s="328"/>
    </row>
    <row r="199" spans="1:18" ht="20.149999999999999" customHeight="1" x14ac:dyDescent="0.35">
      <c r="A199" s="329">
        <v>13</v>
      </c>
      <c r="B199" s="1021">
        <v>184</v>
      </c>
      <c r="C199" s="336" t="s">
        <v>595</v>
      </c>
      <c r="D199" s="942">
        <v>12</v>
      </c>
      <c r="E199" s="323">
        <f>'[1]road inventory 2018'!C338</f>
        <v>12</v>
      </c>
      <c r="F199" s="1046">
        <v>12</v>
      </c>
      <c r="G199" s="323">
        <v>0</v>
      </c>
      <c r="H199" s="323">
        <v>0</v>
      </c>
      <c r="I199" s="323">
        <f t="shared" si="19"/>
        <v>0</v>
      </c>
      <c r="J199" s="326" t="s">
        <v>10</v>
      </c>
      <c r="K199" s="323"/>
      <c r="L199" s="323"/>
      <c r="M199" s="323"/>
      <c r="N199" s="326"/>
      <c r="O199" s="363"/>
      <c r="P199" s="328"/>
    </row>
    <row r="200" spans="1:18" s="983" customFormat="1" ht="20.149999999999999" customHeight="1" x14ac:dyDescent="0.35">
      <c r="B200" s="977"/>
      <c r="C200" s="978" t="s">
        <v>341</v>
      </c>
      <c r="D200" s="979">
        <f t="shared" ref="D200:I200" si="20">SUM(D187:D199)</f>
        <v>118.11000000000001</v>
      </c>
      <c r="E200" s="980">
        <f t="shared" si="20"/>
        <v>116.96000000000001</v>
      </c>
      <c r="F200" s="1077">
        <f t="shared" si="20"/>
        <v>73.3</v>
      </c>
      <c r="G200" s="980">
        <f t="shared" si="20"/>
        <v>0</v>
      </c>
      <c r="H200" s="980">
        <f t="shared" si="20"/>
        <v>30.729999999999997</v>
      </c>
      <c r="I200" s="980">
        <f t="shared" si="20"/>
        <v>14.079999999999998</v>
      </c>
      <c r="J200" s="981"/>
      <c r="K200" s="980"/>
      <c r="L200" s="980"/>
      <c r="M200" s="980"/>
      <c r="N200" s="999"/>
      <c r="O200" s="997"/>
      <c r="P200" s="998"/>
      <c r="Q200" s="984"/>
    </row>
    <row r="201" spans="1:18" ht="20.149999999999999" customHeight="1" x14ac:dyDescent="0.35">
      <c r="B201" s="321"/>
      <c r="C201" s="330"/>
      <c r="D201" s="330"/>
      <c r="E201" s="323"/>
      <c r="F201" s="1046"/>
      <c r="G201" s="323"/>
      <c r="H201" s="1138">
        <f>H200+I200</f>
        <v>44.809999999999995</v>
      </c>
      <c r="I201" s="1139"/>
      <c r="J201" s="325"/>
      <c r="K201" s="323"/>
      <c r="L201" s="323"/>
      <c r="M201" s="323"/>
      <c r="N201" s="326"/>
      <c r="O201" s="363"/>
      <c r="P201" s="328"/>
      <c r="Q201" s="331"/>
    </row>
    <row r="202" spans="1:18" s="983" customFormat="1" ht="20.149999999999999" customHeight="1" x14ac:dyDescent="0.35">
      <c r="A202" s="317"/>
      <c r="B202" s="982" t="s">
        <v>605</v>
      </c>
      <c r="E202" s="980"/>
      <c r="F202" s="1077"/>
      <c r="G202" s="980"/>
      <c r="H202" s="980"/>
      <c r="I202" s="980"/>
      <c r="J202" s="999"/>
      <c r="K202" s="980"/>
      <c r="L202" s="980"/>
      <c r="M202" s="980"/>
      <c r="N202" s="996"/>
      <c r="O202" s="997"/>
      <c r="P202" s="998"/>
    </row>
    <row r="203" spans="1:18" ht="20.149999999999999" customHeight="1" x14ac:dyDescent="0.35">
      <c r="A203" s="329">
        <v>1</v>
      </c>
      <c r="B203" s="1021">
        <v>192</v>
      </c>
      <c r="C203" s="336" t="s">
        <v>606</v>
      </c>
      <c r="D203" s="942">
        <v>13.27</v>
      </c>
      <c r="E203" s="342">
        <f>'[1]road inventory 2018'!C359</f>
        <v>17</v>
      </c>
      <c r="F203" s="1046">
        <v>13.02</v>
      </c>
      <c r="G203" s="323">
        <v>0</v>
      </c>
      <c r="H203" s="323">
        <v>0</v>
      </c>
      <c r="I203" s="323">
        <f>D203-F203-G203-H203</f>
        <v>0.25</v>
      </c>
      <c r="J203" s="326" t="s">
        <v>10</v>
      </c>
      <c r="K203" s="323"/>
      <c r="L203" s="323"/>
      <c r="M203" s="323"/>
      <c r="N203" s="326"/>
      <c r="O203" s="458"/>
      <c r="P203" s="343"/>
    </row>
    <row r="204" spans="1:18" ht="20.149999999999999" customHeight="1" x14ac:dyDescent="0.35">
      <c r="A204" s="776">
        <v>2</v>
      </c>
      <c r="B204" s="1021">
        <v>193</v>
      </c>
      <c r="C204" s="336" t="s">
        <v>607</v>
      </c>
      <c r="D204" s="942">
        <v>1.8</v>
      </c>
      <c r="E204" s="342">
        <f>'[1]road inventory 2018'!C360</f>
        <v>1.8</v>
      </c>
      <c r="F204" s="1046">
        <v>1.8</v>
      </c>
      <c r="G204" s="323">
        <v>0</v>
      </c>
      <c r="H204" s="323">
        <v>0</v>
      </c>
      <c r="I204" s="323">
        <f>D204-F204-G204-H204</f>
        <v>0</v>
      </c>
      <c r="J204" s="326" t="s">
        <v>12</v>
      </c>
      <c r="K204" s="323"/>
      <c r="L204" s="323"/>
      <c r="M204" s="323"/>
      <c r="N204" s="326"/>
      <c r="O204" s="458"/>
      <c r="P204" s="343"/>
    </row>
    <row r="205" spans="1:18" ht="20.149999999999999" customHeight="1" x14ac:dyDescent="0.35">
      <c r="A205" s="116">
        <v>3</v>
      </c>
      <c r="B205" s="1021">
        <v>194</v>
      </c>
      <c r="C205" s="336" t="s">
        <v>608</v>
      </c>
      <c r="D205" s="942">
        <v>5.3</v>
      </c>
      <c r="E205" s="342">
        <f>'[1]road inventory 2018'!C361</f>
        <v>5.3</v>
      </c>
      <c r="F205" s="1046">
        <v>3.5409999999999999</v>
      </c>
      <c r="G205" s="323">
        <v>0</v>
      </c>
      <c r="H205" s="323">
        <v>0</v>
      </c>
      <c r="I205" s="323">
        <f>D205-F205-G205-H205</f>
        <v>1.7589999999999999</v>
      </c>
      <c r="J205" s="326" t="s">
        <v>12</v>
      </c>
      <c r="K205" s="323"/>
      <c r="L205" s="323"/>
      <c r="M205" s="323"/>
      <c r="N205" s="326"/>
      <c r="O205" s="458"/>
      <c r="P205" s="343"/>
    </row>
    <row r="206" spans="1:18" ht="20.149999999999999" customHeight="1" x14ac:dyDescent="0.35">
      <c r="A206" s="116">
        <v>4</v>
      </c>
      <c r="B206" s="1021">
        <v>195</v>
      </c>
      <c r="C206" s="336" t="s">
        <v>609</v>
      </c>
      <c r="D206" s="942">
        <v>3.9000000000000004</v>
      </c>
      <c r="E206" s="342">
        <v>3.9000000000000004</v>
      </c>
      <c r="F206" s="1046">
        <v>1.2</v>
      </c>
      <c r="G206" s="323">
        <v>0</v>
      </c>
      <c r="H206" s="323">
        <v>0</v>
      </c>
      <c r="I206" s="323">
        <f>D206-F206-G206-H206</f>
        <v>2.7</v>
      </c>
      <c r="J206" s="326" t="s">
        <v>12</v>
      </c>
      <c r="K206" s="323"/>
      <c r="L206" s="323"/>
      <c r="M206" s="323"/>
      <c r="N206" s="326"/>
      <c r="O206" s="458"/>
      <c r="P206" s="343"/>
    </row>
    <row r="207" spans="1:18" s="983" customFormat="1" ht="20.149999999999999" customHeight="1" x14ac:dyDescent="0.35">
      <c r="B207" s="977"/>
      <c r="C207" s="978" t="s">
        <v>341</v>
      </c>
      <c r="D207" s="979">
        <f t="shared" ref="D207:I207" si="21">SUM(D203:D206)</f>
        <v>24.270000000000003</v>
      </c>
      <c r="E207" s="980">
        <f t="shared" si="21"/>
        <v>28</v>
      </c>
      <c r="F207" s="1077">
        <f t="shared" si="21"/>
        <v>19.561</v>
      </c>
      <c r="G207" s="980">
        <f t="shared" si="21"/>
        <v>0</v>
      </c>
      <c r="H207" s="980">
        <f t="shared" si="21"/>
        <v>0</v>
      </c>
      <c r="I207" s="980">
        <f t="shared" si="21"/>
        <v>4.7089999999999996</v>
      </c>
      <c r="J207" s="981"/>
      <c r="K207" s="980"/>
      <c r="L207" s="980"/>
      <c r="M207" s="980"/>
      <c r="N207" s="999"/>
      <c r="O207" s="997"/>
      <c r="P207" s="998"/>
      <c r="Q207" s="984"/>
    </row>
    <row r="208" spans="1:18" ht="20.149999999999999" customHeight="1" x14ac:dyDescent="0.35">
      <c r="B208" s="321"/>
      <c r="C208" s="330"/>
      <c r="D208" s="330"/>
      <c r="E208" s="323"/>
      <c r="F208" s="1046"/>
      <c r="G208" s="323"/>
      <c r="H208" s="1138">
        <f>H207+I207</f>
        <v>4.7089999999999996</v>
      </c>
      <c r="I208" s="1139"/>
      <c r="J208" s="325"/>
      <c r="K208" s="323"/>
      <c r="L208" s="323"/>
      <c r="M208" s="323"/>
      <c r="N208" s="326"/>
      <c r="O208" s="363"/>
      <c r="P208" s="328"/>
      <c r="Q208" s="331"/>
      <c r="R208" s="317"/>
    </row>
    <row r="209" spans="1:18" s="983" customFormat="1" ht="20.149999999999999" customHeight="1" x14ac:dyDescent="0.35">
      <c r="A209" s="317"/>
      <c r="B209" s="1007" t="s">
        <v>547</v>
      </c>
      <c r="E209" s="1008"/>
      <c r="F209" s="1083"/>
      <c r="G209" s="1008"/>
      <c r="H209" s="1008"/>
      <c r="I209" s="1008"/>
      <c r="J209" s="1009"/>
      <c r="K209" s="980"/>
      <c r="L209" s="980"/>
      <c r="M209" s="980"/>
      <c r="N209" s="1010"/>
      <c r="O209" s="997"/>
      <c r="P209" s="998"/>
      <c r="R209" s="984"/>
    </row>
    <row r="210" spans="1:18" ht="20.149999999999999" customHeight="1" x14ac:dyDescent="0.35">
      <c r="A210" s="329">
        <v>1</v>
      </c>
      <c r="B210" s="1023">
        <v>196</v>
      </c>
      <c r="C210" s="348" t="s">
        <v>548</v>
      </c>
      <c r="D210" s="949">
        <v>12.700000000000001</v>
      </c>
      <c r="E210" s="345">
        <f>'[1]road inventory 2018'!C283</f>
        <v>12.700000000000001</v>
      </c>
      <c r="F210" s="1084">
        <v>8.2100000000000009</v>
      </c>
      <c r="G210" s="345">
        <v>0</v>
      </c>
      <c r="H210" s="345">
        <v>0</v>
      </c>
      <c r="I210" s="323">
        <f t="shared" ref="I210:I217" si="22">D210-F210-G210-H210</f>
        <v>4.49</v>
      </c>
      <c r="J210" s="346" t="s">
        <v>12</v>
      </c>
      <c r="K210" s="323"/>
      <c r="L210" s="323"/>
      <c r="M210" s="323"/>
      <c r="N210" s="347"/>
      <c r="O210" s="350"/>
      <c r="P210" s="328"/>
    </row>
    <row r="211" spans="1:18" ht="20.149999999999999" customHeight="1" x14ac:dyDescent="0.35">
      <c r="A211" s="329">
        <v>2</v>
      </c>
      <c r="B211" s="1023">
        <v>197</v>
      </c>
      <c r="C211" s="348" t="s">
        <v>550</v>
      </c>
      <c r="D211" s="949">
        <v>6.6000000000000005</v>
      </c>
      <c r="E211" s="345">
        <f>'[1]road inventory 2018'!C284</f>
        <v>6.6</v>
      </c>
      <c r="F211" s="1084">
        <v>4.0940000000000003</v>
      </c>
      <c r="G211" s="345">
        <v>0.83299999999999996</v>
      </c>
      <c r="H211" s="345">
        <v>0</v>
      </c>
      <c r="I211" s="323">
        <f t="shared" si="22"/>
        <v>1.6730000000000003</v>
      </c>
      <c r="J211" s="346" t="s">
        <v>10</v>
      </c>
      <c r="K211" s="323"/>
      <c r="L211" s="323"/>
      <c r="M211" s="323"/>
      <c r="N211" s="347"/>
      <c r="O211" s="350"/>
      <c r="P211" s="328"/>
    </row>
    <row r="212" spans="1:18" ht="20.149999999999999" customHeight="1" x14ac:dyDescent="0.35">
      <c r="A212" s="329">
        <v>3</v>
      </c>
      <c r="B212" s="1023">
        <v>199</v>
      </c>
      <c r="C212" s="348" t="s">
        <v>552</v>
      </c>
      <c r="D212" s="949">
        <v>5</v>
      </c>
      <c r="E212" s="345">
        <f>'[1]road inventory 2018'!C285</f>
        <v>5</v>
      </c>
      <c r="F212" s="1084">
        <v>0.161</v>
      </c>
      <c r="G212" s="345">
        <v>3.31</v>
      </c>
      <c r="H212" s="345">
        <v>0.1</v>
      </c>
      <c r="I212" s="323">
        <f t="shared" si="22"/>
        <v>1.4290000000000003</v>
      </c>
      <c r="J212" s="346" t="s">
        <v>33</v>
      </c>
      <c r="K212" s="323"/>
      <c r="L212" s="323"/>
      <c r="M212" s="323"/>
      <c r="N212" s="347"/>
      <c r="O212" s="350"/>
      <c r="P212" s="328"/>
    </row>
    <row r="213" spans="1:18" ht="20.149999999999999" customHeight="1" x14ac:dyDescent="0.35">
      <c r="A213" s="329">
        <v>4</v>
      </c>
      <c r="B213" s="1023">
        <v>200</v>
      </c>
      <c r="C213" s="348" t="s">
        <v>291</v>
      </c>
      <c r="D213" s="949">
        <v>1.1000000000000001</v>
      </c>
      <c r="E213" s="345">
        <f>'[1]road inventory 2018'!C286</f>
        <v>1.1000000000000001</v>
      </c>
      <c r="F213" s="1084">
        <v>1.1000000000000001</v>
      </c>
      <c r="G213" s="345">
        <v>0</v>
      </c>
      <c r="H213" s="345">
        <v>0</v>
      </c>
      <c r="I213" s="323">
        <f t="shared" si="22"/>
        <v>0</v>
      </c>
      <c r="J213" s="346" t="s">
        <v>10</v>
      </c>
      <c r="K213" s="323"/>
      <c r="L213" s="323"/>
      <c r="M213" s="323"/>
      <c r="N213" s="347"/>
      <c r="O213" s="350"/>
      <c r="P213" s="328"/>
    </row>
    <row r="214" spans="1:18" ht="20.149999999999999" customHeight="1" x14ac:dyDescent="0.35">
      <c r="A214" s="329">
        <v>5</v>
      </c>
      <c r="B214" s="1023">
        <v>201</v>
      </c>
      <c r="C214" s="348" t="s">
        <v>555</v>
      </c>
      <c r="D214" s="949">
        <v>5.2</v>
      </c>
      <c r="E214" s="345">
        <f>'[1]road inventory 2018'!C287</f>
        <v>5.2</v>
      </c>
      <c r="F214" s="1084">
        <v>2.7</v>
      </c>
      <c r="G214" s="345">
        <v>0</v>
      </c>
      <c r="H214" s="345">
        <v>0</v>
      </c>
      <c r="I214" s="323">
        <f t="shared" si="22"/>
        <v>2.5</v>
      </c>
      <c r="J214" s="346" t="s">
        <v>10</v>
      </c>
      <c r="K214" s="323"/>
      <c r="L214" s="323"/>
      <c r="M214" s="323"/>
      <c r="N214" s="347"/>
      <c r="O214" s="350"/>
      <c r="P214" s="328"/>
    </row>
    <row r="215" spans="1:18" ht="20.149999999999999" customHeight="1" x14ac:dyDescent="0.35">
      <c r="A215" s="329">
        <v>6</v>
      </c>
      <c r="B215" s="1023">
        <v>202</v>
      </c>
      <c r="C215" s="348" t="s">
        <v>557</v>
      </c>
      <c r="D215" s="949">
        <v>5.3000000000000007</v>
      </c>
      <c r="E215" s="345">
        <f>'[1]road inventory 2018'!C288</f>
        <v>5.3000000000000007</v>
      </c>
      <c r="F215" s="1084">
        <v>1.37</v>
      </c>
      <c r="G215" s="345">
        <v>0</v>
      </c>
      <c r="H215" s="345">
        <v>0</v>
      </c>
      <c r="I215" s="323">
        <f t="shared" si="22"/>
        <v>3.9300000000000006</v>
      </c>
      <c r="J215" s="346" t="s">
        <v>33</v>
      </c>
      <c r="K215" s="323"/>
      <c r="L215" s="323"/>
      <c r="M215" s="323"/>
      <c r="N215" s="347"/>
      <c r="O215" s="350"/>
      <c r="P215" s="328"/>
    </row>
    <row r="216" spans="1:18" ht="20.149999999999999" customHeight="1" x14ac:dyDescent="0.35">
      <c r="A216" s="329">
        <v>7</v>
      </c>
      <c r="B216" s="1023">
        <v>203</v>
      </c>
      <c r="C216" s="348" t="s">
        <v>558</v>
      </c>
      <c r="D216" s="949">
        <v>3.8</v>
      </c>
      <c r="E216" s="345">
        <f>'[1]road inventory 2018'!C289</f>
        <v>3.8</v>
      </c>
      <c r="F216" s="1084">
        <v>2.5350000000000001</v>
      </c>
      <c r="G216" s="345">
        <v>0</v>
      </c>
      <c r="H216" s="345">
        <v>0</v>
      </c>
      <c r="I216" s="323">
        <f t="shared" si="22"/>
        <v>1.2649999999999997</v>
      </c>
      <c r="J216" s="346" t="s">
        <v>12</v>
      </c>
      <c r="K216" s="323"/>
      <c r="L216" s="323"/>
      <c r="M216" s="323"/>
      <c r="N216" s="347"/>
      <c r="O216" s="350"/>
      <c r="P216" s="328"/>
    </row>
    <row r="217" spans="1:18" ht="20.149999999999999" customHeight="1" x14ac:dyDescent="0.35">
      <c r="A217" s="329">
        <v>8</v>
      </c>
      <c r="B217" s="1023">
        <v>228</v>
      </c>
      <c r="C217" s="348" t="s">
        <v>141</v>
      </c>
      <c r="D217" s="949">
        <v>9.3000000000000007</v>
      </c>
      <c r="E217" s="345">
        <f>'[1]road inventory 2018'!C290</f>
        <v>9.3000000000000007</v>
      </c>
      <c r="F217" s="1084">
        <f>7.22+0.64</f>
        <v>7.8599999999999994</v>
      </c>
      <c r="G217" s="345">
        <v>0</v>
      </c>
      <c r="H217" s="345">
        <v>0</v>
      </c>
      <c r="I217" s="323">
        <f t="shared" si="22"/>
        <v>1.4400000000000013</v>
      </c>
      <c r="J217" s="346" t="s">
        <v>12</v>
      </c>
      <c r="K217" s="323"/>
      <c r="L217" s="323"/>
      <c r="M217" s="323"/>
      <c r="N217" s="347"/>
      <c r="O217" s="350"/>
      <c r="P217" s="328"/>
    </row>
    <row r="218" spans="1:18" s="983" customFormat="1" ht="20.149999999999999" customHeight="1" x14ac:dyDescent="0.35">
      <c r="B218" s="977"/>
      <c r="C218" s="978" t="s">
        <v>341</v>
      </c>
      <c r="D218" s="979">
        <f t="shared" ref="D218:I218" si="23">SUM(D210:D217)</f>
        <v>49</v>
      </c>
      <c r="E218" s="980">
        <f t="shared" si="23"/>
        <v>49</v>
      </c>
      <c r="F218" s="1077">
        <f t="shared" si="23"/>
        <v>28.03</v>
      </c>
      <c r="G218" s="980">
        <f t="shared" si="23"/>
        <v>4.1429999999999998</v>
      </c>
      <c r="H218" s="980">
        <f t="shared" si="23"/>
        <v>0.1</v>
      </c>
      <c r="I218" s="980">
        <f t="shared" si="23"/>
        <v>16.727000000000004</v>
      </c>
      <c r="J218" s="981"/>
      <c r="K218" s="980"/>
      <c r="L218" s="980"/>
      <c r="M218" s="980"/>
      <c r="N218" s="999"/>
      <c r="O218" s="997"/>
      <c r="P218" s="998"/>
      <c r="Q218" s="984"/>
    </row>
    <row r="219" spans="1:18" ht="20.149999999999999" customHeight="1" x14ac:dyDescent="0.35">
      <c r="B219" s="321"/>
      <c r="C219" s="330"/>
      <c r="D219" s="330"/>
      <c r="E219" s="323"/>
      <c r="F219" s="1046"/>
      <c r="G219" s="323"/>
      <c r="H219" s="1138">
        <f>H218+I218</f>
        <v>16.827000000000005</v>
      </c>
      <c r="I219" s="1139"/>
      <c r="J219" s="325"/>
      <c r="K219" s="323"/>
      <c r="L219" s="323"/>
      <c r="M219" s="323"/>
      <c r="N219" s="326"/>
      <c r="O219" s="363"/>
      <c r="P219" s="328"/>
      <c r="Q219" s="331"/>
    </row>
    <row r="220" spans="1:18" s="983" customFormat="1" ht="20.149999999999999" customHeight="1" x14ac:dyDescent="0.35">
      <c r="B220" s="1007" t="s">
        <v>501</v>
      </c>
      <c r="E220" s="1008"/>
      <c r="F220" s="1083"/>
      <c r="G220" s="1008"/>
      <c r="H220" s="1008"/>
      <c r="I220" s="1008"/>
      <c r="J220" s="1009"/>
      <c r="K220" s="980"/>
      <c r="L220" s="980"/>
      <c r="M220" s="980"/>
      <c r="N220" s="1010"/>
      <c r="O220" s="997"/>
      <c r="P220" s="998"/>
    </row>
    <row r="221" spans="1:18" ht="20.149999999999999" customHeight="1" x14ac:dyDescent="0.35">
      <c r="A221" s="329">
        <v>1</v>
      </c>
      <c r="B221" s="1021">
        <v>153</v>
      </c>
      <c r="C221" s="336" t="s">
        <v>121</v>
      </c>
      <c r="D221" s="942">
        <f>[2]CARRIAGEWAY!$D$13:$L$13</f>
        <v>11.456999999999999</v>
      </c>
      <c r="E221" s="326">
        <f>D221</f>
        <v>11.456999999999999</v>
      </c>
      <c r="F221" s="1046">
        <f>[2]CARRIAGEWAY!$V$360</f>
        <v>4.8800000000000008</v>
      </c>
      <c r="G221" s="323">
        <f>[3]CARRIAGEWAY!$X$360</f>
        <v>0</v>
      </c>
      <c r="H221" s="323">
        <v>0</v>
      </c>
      <c r="I221" s="323">
        <f t="shared" ref="I221:I234" si="24">D221-F221-G221-H221</f>
        <v>6.5769999999999982</v>
      </c>
      <c r="J221" s="325" t="s">
        <v>12</v>
      </c>
      <c r="K221" s="323"/>
      <c r="L221" s="323"/>
      <c r="M221" s="323"/>
      <c r="N221" s="326"/>
      <c r="O221" s="350"/>
      <c r="P221" s="328"/>
    </row>
    <row r="222" spans="1:18" ht="20.149999999999999" customHeight="1" x14ac:dyDescent="0.35">
      <c r="A222" s="329">
        <v>2</v>
      </c>
      <c r="B222" s="1021">
        <v>125</v>
      </c>
      <c r="C222" s="336" t="s">
        <v>125</v>
      </c>
      <c r="D222" s="942">
        <f>[4]CARRIAGEWAY!$D$13:$L$13</f>
        <v>2.9</v>
      </c>
      <c r="E222" s="326">
        <f t="shared" ref="E222:E228" si="25">D222</f>
        <v>2.9</v>
      </c>
      <c r="F222" s="1046">
        <v>1.59</v>
      </c>
      <c r="G222" s="323">
        <v>0</v>
      </c>
      <c r="H222" s="323">
        <v>0</v>
      </c>
      <c r="I222" s="323">
        <f t="shared" si="24"/>
        <v>1.3099999999999998</v>
      </c>
      <c r="J222" s="325" t="s">
        <v>12</v>
      </c>
      <c r="K222" s="323"/>
      <c r="L222" s="323"/>
      <c r="M222" s="323"/>
      <c r="N222" s="326"/>
      <c r="O222" s="363"/>
      <c r="P222" s="328"/>
    </row>
    <row r="223" spans="1:18" ht="20.149999999999999" customHeight="1" x14ac:dyDescent="0.35">
      <c r="A223" s="329">
        <v>3</v>
      </c>
      <c r="B223" s="1021">
        <v>154</v>
      </c>
      <c r="C223" s="336" t="s">
        <v>127</v>
      </c>
      <c r="D223" s="942">
        <f>[5]CARRIAGEWAY!$D$13:$L$13</f>
        <v>7.016</v>
      </c>
      <c r="E223" s="326">
        <f t="shared" si="25"/>
        <v>7.016</v>
      </c>
      <c r="F223" s="1046">
        <f>[5]CARRIAGEWAY!$V$360</f>
        <v>0.27400000000000002</v>
      </c>
      <c r="G223" s="323">
        <v>0</v>
      </c>
      <c r="H223" s="323">
        <v>0</v>
      </c>
      <c r="I223" s="323">
        <f t="shared" si="24"/>
        <v>6.742</v>
      </c>
      <c r="J223" s="325" t="s">
        <v>12</v>
      </c>
      <c r="K223" s="323"/>
      <c r="L223" s="323"/>
      <c r="M223" s="323"/>
      <c r="N223" s="326"/>
      <c r="O223" s="363"/>
      <c r="P223" s="328"/>
    </row>
    <row r="224" spans="1:18" ht="20.149999999999999" customHeight="1" x14ac:dyDescent="0.35">
      <c r="A224" s="329">
        <v>4</v>
      </c>
      <c r="B224" s="1021">
        <v>127</v>
      </c>
      <c r="C224" s="336" t="s">
        <v>504</v>
      </c>
      <c r="D224" s="942">
        <f>[6]CARRIAGEWAY!$D$13:$L$13</f>
        <v>3.1</v>
      </c>
      <c r="E224" s="326">
        <f t="shared" si="25"/>
        <v>3.1</v>
      </c>
      <c r="F224" s="1046">
        <f>[6]CARRIAGEWAY!$V$360</f>
        <v>1.5590000000000002</v>
      </c>
      <c r="G224" s="323">
        <v>0</v>
      </c>
      <c r="H224" s="323">
        <v>0</v>
      </c>
      <c r="I224" s="323">
        <f t="shared" si="24"/>
        <v>1.5409999999999999</v>
      </c>
      <c r="J224" s="325" t="s">
        <v>10</v>
      </c>
      <c r="K224" s="323"/>
      <c r="L224" s="323"/>
      <c r="M224" s="323"/>
      <c r="N224" s="326"/>
      <c r="O224" s="363"/>
      <c r="P224" s="328"/>
    </row>
    <row r="225" spans="1:18" ht="20.149999999999999" customHeight="1" x14ac:dyDescent="0.35">
      <c r="A225" s="329">
        <v>5</v>
      </c>
      <c r="B225" s="1021">
        <v>128</v>
      </c>
      <c r="C225" s="336" t="s">
        <v>507</v>
      </c>
      <c r="D225" s="942">
        <f>[7]CARRIAGEWAY!$D$13:$L$13</f>
        <v>2.323</v>
      </c>
      <c r="E225" s="326">
        <f t="shared" si="25"/>
        <v>2.323</v>
      </c>
      <c r="F225" s="1046">
        <f>[7]CARRIAGEWAY!$V$360</f>
        <v>2.1819999999999999</v>
      </c>
      <c r="G225" s="323">
        <v>0</v>
      </c>
      <c r="H225" s="323">
        <v>0</v>
      </c>
      <c r="I225" s="323">
        <f t="shared" si="24"/>
        <v>0.14100000000000001</v>
      </c>
      <c r="J225" s="325" t="s">
        <v>10</v>
      </c>
      <c r="K225" s="323"/>
      <c r="L225" s="323"/>
      <c r="M225" s="323"/>
      <c r="N225" s="326"/>
      <c r="O225" s="363"/>
      <c r="P225" s="328"/>
    </row>
    <row r="226" spans="1:18" ht="20.149999999999999" customHeight="1" x14ac:dyDescent="0.35">
      <c r="A226" s="329">
        <v>6</v>
      </c>
      <c r="B226" s="1021">
        <v>155</v>
      </c>
      <c r="C226" s="336" t="s">
        <v>509</v>
      </c>
      <c r="D226" s="942">
        <f>[8]CARRIAGEWAY!$D$13:$L$13</f>
        <v>3.7970000000000002</v>
      </c>
      <c r="E226" s="326">
        <f t="shared" si="25"/>
        <v>3.7970000000000002</v>
      </c>
      <c r="F226" s="1046">
        <v>1.99</v>
      </c>
      <c r="G226" s="323">
        <v>0</v>
      </c>
      <c r="H226" s="323">
        <v>0</v>
      </c>
      <c r="I226" s="323">
        <f t="shared" si="24"/>
        <v>1.8070000000000002</v>
      </c>
      <c r="J226" s="325" t="s">
        <v>41</v>
      </c>
      <c r="K226" s="323"/>
      <c r="L226" s="323"/>
      <c r="M226" s="323"/>
      <c r="N226" s="326"/>
      <c r="O226" s="363"/>
      <c r="P226" s="328"/>
    </row>
    <row r="227" spans="1:18" ht="20.149999999999999" customHeight="1" x14ac:dyDescent="0.35">
      <c r="A227" s="329">
        <v>7</v>
      </c>
      <c r="B227" s="1021">
        <v>129</v>
      </c>
      <c r="C227" s="336" t="s">
        <v>512</v>
      </c>
      <c r="D227" s="942">
        <f>[9]CARRIAGEWAY!$D$13:$L$13</f>
        <v>2.7849999999999997</v>
      </c>
      <c r="E227" s="326">
        <f t="shared" si="25"/>
        <v>2.7849999999999997</v>
      </c>
      <c r="F227" s="1046">
        <v>0</v>
      </c>
      <c r="G227" s="323">
        <v>0</v>
      </c>
      <c r="H227" s="323">
        <v>0</v>
      </c>
      <c r="I227" s="323">
        <f t="shared" si="24"/>
        <v>2.7849999999999997</v>
      </c>
      <c r="J227" s="325" t="s">
        <v>12</v>
      </c>
      <c r="K227" s="323"/>
      <c r="L227" s="323"/>
      <c r="M227" s="323"/>
      <c r="N227" s="326"/>
      <c r="O227" s="363"/>
      <c r="P227" s="328"/>
    </row>
    <row r="228" spans="1:18" ht="20.149999999999999" customHeight="1" x14ac:dyDescent="0.35">
      <c r="A228" s="329">
        <v>8</v>
      </c>
      <c r="B228" s="1021">
        <v>156</v>
      </c>
      <c r="C228" s="336" t="s">
        <v>130</v>
      </c>
      <c r="D228" s="942">
        <v>20.45</v>
      </c>
      <c r="E228" s="326">
        <f t="shared" si="25"/>
        <v>20.45</v>
      </c>
      <c r="F228" s="1046">
        <f>5.49+2.715</f>
        <v>8.2050000000000001</v>
      </c>
      <c r="G228" s="323">
        <v>0</v>
      </c>
      <c r="H228" s="323">
        <v>0</v>
      </c>
      <c r="I228" s="323">
        <f t="shared" si="24"/>
        <v>12.244999999999999</v>
      </c>
      <c r="J228" s="325" t="s">
        <v>12</v>
      </c>
      <c r="K228" s="323"/>
      <c r="L228" s="323"/>
      <c r="M228" s="323"/>
      <c r="N228" s="326"/>
      <c r="O228" s="363"/>
      <c r="P228" s="328"/>
    </row>
    <row r="229" spans="1:18" ht="20.149999999999999" customHeight="1" x14ac:dyDescent="0.35">
      <c r="A229" s="329">
        <v>9</v>
      </c>
      <c r="B229" s="1021">
        <v>157</v>
      </c>
      <c r="C229" s="336" t="s">
        <v>515</v>
      </c>
      <c r="D229" s="942">
        <v>8.6999999999999993</v>
      </c>
      <c r="E229" s="323">
        <f>'[1]road inventory 2018'!C254</f>
        <v>8.6999999999999993</v>
      </c>
      <c r="F229" s="1046">
        <v>1.0880000000000001</v>
      </c>
      <c r="G229" s="323">
        <v>0</v>
      </c>
      <c r="H229" s="323">
        <v>6.9119999999999999</v>
      </c>
      <c r="I229" s="323">
        <f t="shared" si="24"/>
        <v>0.69999999999999929</v>
      </c>
      <c r="J229" s="325" t="s">
        <v>33</v>
      </c>
      <c r="K229" s="323"/>
      <c r="L229" s="323"/>
      <c r="M229" s="323"/>
      <c r="N229" s="326"/>
      <c r="O229" s="363"/>
      <c r="P229" s="328"/>
    </row>
    <row r="230" spans="1:18" ht="20.149999999999999" customHeight="1" x14ac:dyDescent="0.35">
      <c r="A230" s="329">
        <v>10</v>
      </c>
      <c r="B230" s="1021">
        <v>158</v>
      </c>
      <c r="C230" s="336" t="s">
        <v>517</v>
      </c>
      <c r="D230" s="942">
        <v>6.62</v>
      </c>
      <c r="E230" s="323">
        <f>'[1]road inventory 2018'!C255</f>
        <v>7.1999999999999993</v>
      </c>
      <c r="F230" s="1046">
        <v>6.62</v>
      </c>
      <c r="G230" s="323">
        <v>0</v>
      </c>
      <c r="H230" s="323">
        <v>0</v>
      </c>
      <c r="I230" s="323">
        <f t="shared" si="24"/>
        <v>0</v>
      </c>
      <c r="J230" s="325" t="s">
        <v>12</v>
      </c>
      <c r="K230" s="323"/>
      <c r="L230" s="323"/>
      <c r="M230" s="323"/>
      <c r="N230" s="326"/>
      <c r="O230" s="363"/>
      <c r="P230" s="328"/>
    </row>
    <row r="231" spans="1:18" ht="20.149999999999999" customHeight="1" x14ac:dyDescent="0.35">
      <c r="A231" s="329">
        <v>11</v>
      </c>
      <c r="B231" s="1021">
        <v>159</v>
      </c>
      <c r="C231" s="336" t="s">
        <v>518</v>
      </c>
      <c r="D231" s="942">
        <v>4.7</v>
      </c>
      <c r="E231" s="323">
        <f>'[1]road inventory 2018'!C256</f>
        <v>4.8</v>
      </c>
      <c r="F231" s="1046">
        <v>1.49</v>
      </c>
      <c r="G231" s="323">
        <v>0</v>
      </c>
      <c r="H231" s="323">
        <v>3.21</v>
      </c>
      <c r="I231" s="323">
        <f t="shared" si="24"/>
        <v>0</v>
      </c>
      <c r="J231" s="325" t="s">
        <v>12</v>
      </c>
      <c r="K231" s="323"/>
      <c r="L231" s="323"/>
      <c r="M231" s="323"/>
      <c r="N231" s="326"/>
      <c r="O231" s="363"/>
      <c r="P231" s="328"/>
    </row>
    <row r="232" spans="1:18" ht="20.149999999999999" customHeight="1" x14ac:dyDescent="0.35">
      <c r="A232" s="329">
        <v>12</v>
      </c>
      <c r="B232" s="1021">
        <v>130</v>
      </c>
      <c r="C232" s="336" t="s">
        <v>519</v>
      </c>
      <c r="D232" s="942">
        <v>10.602</v>
      </c>
      <c r="E232" s="323">
        <f>D232</f>
        <v>10.602</v>
      </c>
      <c r="F232" s="1046">
        <v>1.839</v>
      </c>
      <c r="G232" s="323">
        <f>[10]CARRIAGEWAY!$X$360</f>
        <v>0</v>
      </c>
      <c r="H232" s="323">
        <v>2.0329999999999999</v>
      </c>
      <c r="I232" s="323">
        <f t="shared" si="24"/>
        <v>6.73</v>
      </c>
      <c r="J232" s="325" t="s">
        <v>33</v>
      </c>
      <c r="K232" s="323"/>
      <c r="L232" s="323"/>
      <c r="M232" s="323"/>
      <c r="N232" s="326"/>
      <c r="O232" s="363"/>
      <c r="P232" s="328"/>
      <c r="Q232" s="351"/>
      <c r="R232" s="352"/>
    </row>
    <row r="233" spans="1:18" ht="20.149999999999999" customHeight="1" x14ac:dyDescent="0.35">
      <c r="A233" s="329">
        <v>13</v>
      </c>
      <c r="B233" s="1021">
        <v>131</v>
      </c>
      <c r="C233" s="336" t="s">
        <v>523</v>
      </c>
      <c r="D233" s="942">
        <f>[11]CARRIAGEWAY!$D$13:$L$13</f>
        <v>5.3309999999999995</v>
      </c>
      <c r="E233" s="323">
        <f>D233</f>
        <v>5.3309999999999995</v>
      </c>
      <c r="F233" s="1046">
        <v>4.8499999999999996</v>
      </c>
      <c r="G233" s="323">
        <v>0</v>
      </c>
      <c r="H233" s="323">
        <v>0</v>
      </c>
      <c r="I233" s="323">
        <f t="shared" si="24"/>
        <v>0.48099999999999987</v>
      </c>
      <c r="J233" s="325" t="s">
        <v>12</v>
      </c>
      <c r="K233" s="323"/>
      <c r="L233" s="323"/>
      <c r="M233" s="323"/>
      <c r="N233" s="326"/>
      <c r="O233" s="363"/>
      <c r="P233" s="328"/>
    </row>
    <row r="234" spans="1:18" ht="20.149999999999999" customHeight="1" x14ac:dyDescent="0.35">
      <c r="A234" s="329">
        <v>14</v>
      </c>
      <c r="B234" s="1021">
        <v>135</v>
      </c>
      <c r="C234" s="336" t="s">
        <v>139</v>
      </c>
      <c r="D234" s="942">
        <f>[12]CARRIAGEWAY!$D$13:$L$13</f>
        <v>4.4809999999999999</v>
      </c>
      <c r="E234" s="323">
        <f>D234</f>
        <v>4.4809999999999999</v>
      </c>
      <c r="F234" s="1046">
        <v>3.5</v>
      </c>
      <c r="G234" s="323">
        <v>0</v>
      </c>
      <c r="H234" s="323">
        <v>0</v>
      </c>
      <c r="I234" s="323">
        <f t="shared" si="24"/>
        <v>0.98099999999999987</v>
      </c>
      <c r="J234" s="325" t="s">
        <v>12</v>
      </c>
      <c r="K234" s="323"/>
      <c r="L234" s="323"/>
      <c r="M234" s="323"/>
      <c r="N234" s="326"/>
      <c r="O234" s="363"/>
      <c r="P234" s="328"/>
    </row>
    <row r="235" spans="1:18" s="983" customFormat="1" ht="20.149999999999999" customHeight="1" x14ac:dyDescent="0.35">
      <c r="B235" s="977"/>
      <c r="C235" s="978" t="s">
        <v>341</v>
      </c>
      <c r="D235" s="979">
        <f t="shared" ref="D235:I235" si="26">SUM(D221:D234)</f>
        <v>94.262000000000015</v>
      </c>
      <c r="E235" s="980">
        <f t="shared" si="26"/>
        <v>94.942000000000007</v>
      </c>
      <c r="F235" s="1077">
        <f t="shared" si="26"/>
        <v>40.067</v>
      </c>
      <c r="G235" s="980">
        <f t="shared" si="26"/>
        <v>0</v>
      </c>
      <c r="H235" s="980">
        <f t="shared" si="26"/>
        <v>12.154999999999999</v>
      </c>
      <c r="I235" s="980">
        <f t="shared" si="26"/>
        <v>42.040000000000006</v>
      </c>
      <c r="J235" s="981"/>
      <c r="K235" s="980"/>
      <c r="L235" s="980"/>
      <c r="M235" s="980"/>
      <c r="N235" s="999"/>
      <c r="O235" s="997"/>
      <c r="P235" s="998"/>
      <c r="Q235" s="984"/>
    </row>
    <row r="236" spans="1:18" ht="20.149999999999999" customHeight="1" x14ac:dyDescent="0.35">
      <c r="B236" s="321"/>
      <c r="C236" s="330"/>
      <c r="D236" s="330"/>
      <c r="E236" s="323"/>
      <c r="F236" s="1046"/>
      <c r="G236" s="323"/>
      <c r="H236" s="1138">
        <f>H235+I235</f>
        <v>54.195000000000007</v>
      </c>
      <c r="I236" s="1139"/>
      <c r="J236" s="325"/>
      <c r="K236" s="323"/>
      <c r="L236" s="323"/>
      <c r="M236" s="323"/>
      <c r="N236" s="326"/>
      <c r="O236" s="363"/>
      <c r="P236" s="328"/>
      <c r="Q236" s="320"/>
    </row>
    <row r="237" spans="1:18" s="983" customFormat="1" ht="20.149999999999999" customHeight="1" x14ac:dyDescent="0.35">
      <c r="B237" s="982" t="s">
        <v>494</v>
      </c>
      <c r="E237" s="980"/>
      <c r="F237" s="1077"/>
      <c r="G237" s="980"/>
      <c r="H237" s="980"/>
      <c r="I237" s="1011"/>
      <c r="J237" s="981"/>
      <c r="K237" s="980"/>
      <c r="L237" s="980"/>
      <c r="M237" s="980"/>
      <c r="N237" s="996"/>
      <c r="O237" s="997"/>
      <c r="P237" s="998"/>
      <c r="Q237" s="984"/>
    </row>
    <row r="238" spans="1:18" ht="20.149999999999999" customHeight="1" x14ac:dyDescent="0.35">
      <c r="A238" s="329">
        <v>1</v>
      </c>
      <c r="B238" s="1021">
        <v>148</v>
      </c>
      <c r="C238" s="336" t="s">
        <v>290</v>
      </c>
      <c r="D238" s="326">
        <f>[13]CARRIAGEWAY!$D$13:$L$13</f>
        <v>3.0760000000000005</v>
      </c>
      <c r="E238" s="323">
        <f>D238</f>
        <v>3.0760000000000005</v>
      </c>
      <c r="F238" s="1046">
        <v>0.32500000000000001</v>
      </c>
      <c r="G238" s="323">
        <v>0</v>
      </c>
      <c r="H238" s="323">
        <v>0</v>
      </c>
      <c r="I238" s="323">
        <f>D238-F238-G238-H238</f>
        <v>2.7510000000000003</v>
      </c>
      <c r="J238" s="325" t="s">
        <v>41</v>
      </c>
      <c r="K238" s="323"/>
      <c r="L238" s="323"/>
      <c r="M238" s="323"/>
      <c r="N238" s="325"/>
      <c r="O238" s="363"/>
      <c r="P238" s="328"/>
    </row>
    <row r="239" spans="1:18" ht="20.149999999999999" customHeight="1" x14ac:dyDescent="0.35">
      <c r="A239" s="329">
        <v>2</v>
      </c>
      <c r="B239" s="1021">
        <v>149</v>
      </c>
      <c r="C239" s="336" t="s">
        <v>496</v>
      </c>
      <c r="D239" s="326">
        <f>[14]CARRIAGEWAY!$D$13:$L$13</f>
        <v>5.0560000000000009</v>
      </c>
      <c r="E239" s="323">
        <f>D239</f>
        <v>5.0560000000000009</v>
      </c>
      <c r="F239" s="1046">
        <v>3.55</v>
      </c>
      <c r="G239" s="323">
        <v>0</v>
      </c>
      <c r="H239" s="323">
        <v>0</v>
      </c>
      <c r="I239" s="323">
        <f>D239-F239-G239-H239</f>
        <v>1.5060000000000011</v>
      </c>
      <c r="J239" s="325" t="s">
        <v>12</v>
      </c>
      <c r="K239" s="323"/>
      <c r="L239" s="323"/>
      <c r="M239" s="323"/>
      <c r="N239" s="325"/>
      <c r="O239" s="363"/>
      <c r="P239" s="328"/>
    </row>
    <row r="240" spans="1:18" ht="20.149999999999999" customHeight="1" x14ac:dyDescent="0.35">
      <c r="A240" s="329">
        <v>3</v>
      </c>
      <c r="B240" s="1021">
        <v>150</v>
      </c>
      <c r="C240" s="336" t="s">
        <v>116</v>
      </c>
      <c r="D240" s="326">
        <f>[15]CARRIAGEWAY!$D$13:$L$13</f>
        <v>11.209</v>
      </c>
      <c r="E240" s="323">
        <f>D240</f>
        <v>11.209</v>
      </c>
      <c r="F240" s="1046">
        <v>7.01</v>
      </c>
      <c r="G240" s="323">
        <v>0</v>
      </c>
      <c r="H240" s="323">
        <v>0</v>
      </c>
      <c r="I240" s="323">
        <f>D240-F240-G240-H240</f>
        <v>4.1989999999999998</v>
      </c>
      <c r="J240" s="325" t="s">
        <v>10</v>
      </c>
      <c r="K240" s="323"/>
      <c r="L240" s="323"/>
      <c r="M240" s="323"/>
      <c r="N240" s="325"/>
      <c r="O240" s="363"/>
      <c r="P240" s="328"/>
    </row>
    <row r="241" spans="1:17" ht="20.149999999999999" customHeight="1" x14ac:dyDescent="0.35">
      <c r="A241" s="329">
        <v>4</v>
      </c>
      <c r="B241" s="1021">
        <v>151</v>
      </c>
      <c r="C241" s="336" t="s">
        <v>499</v>
      </c>
      <c r="D241" s="326">
        <f>[16]CARRIAGEWAY!$D$13:$L$13</f>
        <v>4.0670000000000002</v>
      </c>
      <c r="E241" s="323">
        <f>D241</f>
        <v>4.0670000000000002</v>
      </c>
      <c r="F241" s="1046">
        <v>1.85</v>
      </c>
      <c r="G241" s="323">
        <v>0</v>
      </c>
      <c r="H241" s="323">
        <v>0</v>
      </c>
      <c r="I241" s="323">
        <f>D241-F241-G241-H241</f>
        <v>2.2170000000000001</v>
      </c>
      <c r="J241" s="325" t="s">
        <v>12</v>
      </c>
      <c r="K241" s="323"/>
      <c r="L241" s="323"/>
      <c r="M241" s="323"/>
      <c r="N241" s="325"/>
      <c r="O241" s="363"/>
      <c r="P241" s="328"/>
    </row>
    <row r="242" spans="1:17" ht="20.149999999999999" customHeight="1" x14ac:dyDescent="0.35">
      <c r="A242" s="329">
        <v>5</v>
      </c>
      <c r="B242" s="1021">
        <v>152</v>
      </c>
      <c r="C242" s="336" t="s">
        <v>120</v>
      </c>
      <c r="D242" s="326">
        <f>[17]CARRIAGEWAY!$D$13:$L$13</f>
        <v>4.7160000000000002</v>
      </c>
      <c r="E242" s="323">
        <f>D242</f>
        <v>4.7160000000000002</v>
      </c>
      <c r="F242" s="1046">
        <v>0.3</v>
      </c>
      <c r="G242" s="323">
        <v>0</v>
      </c>
      <c r="H242" s="323">
        <v>0</v>
      </c>
      <c r="I242" s="323">
        <f>D242-F242-G242-H242</f>
        <v>4.4160000000000004</v>
      </c>
      <c r="J242" s="325" t="s">
        <v>12</v>
      </c>
      <c r="K242" s="323"/>
      <c r="L242" s="323"/>
      <c r="M242" s="323"/>
      <c r="N242" s="326"/>
      <c r="O242" s="363"/>
      <c r="P242" s="328"/>
    </row>
    <row r="243" spans="1:17" s="983" customFormat="1" ht="20.149999999999999" customHeight="1" x14ac:dyDescent="0.35">
      <c r="B243" s="977"/>
      <c r="C243" s="978" t="s">
        <v>341</v>
      </c>
      <c r="D243" s="979">
        <f t="shared" ref="D243:I243" si="27">SUM(D238:D242)</f>
        <v>28.124000000000002</v>
      </c>
      <c r="E243" s="980">
        <f t="shared" si="27"/>
        <v>28.124000000000002</v>
      </c>
      <c r="F243" s="1077">
        <f t="shared" si="27"/>
        <v>13.035</v>
      </c>
      <c r="G243" s="980">
        <f t="shared" si="27"/>
        <v>0</v>
      </c>
      <c r="H243" s="980">
        <f t="shared" si="27"/>
        <v>0</v>
      </c>
      <c r="I243" s="980">
        <f t="shared" si="27"/>
        <v>15.089000000000002</v>
      </c>
      <c r="J243" s="981"/>
      <c r="K243" s="980"/>
      <c r="L243" s="980"/>
      <c r="M243" s="980"/>
      <c r="N243" s="999"/>
      <c r="O243" s="997"/>
      <c r="P243" s="998"/>
      <c r="Q243" s="984"/>
    </row>
    <row r="244" spans="1:17" ht="20.149999999999999" customHeight="1" x14ac:dyDescent="0.35">
      <c r="B244" s="321"/>
      <c r="C244" s="330"/>
      <c r="D244" s="330"/>
      <c r="E244" s="323"/>
      <c r="F244" s="1046"/>
      <c r="G244" s="323"/>
      <c r="H244" s="1138">
        <f>H243+I243</f>
        <v>15.089000000000002</v>
      </c>
      <c r="I244" s="1139"/>
      <c r="J244" s="325"/>
      <c r="K244" s="323"/>
      <c r="L244" s="323"/>
      <c r="M244" s="323"/>
      <c r="N244" s="326"/>
      <c r="O244" s="363"/>
      <c r="P244" s="328"/>
      <c r="Q244" s="331"/>
    </row>
    <row r="245" spans="1:17" s="987" customFormat="1" ht="20.149999999999999" customHeight="1" x14ac:dyDescent="0.35">
      <c r="A245" s="329"/>
      <c r="B245" s="982" t="s">
        <v>560</v>
      </c>
      <c r="E245" s="985"/>
      <c r="F245" s="1079"/>
      <c r="G245" s="985"/>
      <c r="H245" s="985"/>
      <c r="I245" s="985"/>
      <c r="J245" s="988"/>
      <c r="K245" s="985"/>
      <c r="L245" s="985"/>
      <c r="M245" s="985"/>
      <c r="N245" s="1012"/>
      <c r="O245" s="1013"/>
      <c r="P245" s="1014"/>
      <c r="Q245" s="1015"/>
    </row>
    <row r="246" spans="1:17" ht="20.149999999999999" customHeight="1" x14ac:dyDescent="0.35">
      <c r="A246" s="329">
        <v>1</v>
      </c>
      <c r="B246" s="1021">
        <v>204</v>
      </c>
      <c r="C246" s="336" t="s">
        <v>561</v>
      </c>
      <c r="D246" s="942">
        <v>15.87</v>
      </c>
      <c r="E246" s="323">
        <f>'[1]road inventory 2018'!C298</f>
        <v>15.87</v>
      </c>
      <c r="F246" s="1046">
        <v>6.92</v>
      </c>
      <c r="G246" s="323">
        <v>2.5499999999999998</v>
      </c>
      <c r="H246" s="323">
        <v>0</v>
      </c>
      <c r="I246" s="323">
        <f t="shared" ref="I246:I256" si="28">D246-F246-G246-H246</f>
        <v>6.3999999999999995</v>
      </c>
      <c r="J246" s="325" t="s">
        <v>33</v>
      </c>
      <c r="K246" s="323"/>
      <c r="L246" s="323"/>
      <c r="M246" s="323"/>
      <c r="N246" s="326"/>
      <c r="O246" s="350"/>
      <c r="P246" s="328"/>
    </row>
    <row r="247" spans="1:17" ht="20.149999999999999" customHeight="1" x14ac:dyDescent="0.35">
      <c r="A247" s="329">
        <v>2</v>
      </c>
      <c r="B247" s="1021">
        <v>205</v>
      </c>
      <c r="C247" s="336" t="s">
        <v>563</v>
      </c>
      <c r="D247" s="942">
        <v>0.37</v>
      </c>
      <c r="E247" s="323">
        <f>'[1]road inventory 2018'!C299</f>
        <v>0.37</v>
      </c>
      <c r="F247" s="1046">
        <v>0.37</v>
      </c>
      <c r="G247" s="323">
        <v>0</v>
      </c>
      <c r="H247" s="323">
        <v>0</v>
      </c>
      <c r="I247" s="323">
        <f t="shared" si="28"/>
        <v>0</v>
      </c>
      <c r="J247" s="325" t="s">
        <v>10</v>
      </c>
      <c r="K247" s="323"/>
      <c r="L247" s="323"/>
      <c r="M247" s="323"/>
      <c r="N247" s="326"/>
      <c r="O247" s="350"/>
      <c r="P247" s="328"/>
    </row>
    <row r="248" spans="1:17" ht="20.149999999999999" customHeight="1" x14ac:dyDescent="0.35">
      <c r="A248" s="329">
        <v>3</v>
      </c>
      <c r="B248" s="1021">
        <v>213</v>
      </c>
      <c r="C248" s="336" t="s">
        <v>293</v>
      </c>
      <c r="D248" s="942">
        <v>1.86</v>
      </c>
      <c r="E248" s="323">
        <f>'[1]road inventory 2018'!C300</f>
        <v>1.8599999999999999</v>
      </c>
      <c r="F248" s="1046">
        <v>1.86</v>
      </c>
      <c r="G248" s="323">
        <v>0</v>
      </c>
      <c r="H248" s="323">
        <v>0</v>
      </c>
      <c r="I248" s="323">
        <f t="shared" si="28"/>
        <v>0</v>
      </c>
      <c r="J248" s="325" t="s">
        <v>12</v>
      </c>
      <c r="K248" s="323"/>
      <c r="L248" s="323"/>
      <c r="M248" s="323"/>
      <c r="N248" s="326"/>
      <c r="O248" s="350"/>
      <c r="P248" s="328"/>
    </row>
    <row r="249" spans="1:17" ht="20.149999999999999" customHeight="1" x14ac:dyDescent="0.35">
      <c r="A249" s="329">
        <v>4</v>
      </c>
      <c r="B249" s="1021">
        <v>206</v>
      </c>
      <c r="C249" s="336" t="s">
        <v>295</v>
      </c>
      <c r="D249" s="942">
        <v>2</v>
      </c>
      <c r="E249" s="323">
        <f>'[1]road inventory 2018'!C301</f>
        <v>2</v>
      </c>
      <c r="F249" s="1046">
        <v>2</v>
      </c>
      <c r="G249" s="323">
        <v>0</v>
      </c>
      <c r="H249" s="323">
        <v>0</v>
      </c>
      <c r="I249" s="323">
        <f t="shared" si="28"/>
        <v>0</v>
      </c>
      <c r="J249" s="325" t="s">
        <v>12</v>
      </c>
      <c r="K249" s="323"/>
      <c r="L249" s="323"/>
      <c r="M249" s="323"/>
      <c r="N249" s="326"/>
      <c r="O249" s="350"/>
      <c r="P249" s="328"/>
    </row>
    <row r="250" spans="1:17" ht="20.149999999999999" customHeight="1" x14ac:dyDescent="0.35">
      <c r="A250" s="329">
        <v>5</v>
      </c>
      <c r="B250" s="1021">
        <v>207</v>
      </c>
      <c r="C250" s="336" t="s">
        <v>292</v>
      </c>
      <c r="D250" s="942">
        <v>3.3800000000000003</v>
      </c>
      <c r="E250" s="323">
        <f>'[1]road inventory 2018'!C302</f>
        <v>3.38</v>
      </c>
      <c r="F250" s="1046">
        <v>2.4660000000000002</v>
      </c>
      <c r="G250" s="323">
        <v>0</v>
      </c>
      <c r="H250" s="323">
        <v>0.91400000000000003</v>
      </c>
      <c r="I250" s="323">
        <f t="shared" si="28"/>
        <v>0</v>
      </c>
      <c r="J250" s="325" t="s">
        <v>41</v>
      </c>
      <c r="K250" s="323"/>
      <c r="L250" s="323"/>
      <c r="M250" s="323"/>
      <c r="N250" s="326"/>
      <c r="O250" s="350"/>
      <c r="P250" s="328"/>
    </row>
    <row r="251" spans="1:17" ht="20.149999999999999" customHeight="1" x14ac:dyDescent="0.35">
      <c r="A251" s="329">
        <v>6</v>
      </c>
      <c r="B251" s="1021">
        <v>229</v>
      </c>
      <c r="C251" s="336" t="s">
        <v>568</v>
      </c>
      <c r="D251" s="942">
        <v>0.1</v>
      </c>
      <c r="E251" s="323">
        <f>'[1]road inventory 2018'!C303</f>
        <v>0.1</v>
      </c>
      <c r="F251" s="1046">
        <v>0</v>
      </c>
      <c r="G251" s="323">
        <v>0</v>
      </c>
      <c r="H251" s="323">
        <v>0</v>
      </c>
      <c r="I251" s="323">
        <f t="shared" si="28"/>
        <v>0.1</v>
      </c>
      <c r="J251" s="325" t="s">
        <v>33</v>
      </c>
      <c r="K251" s="323"/>
      <c r="L251" s="323"/>
      <c r="M251" s="323"/>
      <c r="N251" s="326"/>
      <c r="O251" s="350"/>
      <c r="P251" s="328"/>
    </row>
    <row r="252" spans="1:17" ht="20.149999999999999" customHeight="1" x14ac:dyDescent="0.35">
      <c r="A252" s="329">
        <v>7</v>
      </c>
      <c r="B252" s="1021">
        <v>215</v>
      </c>
      <c r="C252" s="336" t="s">
        <v>570</v>
      </c>
      <c r="D252" s="942">
        <v>3.8</v>
      </c>
      <c r="E252" s="323">
        <f>'[1]road inventory 2018'!C307</f>
        <v>3.8</v>
      </c>
      <c r="F252" s="1046">
        <v>1</v>
      </c>
      <c r="G252" s="323">
        <v>2.8</v>
      </c>
      <c r="H252" s="323">
        <v>0</v>
      </c>
      <c r="I252" s="323">
        <f t="shared" si="28"/>
        <v>0</v>
      </c>
      <c r="J252" s="325" t="s">
        <v>41</v>
      </c>
      <c r="K252" s="323"/>
      <c r="L252" s="323"/>
      <c r="M252" s="323"/>
      <c r="N252" s="326"/>
      <c r="O252" s="350"/>
      <c r="P252" s="328"/>
    </row>
    <row r="253" spans="1:17" ht="20.149999999999999" customHeight="1" x14ac:dyDescent="0.35">
      <c r="A253" s="329">
        <v>8</v>
      </c>
      <c r="B253" s="1021">
        <v>208</v>
      </c>
      <c r="C253" s="336" t="s">
        <v>572</v>
      </c>
      <c r="D253" s="942">
        <v>4.3</v>
      </c>
      <c r="E253" s="323">
        <f>'[1]road inventory 2018'!C308</f>
        <v>4.3</v>
      </c>
      <c r="F253" s="1046">
        <v>1</v>
      </c>
      <c r="G253" s="323">
        <v>0.25</v>
      </c>
      <c r="H253" s="323">
        <v>0</v>
      </c>
      <c r="I253" s="323">
        <f t="shared" si="28"/>
        <v>3.05</v>
      </c>
      <c r="J253" s="325" t="s">
        <v>10</v>
      </c>
      <c r="K253" s="323"/>
      <c r="L253" s="323"/>
      <c r="M253" s="323"/>
      <c r="N253" s="326"/>
      <c r="O253" s="350"/>
      <c r="P253" s="328"/>
    </row>
    <row r="254" spans="1:17" ht="20.149999999999999" customHeight="1" x14ac:dyDescent="0.35">
      <c r="A254" s="329">
        <v>9</v>
      </c>
      <c r="B254" s="1021">
        <v>209</v>
      </c>
      <c r="C254" s="336" t="s">
        <v>294</v>
      </c>
      <c r="D254" s="942">
        <v>2.6</v>
      </c>
      <c r="E254" s="323">
        <f>'[1]road inventory 2018'!C309</f>
        <v>2.6</v>
      </c>
      <c r="F254" s="1046">
        <v>2.2000000000000002</v>
      </c>
      <c r="G254" s="323">
        <v>0</v>
      </c>
      <c r="H254" s="323">
        <v>0</v>
      </c>
      <c r="I254" s="323">
        <f t="shared" si="28"/>
        <v>0.39999999999999991</v>
      </c>
      <c r="J254" s="325" t="s">
        <v>12</v>
      </c>
      <c r="K254" s="323"/>
      <c r="L254" s="323"/>
      <c r="M254" s="323"/>
      <c r="N254" s="326"/>
      <c r="O254" s="350"/>
      <c r="P254" s="328"/>
    </row>
    <row r="255" spans="1:17" ht="20.149999999999999" customHeight="1" x14ac:dyDescent="0.35">
      <c r="A255" s="329">
        <v>10</v>
      </c>
      <c r="B255" s="1021">
        <v>210</v>
      </c>
      <c r="C255" s="336" t="s">
        <v>575</v>
      </c>
      <c r="D255" s="942">
        <v>0.8</v>
      </c>
      <c r="E255" s="323">
        <f>'[1]road inventory 2018'!C310</f>
        <v>0.8</v>
      </c>
      <c r="F255" s="1046">
        <v>0.8</v>
      </c>
      <c r="G255" s="323">
        <v>0</v>
      </c>
      <c r="H255" s="323">
        <v>0</v>
      </c>
      <c r="I255" s="323">
        <f t="shared" si="28"/>
        <v>0</v>
      </c>
      <c r="J255" s="325" t="s">
        <v>12</v>
      </c>
      <c r="K255" s="323"/>
      <c r="L255" s="323"/>
      <c r="M255" s="323"/>
      <c r="N255" s="326"/>
      <c r="O255" s="350"/>
      <c r="P255" s="328"/>
    </row>
    <row r="256" spans="1:17" ht="20.149999999999999" customHeight="1" x14ac:dyDescent="0.35">
      <c r="A256" s="329">
        <v>11</v>
      </c>
      <c r="B256" s="1021">
        <v>211</v>
      </c>
      <c r="C256" s="336" t="s">
        <v>577</v>
      </c>
      <c r="D256" s="942">
        <v>0.7</v>
      </c>
      <c r="E256" s="323">
        <f>'[1]road inventory 2018'!C311</f>
        <v>0.7</v>
      </c>
      <c r="F256" s="1046">
        <v>0.7</v>
      </c>
      <c r="G256" s="323">
        <v>0</v>
      </c>
      <c r="H256" s="323">
        <v>0</v>
      </c>
      <c r="I256" s="323">
        <f t="shared" si="28"/>
        <v>0</v>
      </c>
      <c r="J256" s="325" t="s">
        <v>12</v>
      </c>
      <c r="K256" s="323"/>
      <c r="L256" s="323"/>
      <c r="M256" s="323"/>
      <c r="N256" s="326"/>
      <c r="O256" s="350"/>
      <c r="P256" s="328"/>
    </row>
    <row r="257" spans="1:17" s="983" customFormat="1" ht="20.149999999999999" customHeight="1" x14ac:dyDescent="0.35">
      <c r="B257" s="977"/>
      <c r="C257" s="978" t="s">
        <v>341</v>
      </c>
      <c r="D257" s="979">
        <f t="shared" ref="D257:I257" si="29">SUM(D246:D256)</f>
        <v>35.78</v>
      </c>
      <c r="E257" s="980">
        <f t="shared" si="29"/>
        <v>35.78</v>
      </c>
      <c r="F257" s="1077">
        <f t="shared" si="29"/>
        <v>19.315999999999999</v>
      </c>
      <c r="G257" s="980">
        <f t="shared" si="29"/>
        <v>5.6</v>
      </c>
      <c r="H257" s="980">
        <f t="shared" si="29"/>
        <v>0.91400000000000003</v>
      </c>
      <c r="I257" s="980">
        <f t="shared" si="29"/>
        <v>9.9499999999999993</v>
      </c>
      <c r="J257" s="981"/>
      <c r="K257" s="980"/>
      <c r="L257" s="980"/>
      <c r="M257" s="980"/>
      <c r="N257" s="999"/>
      <c r="O257" s="1016"/>
      <c r="P257" s="998"/>
      <c r="Q257" s="984"/>
    </row>
    <row r="258" spans="1:17" ht="20.149999999999999" customHeight="1" x14ac:dyDescent="0.35">
      <c r="B258" s="321"/>
      <c r="C258" s="330"/>
      <c r="D258" s="330"/>
      <c r="E258" s="323"/>
      <c r="F258" s="1046"/>
      <c r="G258" s="323"/>
      <c r="H258" s="1138">
        <f>H257+I257</f>
        <v>10.863999999999999</v>
      </c>
      <c r="I258" s="1139"/>
      <c r="J258" s="325"/>
      <c r="K258" s="323"/>
      <c r="L258" s="323"/>
      <c r="M258" s="323"/>
      <c r="N258" s="326"/>
      <c r="O258" s="363"/>
      <c r="P258" s="328"/>
      <c r="Q258" s="331"/>
    </row>
    <row r="259" spans="1:17" s="1000" customFormat="1" ht="20.149999999999999" customHeight="1" x14ac:dyDescent="0.35">
      <c r="B259" s="982" t="s">
        <v>461</v>
      </c>
      <c r="E259" s="979"/>
      <c r="F259" s="1085" t="s">
        <v>511</v>
      </c>
      <c r="G259" s="1001"/>
      <c r="H259" s="1001"/>
      <c r="I259" s="979" t="s">
        <v>895</v>
      </c>
      <c r="J259" s="999"/>
      <c r="K259" s="980"/>
      <c r="L259" s="980"/>
      <c r="M259" s="980"/>
      <c r="N259" s="996"/>
      <c r="O259" s="1002"/>
      <c r="P259" s="1003"/>
    </row>
    <row r="260" spans="1:17" ht="20.149999999999999" customHeight="1" x14ac:dyDescent="0.35">
      <c r="A260" s="329">
        <v>1</v>
      </c>
      <c r="B260" s="1021">
        <v>89</v>
      </c>
      <c r="C260" s="336" t="s">
        <v>462</v>
      </c>
      <c r="D260" s="339">
        <v>0.66</v>
      </c>
      <c r="E260" s="323">
        <f>D260</f>
        <v>0.66</v>
      </c>
      <c r="F260" s="1046">
        <v>0.43</v>
      </c>
      <c r="G260" s="323">
        <v>0</v>
      </c>
      <c r="H260" s="323">
        <v>0</v>
      </c>
      <c r="I260" s="323">
        <f t="shared" ref="I260:I276" si="30">D260-F260-G260-H260</f>
        <v>0.23000000000000004</v>
      </c>
      <c r="J260" s="326" t="s">
        <v>10</v>
      </c>
      <c r="K260" s="323"/>
      <c r="L260" s="323"/>
      <c r="M260" s="323"/>
      <c r="N260" s="326"/>
      <c r="O260" s="350"/>
      <c r="P260" s="328"/>
    </row>
    <row r="261" spans="1:17" ht="20.149999999999999" customHeight="1" x14ac:dyDescent="0.35">
      <c r="A261" s="329">
        <v>2</v>
      </c>
      <c r="B261" s="1021">
        <v>109</v>
      </c>
      <c r="C261" s="336" t="s">
        <v>285</v>
      </c>
      <c r="D261" s="339">
        <v>2.66</v>
      </c>
      <c r="E261" s="323">
        <f t="shared" ref="E261:E276" si="31">D261</f>
        <v>2.66</v>
      </c>
      <c r="F261" s="1046">
        <v>0.76</v>
      </c>
      <c r="G261" s="323">
        <v>0</v>
      </c>
      <c r="H261" s="323">
        <v>0</v>
      </c>
      <c r="I261" s="323">
        <f t="shared" si="30"/>
        <v>1.9000000000000001</v>
      </c>
      <c r="J261" s="326" t="s">
        <v>10</v>
      </c>
      <c r="K261" s="323"/>
      <c r="L261" s="323"/>
      <c r="M261" s="323"/>
      <c r="N261" s="326"/>
      <c r="O261" s="350"/>
      <c r="P261" s="328"/>
    </row>
    <row r="262" spans="1:17" ht="20.149999999999999" customHeight="1" x14ac:dyDescent="0.35">
      <c r="A262" s="329">
        <v>3</v>
      </c>
      <c r="B262" s="1021">
        <v>110</v>
      </c>
      <c r="C262" s="336" t="s">
        <v>65</v>
      </c>
      <c r="D262" s="339">
        <v>7.5</v>
      </c>
      <c r="E262" s="323">
        <f t="shared" si="31"/>
        <v>7.5</v>
      </c>
      <c r="F262" s="1046">
        <v>0.84</v>
      </c>
      <c r="G262" s="323">
        <v>0</v>
      </c>
      <c r="H262" s="323">
        <v>0</v>
      </c>
      <c r="I262" s="323">
        <f t="shared" si="30"/>
        <v>6.66</v>
      </c>
      <c r="J262" s="326" t="s">
        <v>12</v>
      </c>
      <c r="K262" s="323"/>
      <c r="L262" s="323"/>
      <c r="M262" s="323"/>
      <c r="N262" s="326"/>
      <c r="O262" s="350"/>
      <c r="P262" s="328"/>
    </row>
    <row r="263" spans="1:17" ht="20.149999999999999" customHeight="1" x14ac:dyDescent="0.35">
      <c r="A263" s="329">
        <v>4</v>
      </c>
      <c r="B263" s="1021">
        <v>111</v>
      </c>
      <c r="C263" s="336" t="s">
        <v>66</v>
      </c>
      <c r="D263" s="339">
        <v>15.49</v>
      </c>
      <c r="E263" s="323">
        <f t="shared" si="31"/>
        <v>15.49</v>
      </c>
      <c r="F263" s="1046">
        <f>1.5+5.1</f>
        <v>6.6</v>
      </c>
      <c r="G263" s="323">
        <v>0</v>
      </c>
      <c r="H263" s="323">
        <v>0</v>
      </c>
      <c r="I263" s="323">
        <f t="shared" si="30"/>
        <v>8.89</v>
      </c>
      <c r="J263" s="326" t="s">
        <v>12</v>
      </c>
      <c r="K263" s="323"/>
      <c r="L263" s="323"/>
      <c r="M263" s="323"/>
      <c r="N263" s="326"/>
      <c r="O263" s="350"/>
      <c r="P263" s="328"/>
    </row>
    <row r="264" spans="1:17" ht="20.149999999999999" customHeight="1" x14ac:dyDescent="0.35">
      <c r="A264" s="329">
        <v>5</v>
      </c>
      <c r="B264" s="1021">
        <v>112</v>
      </c>
      <c r="C264" s="336" t="s">
        <v>73</v>
      </c>
      <c r="D264" s="339">
        <v>8.9589999999999996</v>
      </c>
      <c r="E264" s="323">
        <f t="shared" si="31"/>
        <v>8.9589999999999996</v>
      </c>
      <c r="F264" s="1046">
        <v>0.214</v>
      </c>
      <c r="G264" s="323">
        <v>0</v>
      </c>
      <c r="H264" s="323">
        <v>0</v>
      </c>
      <c r="I264" s="323">
        <f t="shared" si="30"/>
        <v>8.7449999999999992</v>
      </c>
      <c r="J264" s="326" t="s">
        <v>12</v>
      </c>
      <c r="K264" s="323"/>
      <c r="L264" s="323"/>
      <c r="M264" s="323"/>
      <c r="N264" s="326"/>
      <c r="O264" s="350"/>
      <c r="P264" s="328"/>
    </row>
    <row r="265" spans="1:17" ht="20.149999999999999" customHeight="1" x14ac:dyDescent="0.35">
      <c r="A265" s="329">
        <v>6</v>
      </c>
      <c r="B265" s="1021">
        <v>113</v>
      </c>
      <c r="C265" s="336" t="s">
        <v>75</v>
      </c>
      <c r="D265" s="339">
        <f>[18]CARRIAGEWAY!$D$13:$L$13</f>
        <v>1.59</v>
      </c>
      <c r="E265" s="323">
        <f t="shared" si="31"/>
        <v>1.59</v>
      </c>
      <c r="F265" s="1046">
        <v>0.1</v>
      </c>
      <c r="G265" s="323">
        <v>0</v>
      </c>
      <c r="H265" s="323">
        <v>0</v>
      </c>
      <c r="I265" s="323">
        <f t="shared" si="30"/>
        <v>1.49</v>
      </c>
      <c r="J265" s="326" t="s">
        <v>12</v>
      </c>
      <c r="K265" s="323"/>
      <c r="L265" s="323"/>
      <c r="M265" s="323"/>
      <c r="N265" s="326"/>
      <c r="O265" s="350"/>
      <c r="P265" s="328"/>
    </row>
    <row r="266" spans="1:17" ht="20.149999999999999" customHeight="1" x14ac:dyDescent="0.35">
      <c r="A266" s="329">
        <v>7</v>
      </c>
      <c r="B266" s="1021">
        <v>114</v>
      </c>
      <c r="C266" s="336" t="s">
        <v>468</v>
      </c>
      <c r="D266" s="339">
        <v>9.673</v>
      </c>
      <c r="E266" s="323">
        <f t="shared" si="31"/>
        <v>9.673</v>
      </c>
      <c r="F266" s="1046">
        <f>0.08+3.971</f>
        <v>4.0510000000000002</v>
      </c>
      <c r="G266" s="323">
        <v>0</v>
      </c>
      <c r="H266" s="323">
        <v>0</v>
      </c>
      <c r="I266" s="323">
        <f t="shared" si="30"/>
        <v>5.6219999999999999</v>
      </c>
      <c r="J266" s="325" t="s">
        <v>12</v>
      </c>
      <c r="K266" s="323"/>
      <c r="L266" s="323"/>
      <c r="M266" s="323"/>
      <c r="N266" s="326"/>
      <c r="O266" s="350"/>
      <c r="P266" s="328"/>
    </row>
    <row r="267" spans="1:17" ht="20.149999999999999" customHeight="1" x14ac:dyDescent="0.35">
      <c r="A267" s="329">
        <v>8</v>
      </c>
      <c r="B267" s="1021">
        <v>115</v>
      </c>
      <c r="C267" s="336" t="s">
        <v>77</v>
      </c>
      <c r="D267" s="339">
        <v>11.551</v>
      </c>
      <c r="E267" s="323">
        <f t="shared" si="31"/>
        <v>11.551</v>
      </c>
      <c r="F267" s="1046">
        <f>D267</f>
        <v>11.551</v>
      </c>
      <c r="G267" s="323">
        <v>0</v>
      </c>
      <c r="H267" s="323">
        <v>0</v>
      </c>
      <c r="I267" s="323">
        <f t="shared" si="30"/>
        <v>0</v>
      </c>
      <c r="J267" s="326" t="s">
        <v>10</v>
      </c>
      <c r="K267" s="323"/>
      <c r="L267" s="323"/>
      <c r="M267" s="323"/>
      <c r="N267" s="326"/>
      <c r="O267" s="350"/>
      <c r="P267" s="328"/>
    </row>
    <row r="268" spans="1:17" ht="20.149999999999999" customHeight="1" x14ac:dyDescent="0.35">
      <c r="A268" s="329">
        <v>9</v>
      </c>
      <c r="B268" s="1021">
        <v>117</v>
      </c>
      <c r="C268" s="336" t="s">
        <v>79</v>
      </c>
      <c r="D268" s="339">
        <v>8.8680000000000003</v>
      </c>
      <c r="E268" s="323">
        <f t="shared" si="31"/>
        <v>8.8680000000000003</v>
      </c>
      <c r="F268" s="1046">
        <v>2.61</v>
      </c>
      <c r="G268" s="323">
        <v>0</v>
      </c>
      <c r="H268" s="323">
        <v>0</v>
      </c>
      <c r="I268" s="323">
        <f t="shared" si="30"/>
        <v>6.2580000000000009</v>
      </c>
      <c r="J268" s="325" t="s">
        <v>12</v>
      </c>
      <c r="K268" s="323"/>
      <c r="L268" s="323"/>
      <c r="M268" s="323"/>
      <c r="N268" s="326"/>
      <c r="O268" s="350"/>
      <c r="P268" s="328"/>
    </row>
    <row r="269" spans="1:17" ht="20.149999999999999" customHeight="1" x14ac:dyDescent="0.35">
      <c r="A269" s="329">
        <v>10</v>
      </c>
      <c r="B269" s="1021">
        <v>118</v>
      </c>
      <c r="C269" s="336" t="s">
        <v>83</v>
      </c>
      <c r="D269" s="339">
        <v>3.464</v>
      </c>
      <c r="E269" s="323">
        <f t="shared" si="31"/>
        <v>3.464</v>
      </c>
      <c r="F269" s="1046">
        <v>0</v>
      </c>
      <c r="G269" s="323">
        <v>0</v>
      </c>
      <c r="H269" s="323">
        <v>0</v>
      </c>
      <c r="I269" s="323">
        <f t="shared" si="30"/>
        <v>3.464</v>
      </c>
      <c r="J269" s="325" t="s">
        <v>33</v>
      </c>
      <c r="K269" s="323"/>
      <c r="L269" s="323"/>
      <c r="M269" s="323"/>
      <c r="N269" s="326"/>
      <c r="O269" s="350"/>
      <c r="P269" s="350"/>
    </row>
    <row r="270" spans="1:17" ht="20.149999999999999" customHeight="1" x14ac:dyDescent="0.35">
      <c r="A270" s="329">
        <v>11</v>
      </c>
      <c r="B270" s="1021">
        <v>132</v>
      </c>
      <c r="C270" s="336" t="s">
        <v>85</v>
      </c>
      <c r="D270" s="339">
        <v>13.414999999999999</v>
      </c>
      <c r="E270" s="323">
        <f t="shared" si="31"/>
        <v>13.414999999999999</v>
      </c>
      <c r="F270" s="1046">
        <v>10.3</v>
      </c>
      <c r="G270" s="323">
        <v>0</v>
      </c>
      <c r="H270" s="323">
        <v>0</v>
      </c>
      <c r="I270" s="323">
        <f t="shared" si="30"/>
        <v>3.1149999999999984</v>
      </c>
      <c r="J270" s="325" t="s">
        <v>12</v>
      </c>
      <c r="K270" s="323"/>
      <c r="L270" s="323"/>
      <c r="M270" s="323"/>
      <c r="N270" s="326"/>
      <c r="O270" s="350"/>
      <c r="P270" s="328"/>
    </row>
    <row r="271" spans="1:17" ht="20.149999999999999" customHeight="1" x14ac:dyDescent="0.35">
      <c r="A271" s="329">
        <v>12</v>
      </c>
      <c r="B271" s="1021">
        <v>139</v>
      </c>
      <c r="C271" s="336" t="s">
        <v>474</v>
      </c>
      <c r="D271" s="339">
        <v>9.9429999999999996</v>
      </c>
      <c r="E271" s="323">
        <f t="shared" si="31"/>
        <v>9.9429999999999996</v>
      </c>
      <c r="F271" s="1046">
        <f>1.25+3.9</f>
        <v>5.15</v>
      </c>
      <c r="G271" s="323">
        <v>0</v>
      </c>
      <c r="H271" s="323">
        <v>0</v>
      </c>
      <c r="I271" s="323">
        <f t="shared" si="30"/>
        <v>4.7929999999999993</v>
      </c>
      <c r="J271" s="325" t="s">
        <v>33</v>
      </c>
      <c r="K271" s="323"/>
      <c r="L271" s="323"/>
      <c r="M271" s="323"/>
      <c r="N271" s="326"/>
      <c r="O271" s="350"/>
      <c r="P271" s="328"/>
    </row>
    <row r="272" spans="1:17" ht="20.149999999999999" customHeight="1" x14ac:dyDescent="0.35">
      <c r="A272" s="329">
        <v>13</v>
      </c>
      <c r="B272" s="1021">
        <v>122</v>
      </c>
      <c r="C272" s="336" t="s">
        <v>476</v>
      </c>
      <c r="D272" s="339">
        <v>4.077</v>
      </c>
      <c r="E272" s="323">
        <f t="shared" si="31"/>
        <v>4.077</v>
      </c>
      <c r="F272" s="1046">
        <v>2.2999999999999998</v>
      </c>
      <c r="G272" s="323">
        <v>0</v>
      </c>
      <c r="H272" s="323">
        <v>0</v>
      </c>
      <c r="I272" s="323">
        <f t="shared" si="30"/>
        <v>1.7770000000000001</v>
      </c>
      <c r="J272" s="325" t="s">
        <v>10</v>
      </c>
      <c r="K272" s="323"/>
      <c r="L272" s="323"/>
      <c r="M272" s="323"/>
      <c r="N272" s="326"/>
      <c r="O272" s="350"/>
      <c r="P272" s="328"/>
    </row>
    <row r="273" spans="1:17" ht="20.149999999999999" customHeight="1" x14ac:dyDescent="0.35">
      <c r="A273" s="329">
        <v>14</v>
      </c>
      <c r="B273" s="1021">
        <v>216</v>
      </c>
      <c r="C273" s="336" t="s">
        <v>87</v>
      </c>
      <c r="D273" s="339">
        <f>[19]CARRIAGEWAY!$D$13:$L$13</f>
        <v>6.319</v>
      </c>
      <c r="E273" s="323">
        <f t="shared" si="31"/>
        <v>6.319</v>
      </c>
      <c r="F273" s="1046">
        <v>0.6</v>
      </c>
      <c r="G273" s="323">
        <v>0</v>
      </c>
      <c r="H273" s="323">
        <v>0</v>
      </c>
      <c r="I273" s="323">
        <f t="shared" si="30"/>
        <v>5.7190000000000003</v>
      </c>
      <c r="J273" s="325" t="s">
        <v>12</v>
      </c>
      <c r="K273" s="323"/>
      <c r="L273" s="323"/>
      <c r="M273" s="323"/>
      <c r="N273" s="326"/>
      <c r="O273" s="350"/>
      <c r="P273" s="328"/>
    </row>
    <row r="274" spans="1:17" ht="20.149999999999999" customHeight="1" x14ac:dyDescent="0.35">
      <c r="A274" s="329">
        <v>15</v>
      </c>
      <c r="B274" s="1021">
        <v>133</v>
      </c>
      <c r="C274" s="336" t="s">
        <v>90</v>
      </c>
      <c r="D274" s="339">
        <v>7.5229999999999997</v>
      </c>
      <c r="E274" s="323">
        <f t="shared" si="31"/>
        <v>7.5229999999999997</v>
      </c>
      <c r="F274" s="1046">
        <v>0.7</v>
      </c>
      <c r="G274" s="323">
        <v>0</v>
      </c>
      <c r="H274" s="323">
        <v>0</v>
      </c>
      <c r="I274" s="323">
        <f t="shared" si="30"/>
        <v>6.8229999999999995</v>
      </c>
      <c r="J274" s="325" t="s">
        <v>12</v>
      </c>
      <c r="K274" s="323"/>
      <c r="L274" s="323"/>
      <c r="M274" s="323"/>
      <c r="N274" s="326"/>
      <c r="O274" s="350"/>
      <c r="P274" s="328"/>
    </row>
    <row r="275" spans="1:17" ht="20.149999999999999" customHeight="1" x14ac:dyDescent="0.35">
      <c r="A275" s="329">
        <v>16</v>
      </c>
      <c r="B275" s="1021">
        <v>123</v>
      </c>
      <c r="C275" s="336" t="s">
        <v>91</v>
      </c>
      <c r="D275" s="339">
        <v>17.922000000000001</v>
      </c>
      <c r="E275" s="323">
        <f t="shared" si="31"/>
        <v>17.922000000000001</v>
      </c>
      <c r="F275" s="1046">
        <v>11.21</v>
      </c>
      <c r="G275" s="323">
        <v>0</v>
      </c>
      <c r="H275" s="323">
        <v>0</v>
      </c>
      <c r="I275" s="323">
        <f t="shared" si="30"/>
        <v>6.7119999999999997</v>
      </c>
      <c r="J275" s="325" t="s">
        <v>12</v>
      </c>
      <c r="K275" s="323"/>
      <c r="L275" s="323"/>
      <c r="M275" s="323"/>
      <c r="N275" s="326"/>
      <c r="O275" s="350"/>
      <c r="P275" s="328"/>
    </row>
    <row r="276" spans="1:17" ht="20.149999999999999" customHeight="1" x14ac:dyDescent="0.35">
      <c r="A276" s="329">
        <v>17</v>
      </c>
      <c r="B276" s="1021">
        <v>134</v>
      </c>
      <c r="C276" s="335" t="s">
        <v>284</v>
      </c>
      <c r="D276" s="339">
        <f>[20]CARRIAGEWAY!$D$13:$L$13</f>
        <v>8.4459999999999997</v>
      </c>
      <c r="E276" s="323">
        <f t="shared" si="31"/>
        <v>8.4459999999999997</v>
      </c>
      <c r="F276" s="1046">
        <v>0</v>
      </c>
      <c r="G276" s="323">
        <v>0</v>
      </c>
      <c r="H276" s="323">
        <v>0</v>
      </c>
      <c r="I276" s="323">
        <f t="shared" si="30"/>
        <v>8.4459999999999997</v>
      </c>
      <c r="J276" s="325" t="s">
        <v>33</v>
      </c>
      <c r="K276" s="323"/>
      <c r="L276" s="323"/>
      <c r="M276" s="323"/>
      <c r="N276" s="326"/>
      <c r="O276" s="350"/>
      <c r="P276" s="328"/>
    </row>
    <row r="277" spans="1:17" ht="20.149999999999999" customHeight="1" x14ac:dyDescent="0.35">
      <c r="B277" s="321"/>
      <c r="C277" s="335" t="s">
        <v>874</v>
      </c>
      <c r="D277" s="339">
        <v>13</v>
      </c>
      <c r="E277" s="323"/>
      <c r="F277" s="1046"/>
      <c r="G277" s="323"/>
      <c r="H277" s="323"/>
      <c r="I277" s="323"/>
      <c r="J277" s="325"/>
      <c r="K277" s="323"/>
      <c r="L277" s="323"/>
      <c r="M277" s="323"/>
      <c r="N277" s="326"/>
      <c r="O277" s="350"/>
      <c r="P277" s="328"/>
    </row>
    <row r="278" spans="1:17" s="983" customFormat="1" ht="20.149999999999999" customHeight="1" x14ac:dyDescent="0.35">
      <c r="B278" s="977"/>
      <c r="C278" s="978" t="s">
        <v>341</v>
      </c>
      <c r="D278" s="979">
        <f t="shared" ref="D278:I278" si="32">SUM(D260:D276)</f>
        <v>138.06</v>
      </c>
      <c r="E278" s="980">
        <f t="shared" si="32"/>
        <v>138.06</v>
      </c>
      <c r="F278" s="1077">
        <f t="shared" si="32"/>
        <v>57.416000000000004</v>
      </c>
      <c r="G278" s="980">
        <f t="shared" si="32"/>
        <v>0</v>
      </c>
      <c r="H278" s="980">
        <f t="shared" si="32"/>
        <v>0</v>
      </c>
      <c r="I278" s="980">
        <f t="shared" si="32"/>
        <v>80.643999999999991</v>
      </c>
      <c r="J278" s="981"/>
      <c r="K278" s="980"/>
      <c r="L278" s="980"/>
      <c r="M278" s="980"/>
      <c r="N278" s="999"/>
      <c r="O278" s="997"/>
      <c r="P278" s="998"/>
      <c r="Q278" s="984"/>
    </row>
    <row r="279" spans="1:17" ht="20.149999999999999" customHeight="1" x14ac:dyDescent="0.35">
      <c r="B279" s="321"/>
      <c r="C279" s="330"/>
      <c r="D279" s="330"/>
      <c r="E279" s="323"/>
      <c r="F279" s="1046"/>
      <c r="G279" s="323"/>
      <c r="H279" s="1138">
        <f>H278+I278</f>
        <v>80.643999999999991</v>
      </c>
      <c r="I279" s="1139"/>
      <c r="J279" s="325"/>
      <c r="K279" s="323"/>
      <c r="L279" s="323"/>
      <c r="M279" s="323"/>
      <c r="N279" s="326"/>
      <c r="O279" s="363"/>
      <c r="P279" s="328"/>
      <c r="Q279" s="331"/>
    </row>
    <row r="280" spans="1:17" s="983" customFormat="1" ht="20.149999999999999" customHeight="1" x14ac:dyDescent="0.35">
      <c r="B280" s="986" t="s">
        <v>479</v>
      </c>
      <c r="E280" s="980"/>
      <c r="F280" s="1077"/>
      <c r="G280" s="980"/>
      <c r="H280" s="980"/>
      <c r="I280" s="980"/>
      <c r="J280" s="981"/>
      <c r="K280" s="980"/>
      <c r="L280" s="980"/>
      <c r="M280" s="980"/>
      <c r="N280" s="996"/>
      <c r="O280" s="997"/>
      <c r="P280" s="998"/>
    </row>
    <row r="281" spans="1:17" ht="20.149999999999999" customHeight="1" x14ac:dyDescent="0.35">
      <c r="A281" s="329">
        <v>1</v>
      </c>
      <c r="B281" s="1021">
        <v>136</v>
      </c>
      <c r="C281" s="336" t="s">
        <v>93</v>
      </c>
      <c r="D281" s="326">
        <f>[21]CARRIAGEWAY!$V$367</f>
        <v>11.565</v>
      </c>
      <c r="E281" s="323">
        <f>D281</f>
        <v>11.565</v>
      </c>
      <c r="F281" s="1046">
        <f>10.64+0.9</f>
        <v>11.540000000000001</v>
      </c>
      <c r="G281" s="323">
        <v>0</v>
      </c>
      <c r="H281" s="323">
        <v>0</v>
      </c>
      <c r="I281" s="323">
        <f t="shared" ref="I281:I288" si="33">D281-F281-G281-H281</f>
        <v>2.4999999999998579E-2</v>
      </c>
      <c r="J281" s="326" t="s">
        <v>10</v>
      </c>
      <c r="K281" s="323"/>
      <c r="L281" s="323"/>
      <c r="M281" s="323"/>
      <c r="N281" s="326"/>
      <c r="O281" s="363"/>
      <c r="P281" s="328"/>
    </row>
    <row r="282" spans="1:17" ht="20.149999999999999" customHeight="1" x14ac:dyDescent="0.35">
      <c r="A282" s="329">
        <v>2</v>
      </c>
      <c r="B282" s="1021">
        <v>137</v>
      </c>
      <c r="C282" s="336" t="s">
        <v>95</v>
      </c>
      <c r="D282" s="942">
        <v>14.65</v>
      </c>
      <c r="E282" s="323">
        <f t="shared" ref="E282:E288" si="34">D282</f>
        <v>14.65</v>
      </c>
      <c r="F282" s="1046">
        <f>9.9+4.75</f>
        <v>14.65</v>
      </c>
      <c r="G282" s="323">
        <v>0</v>
      </c>
      <c r="H282" s="323">
        <v>0</v>
      </c>
      <c r="I282" s="323">
        <f t="shared" si="33"/>
        <v>0</v>
      </c>
      <c r="J282" s="326" t="s">
        <v>10</v>
      </c>
      <c r="K282" s="323"/>
      <c r="L282" s="323"/>
      <c r="M282" s="323"/>
      <c r="N282" s="326"/>
      <c r="O282" s="363"/>
      <c r="P282" s="328"/>
    </row>
    <row r="283" spans="1:17" ht="20.149999999999999" customHeight="1" x14ac:dyDescent="0.35">
      <c r="A283" s="329">
        <v>3</v>
      </c>
      <c r="B283" s="1021">
        <v>119</v>
      </c>
      <c r="C283" s="336" t="s">
        <v>97</v>
      </c>
      <c r="D283" s="942">
        <v>5.57</v>
      </c>
      <c r="E283" s="323">
        <f t="shared" si="34"/>
        <v>5.57</v>
      </c>
      <c r="F283" s="1046">
        <v>2.5960000000000001</v>
      </c>
      <c r="G283" s="323">
        <v>0</v>
      </c>
      <c r="H283" s="323">
        <v>0</v>
      </c>
      <c r="I283" s="323">
        <f t="shared" si="33"/>
        <v>2.9740000000000002</v>
      </c>
      <c r="J283" s="326" t="s">
        <v>10</v>
      </c>
      <c r="K283" s="323"/>
      <c r="L283" s="323"/>
      <c r="M283" s="323"/>
      <c r="N283" s="326"/>
      <c r="O283" s="363"/>
      <c r="P283" s="328"/>
    </row>
    <row r="284" spans="1:17" ht="20.149999999999999" customHeight="1" x14ac:dyDescent="0.35">
      <c r="A284" s="329">
        <v>4</v>
      </c>
      <c r="B284" s="1021">
        <v>120</v>
      </c>
      <c r="C284" s="336" t="s">
        <v>99</v>
      </c>
      <c r="D284" s="326">
        <f>[22]CARRIAGEWAY!$D$13:$L$13</f>
        <v>10.984</v>
      </c>
      <c r="E284" s="323">
        <f t="shared" si="34"/>
        <v>10.984</v>
      </c>
      <c r="F284" s="1046">
        <f>D284</f>
        <v>10.984</v>
      </c>
      <c r="G284" s="323">
        <v>0</v>
      </c>
      <c r="H284" s="323">
        <v>0</v>
      </c>
      <c r="I284" s="323">
        <f t="shared" si="33"/>
        <v>0</v>
      </c>
      <c r="J284" s="326" t="s">
        <v>10</v>
      </c>
      <c r="K284" s="323"/>
      <c r="L284" s="323"/>
      <c r="M284" s="323"/>
      <c r="N284" s="326"/>
      <c r="O284" s="363"/>
      <c r="P284" s="328"/>
    </row>
    <row r="285" spans="1:17" ht="20.149999999999999" customHeight="1" x14ac:dyDescent="0.35">
      <c r="A285" s="329">
        <v>5</v>
      </c>
      <c r="B285" s="1021">
        <v>140</v>
      </c>
      <c r="C285" s="336" t="s">
        <v>101</v>
      </c>
      <c r="D285" s="326">
        <v>20.986999999999998</v>
      </c>
      <c r="E285" s="323">
        <f t="shared" si="34"/>
        <v>20.986999999999998</v>
      </c>
      <c r="F285" s="1046">
        <f>3.57+4.1</f>
        <v>7.67</v>
      </c>
      <c r="G285" s="323">
        <v>0</v>
      </c>
      <c r="H285" s="323">
        <v>0</v>
      </c>
      <c r="I285" s="323">
        <f t="shared" si="33"/>
        <v>13.316999999999998</v>
      </c>
      <c r="J285" s="326" t="s">
        <v>12</v>
      </c>
      <c r="K285" s="323"/>
      <c r="L285" s="323"/>
      <c r="M285" s="323"/>
      <c r="N285" s="326"/>
      <c r="O285" s="363"/>
      <c r="P285" s="328"/>
      <c r="Q285" s="331"/>
    </row>
    <row r="286" spans="1:17" ht="20.149999999999999" customHeight="1" x14ac:dyDescent="0.35">
      <c r="A286" s="329">
        <v>6</v>
      </c>
      <c r="B286" s="1021">
        <v>138</v>
      </c>
      <c r="C286" s="336" t="s">
        <v>103</v>
      </c>
      <c r="D286" s="942">
        <v>5.67</v>
      </c>
      <c r="E286" s="323">
        <f t="shared" si="34"/>
        <v>5.67</v>
      </c>
      <c r="F286" s="1046">
        <v>0</v>
      </c>
      <c r="G286" s="323">
        <v>0</v>
      </c>
      <c r="H286" s="323">
        <v>0</v>
      </c>
      <c r="I286" s="323">
        <f t="shared" si="33"/>
        <v>5.67</v>
      </c>
      <c r="J286" s="325" t="s">
        <v>33</v>
      </c>
      <c r="K286" s="323"/>
      <c r="L286" s="323"/>
      <c r="M286" s="323"/>
      <c r="N286" s="326"/>
      <c r="O286" s="363"/>
      <c r="P286" s="328"/>
    </row>
    <row r="287" spans="1:17" ht="20.149999999999999" customHeight="1" x14ac:dyDescent="0.35">
      <c r="A287" s="329">
        <v>7</v>
      </c>
      <c r="B287" s="1021">
        <v>124</v>
      </c>
      <c r="C287" s="336" t="s">
        <v>485</v>
      </c>
      <c r="D287" s="326">
        <v>17.126999999999999</v>
      </c>
      <c r="E287" s="323">
        <f t="shared" si="34"/>
        <v>17.126999999999999</v>
      </c>
      <c r="F287" s="1046">
        <f>7.98+4.97</f>
        <v>12.95</v>
      </c>
      <c r="G287" s="323">
        <v>0</v>
      </c>
      <c r="H287" s="323">
        <v>0</v>
      </c>
      <c r="I287" s="323">
        <f t="shared" si="33"/>
        <v>4.1769999999999996</v>
      </c>
      <c r="J287" s="325" t="s">
        <v>12</v>
      </c>
      <c r="K287" s="323"/>
      <c r="L287" s="323"/>
      <c r="M287" s="323"/>
      <c r="N287" s="326"/>
      <c r="O287" s="363"/>
      <c r="P287" s="328"/>
    </row>
    <row r="288" spans="1:17" ht="20.149999999999999" customHeight="1" x14ac:dyDescent="0.35">
      <c r="A288" s="329">
        <v>8</v>
      </c>
      <c r="B288" s="1021">
        <v>141</v>
      </c>
      <c r="C288" s="336" t="s">
        <v>486</v>
      </c>
      <c r="D288" s="326">
        <v>1.925</v>
      </c>
      <c r="E288" s="323">
        <f t="shared" si="34"/>
        <v>1.925</v>
      </c>
      <c r="F288" s="1046">
        <v>0</v>
      </c>
      <c r="G288" s="323">
        <v>0</v>
      </c>
      <c r="H288" s="323">
        <v>0</v>
      </c>
      <c r="I288" s="323">
        <f t="shared" si="33"/>
        <v>1.925</v>
      </c>
      <c r="J288" s="325" t="s">
        <v>12</v>
      </c>
      <c r="K288" s="323"/>
      <c r="L288" s="323"/>
      <c r="M288" s="323"/>
      <c r="N288" s="326"/>
      <c r="O288" s="363"/>
      <c r="P288" s="328"/>
    </row>
    <row r="289" spans="1:17" s="983" customFormat="1" ht="20.149999999999999" customHeight="1" x14ac:dyDescent="0.35">
      <c r="B289" s="977"/>
      <c r="C289" s="978" t="s">
        <v>341</v>
      </c>
      <c r="D289" s="979">
        <f t="shared" ref="D289:I289" si="35">SUM(D281:D288)</f>
        <v>88.477999999999994</v>
      </c>
      <c r="E289" s="980">
        <f t="shared" si="35"/>
        <v>88.477999999999994</v>
      </c>
      <c r="F289" s="1077">
        <f t="shared" si="35"/>
        <v>60.39</v>
      </c>
      <c r="G289" s="980">
        <f t="shared" si="35"/>
        <v>0</v>
      </c>
      <c r="H289" s="980">
        <f t="shared" si="35"/>
        <v>0</v>
      </c>
      <c r="I289" s="980">
        <f t="shared" si="35"/>
        <v>28.087999999999997</v>
      </c>
      <c r="J289" s="981"/>
      <c r="K289" s="980"/>
      <c r="L289" s="980"/>
      <c r="M289" s="980"/>
      <c r="N289" s="999"/>
      <c r="O289" s="997"/>
      <c r="P289" s="998"/>
      <c r="Q289" s="984"/>
    </row>
    <row r="290" spans="1:17" ht="20.149999999999999" hidden="1" customHeight="1" x14ac:dyDescent="0.35">
      <c r="B290" s="321"/>
      <c r="C290" s="330"/>
      <c r="D290" s="330"/>
      <c r="E290" s="323"/>
      <c r="F290" s="1046"/>
      <c r="G290" s="323"/>
      <c r="H290" s="1138">
        <f>H289+I289</f>
        <v>28.087999999999997</v>
      </c>
      <c r="I290" s="1139"/>
      <c r="J290" s="325"/>
      <c r="K290" s="323"/>
      <c r="L290" s="323"/>
      <c r="M290" s="323"/>
      <c r="N290" s="326"/>
      <c r="O290" s="363"/>
      <c r="P290" s="328"/>
      <c r="Q290" s="331"/>
    </row>
    <row r="291" spans="1:17" s="983" customFormat="1" ht="20.149999999999999" hidden="1" customHeight="1" x14ac:dyDescent="0.35">
      <c r="B291" s="982" t="s">
        <v>488</v>
      </c>
      <c r="E291" s="980"/>
      <c r="F291" s="1077"/>
      <c r="G291" s="980"/>
      <c r="H291" s="980"/>
      <c r="I291" s="980"/>
      <c r="J291" s="981"/>
      <c r="K291" s="980"/>
      <c r="L291" s="980"/>
      <c r="M291" s="980"/>
      <c r="N291" s="996"/>
      <c r="O291" s="997"/>
      <c r="P291" s="998"/>
    </row>
    <row r="292" spans="1:17" ht="20.149999999999999" hidden="1" customHeight="1" x14ac:dyDescent="0.35">
      <c r="A292" s="329">
        <v>1</v>
      </c>
      <c r="B292" s="1021">
        <v>142</v>
      </c>
      <c r="C292" s="336" t="s">
        <v>286</v>
      </c>
      <c r="D292" s="942">
        <v>19.920000000000002</v>
      </c>
      <c r="E292" s="323">
        <f>'[1]road inventory 2018'!C218</f>
        <v>19.299999999999997</v>
      </c>
      <c r="F292" s="1046">
        <v>11.4</v>
      </c>
      <c r="G292" s="323">
        <v>0</v>
      </c>
      <c r="H292" s="323">
        <v>0</v>
      </c>
      <c r="I292" s="323">
        <f t="shared" ref="I292:I299" si="36">D292-(SUM(F292:H292))</f>
        <v>8.5200000000000014</v>
      </c>
      <c r="J292" s="325" t="s">
        <v>10</v>
      </c>
      <c r="K292" s="323"/>
      <c r="L292" s="323"/>
      <c r="M292" s="323"/>
      <c r="N292" s="326"/>
      <c r="O292" s="363"/>
      <c r="P292" s="328"/>
    </row>
    <row r="293" spans="1:17" ht="20.149999999999999" hidden="1" customHeight="1" x14ac:dyDescent="0.35">
      <c r="A293" s="329">
        <v>2</v>
      </c>
      <c r="B293" s="1021">
        <v>143</v>
      </c>
      <c r="C293" s="336" t="s">
        <v>287</v>
      </c>
      <c r="D293" s="942">
        <v>8.4250000000000007</v>
      </c>
      <c r="E293" s="323">
        <f>'[1]road inventory 2018'!C219</f>
        <v>8.7999999999999989</v>
      </c>
      <c r="F293" s="1046">
        <f>0.2+3.94</f>
        <v>4.1399999999999997</v>
      </c>
      <c r="G293" s="323">
        <v>0</v>
      </c>
      <c r="H293" s="323">
        <v>0</v>
      </c>
      <c r="I293" s="323">
        <f t="shared" si="36"/>
        <v>4.285000000000001</v>
      </c>
      <c r="J293" s="325" t="s">
        <v>12</v>
      </c>
      <c r="K293" s="323"/>
      <c r="L293" s="323"/>
      <c r="M293" s="323"/>
      <c r="N293" s="326"/>
      <c r="O293" s="363"/>
      <c r="P293" s="328"/>
    </row>
    <row r="294" spans="1:17" ht="20.149999999999999" hidden="1" customHeight="1" x14ac:dyDescent="0.35">
      <c r="A294" s="329">
        <v>3</v>
      </c>
      <c r="B294" s="1021">
        <v>144</v>
      </c>
      <c r="C294" s="336" t="s">
        <v>288</v>
      </c>
      <c r="D294" s="942">
        <v>8</v>
      </c>
      <c r="E294" s="323">
        <f>'[1]road inventory 2018'!C220</f>
        <v>7.8999999999999995</v>
      </c>
      <c r="F294" s="1046">
        <v>6.5590000000000002</v>
      </c>
      <c r="G294" s="323">
        <v>0</v>
      </c>
      <c r="H294" s="323">
        <v>0</v>
      </c>
      <c r="I294" s="323">
        <f t="shared" si="36"/>
        <v>1.4409999999999998</v>
      </c>
      <c r="J294" s="325" t="s">
        <v>12</v>
      </c>
      <c r="K294" s="323"/>
      <c r="L294" s="323"/>
      <c r="M294" s="323"/>
      <c r="N294" s="326"/>
      <c r="O294" s="363"/>
      <c r="P294" s="328"/>
    </row>
    <row r="295" spans="1:17" ht="20.149999999999999" hidden="1" customHeight="1" x14ac:dyDescent="0.35">
      <c r="A295" s="329">
        <v>4</v>
      </c>
      <c r="B295" s="1021">
        <v>121</v>
      </c>
      <c r="C295" s="336" t="s">
        <v>104</v>
      </c>
      <c r="D295" s="942">
        <v>24.228000000000002</v>
      </c>
      <c r="E295" s="323">
        <f>'[1]road inventory 2018'!C221</f>
        <v>23.2</v>
      </c>
      <c r="F295" s="1046">
        <v>14.603</v>
      </c>
      <c r="G295" s="323">
        <v>0</v>
      </c>
      <c r="H295" s="323">
        <v>0</v>
      </c>
      <c r="I295" s="323">
        <f t="shared" si="36"/>
        <v>9.6250000000000018</v>
      </c>
      <c r="J295" s="325" t="s">
        <v>12</v>
      </c>
      <c r="K295" s="323"/>
      <c r="L295" s="323"/>
      <c r="M295" s="323"/>
      <c r="N295" s="326"/>
      <c r="O295" s="363"/>
      <c r="P295" s="328"/>
    </row>
    <row r="296" spans="1:17" ht="20.149999999999999" hidden="1" customHeight="1" x14ac:dyDescent="0.35">
      <c r="A296" s="329">
        <v>5</v>
      </c>
      <c r="B296" s="1021">
        <v>145</v>
      </c>
      <c r="C296" s="336" t="s">
        <v>109</v>
      </c>
      <c r="D296" s="942">
        <v>3.5960000000000001</v>
      </c>
      <c r="E296" s="323">
        <f>'[1]road inventory 2018'!C222</f>
        <v>3.3</v>
      </c>
      <c r="F296" s="1046">
        <v>0</v>
      </c>
      <c r="G296" s="323">
        <v>0</v>
      </c>
      <c r="H296" s="323">
        <v>0</v>
      </c>
      <c r="I296" s="323">
        <f t="shared" si="36"/>
        <v>3.5960000000000001</v>
      </c>
      <c r="J296" s="325" t="s">
        <v>41</v>
      </c>
      <c r="K296" s="323"/>
      <c r="L296" s="323"/>
      <c r="M296" s="323"/>
      <c r="N296" s="326"/>
      <c r="O296" s="363"/>
      <c r="P296" s="328"/>
    </row>
    <row r="297" spans="1:17" ht="20.149999999999999" hidden="1" customHeight="1" x14ac:dyDescent="0.35">
      <c r="A297" s="329">
        <v>6</v>
      </c>
      <c r="B297" s="1021">
        <v>126</v>
      </c>
      <c r="C297" s="336" t="s">
        <v>110</v>
      </c>
      <c r="D297" s="942">
        <v>10.07</v>
      </c>
      <c r="E297" s="323">
        <f>'[1]road inventory 2018'!C223</f>
        <v>9.6</v>
      </c>
      <c r="F297" s="1046">
        <v>10.07</v>
      </c>
      <c r="G297" s="323">
        <v>0</v>
      </c>
      <c r="H297" s="323">
        <v>0</v>
      </c>
      <c r="I297" s="323">
        <f t="shared" si="36"/>
        <v>0</v>
      </c>
      <c r="J297" s="325" t="s">
        <v>10</v>
      </c>
      <c r="K297" s="323"/>
      <c r="L297" s="323"/>
      <c r="M297" s="323"/>
      <c r="N297" s="326"/>
      <c r="O297" s="363"/>
      <c r="P297" s="328"/>
    </row>
    <row r="298" spans="1:17" ht="20.149999999999999" hidden="1" customHeight="1" x14ac:dyDescent="0.35">
      <c r="A298" s="329">
        <v>7</v>
      </c>
      <c r="B298" s="1021">
        <v>146</v>
      </c>
      <c r="C298" s="336" t="s">
        <v>115</v>
      </c>
      <c r="D298" s="942">
        <v>8.5250000000000004</v>
      </c>
      <c r="E298" s="323">
        <f>'[1]road inventory 2018'!C224</f>
        <v>8.3000000000000007</v>
      </c>
      <c r="F298" s="1046">
        <v>0.51600000000000001</v>
      </c>
      <c r="G298" s="323">
        <v>0</v>
      </c>
      <c r="H298" s="323">
        <v>0</v>
      </c>
      <c r="I298" s="323">
        <f t="shared" si="36"/>
        <v>8.0090000000000003</v>
      </c>
      <c r="J298" s="325" t="s">
        <v>12</v>
      </c>
      <c r="K298" s="323"/>
      <c r="L298" s="323"/>
      <c r="M298" s="323"/>
      <c r="N298" s="326"/>
      <c r="O298" s="363"/>
      <c r="P298" s="328"/>
    </row>
    <row r="299" spans="1:17" ht="20.149999999999999" hidden="1" customHeight="1" x14ac:dyDescent="0.35">
      <c r="A299" s="329">
        <v>8</v>
      </c>
      <c r="B299" s="1021">
        <v>147</v>
      </c>
      <c r="C299" s="336" t="s">
        <v>289</v>
      </c>
      <c r="D299" s="942">
        <v>4.8600000000000003</v>
      </c>
      <c r="E299" s="323">
        <f>'[1]road inventory 2018'!C225</f>
        <v>4.2</v>
      </c>
      <c r="F299" s="1046">
        <v>4.6509999999999998</v>
      </c>
      <c r="G299" s="323">
        <v>0</v>
      </c>
      <c r="H299" s="323">
        <v>0</v>
      </c>
      <c r="I299" s="323">
        <f t="shared" si="36"/>
        <v>0.20900000000000052</v>
      </c>
      <c r="J299" s="325" t="s">
        <v>10</v>
      </c>
      <c r="K299" s="323"/>
      <c r="L299" s="323"/>
      <c r="M299" s="323"/>
      <c r="N299" s="326"/>
      <c r="O299" s="363"/>
      <c r="P299" s="328"/>
    </row>
    <row r="300" spans="1:17" s="983" customFormat="1" ht="20.149999999999999" hidden="1" customHeight="1" x14ac:dyDescent="0.35">
      <c r="A300" s="329"/>
      <c r="B300" s="977"/>
      <c r="C300" s="978" t="s">
        <v>341</v>
      </c>
      <c r="D300" s="979">
        <f t="shared" ref="D300:I300" si="37">SUM(D292:D299)</f>
        <v>87.624000000000009</v>
      </c>
      <c r="E300" s="980">
        <f t="shared" si="37"/>
        <v>84.59999999999998</v>
      </c>
      <c r="F300" s="1077">
        <f t="shared" si="37"/>
        <v>51.938999999999993</v>
      </c>
      <c r="G300" s="980">
        <f t="shared" si="37"/>
        <v>0</v>
      </c>
      <c r="H300" s="980">
        <f t="shared" si="37"/>
        <v>0</v>
      </c>
      <c r="I300" s="980">
        <f t="shared" si="37"/>
        <v>35.685000000000002</v>
      </c>
      <c r="J300" s="981"/>
      <c r="K300" s="980"/>
      <c r="L300" s="980"/>
      <c r="M300" s="980"/>
      <c r="N300" s="999"/>
      <c r="O300" s="1017"/>
      <c r="P300" s="1018"/>
    </row>
    <row r="301" spans="1:17" s="983" customFormat="1" ht="20.149999999999999" hidden="1" customHeight="1" x14ac:dyDescent="0.35">
      <c r="A301" s="329"/>
      <c r="B301" s="357"/>
      <c r="C301" s="322"/>
      <c r="D301" s="950"/>
      <c r="E301" s="324"/>
      <c r="F301" s="1080"/>
      <c r="G301" s="324"/>
      <c r="H301" s="1140">
        <f>H300+I300</f>
        <v>35.685000000000002</v>
      </c>
      <c r="I301" s="1141"/>
      <c r="J301" s="358"/>
      <c r="K301" s="980"/>
      <c r="L301" s="980"/>
      <c r="M301" s="980"/>
      <c r="N301" s="999"/>
      <c r="O301" s="1017"/>
      <c r="P301" s="1018"/>
    </row>
    <row r="302" spans="1:17" s="983" customFormat="1" ht="20.149999999999999" hidden="1" customHeight="1" x14ac:dyDescent="0.35">
      <c r="B302" s="357"/>
      <c r="C302" s="322"/>
      <c r="D302" s="950" t="s">
        <v>916</v>
      </c>
      <c r="E302" s="324"/>
      <c r="F302" s="1075" t="s">
        <v>308</v>
      </c>
      <c r="G302" s="975" t="s">
        <v>309</v>
      </c>
      <c r="H302" s="975" t="s">
        <v>310</v>
      </c>
      <c r="I302" s="975" t="s">
        <v>311</v>
      </c>
      <c r="J302" s="358"/>
      <c r="K302" s="980"/>
      <c r="L302" s="980"/>
      <c r="M302" s="980"/>
      <c r="N302" s="999"/>
      <c r="O302" s="1017"/>
      <c r="P302" s="1018"/>
    </row>
    <row r="303" spans="1:17" s="317" customFormat="1" ht="20.149999999999999" hidden="1" customHeight="1" x14ac:dyDescent="0.35">
      <c r="B303" s="394"/>
      <c r="C303" s="395" t="s">
        <v>754</v>
      </c>
      <c r="D303" s="943">
        <f t="shared" ref="D303:I303" si="38">D33+D38+D56+D91+D123+D133+D137+D150+D155+D169+D180+D184+D200+D207+D218+D235+D243+D257+D278+D289+D300</f>
        <v>1271.5330000000001</v>
      </c>
      <c r="E303" s="396">
        <f t="shared" si="38"/>
        <v>1258.4649999999999</v>
      </c>
      <c r="F303" s="1086">
        <f t="shared" si="38"/>
        <v>634.88400000000001</v>
      </c>
      <c r="G303" s="396">
        <f t="shared" si="38"/>
        <v>9.7429999999999986</v>
      </c>
      <c r="H303" s="396">
        <f t="shared" si="38"/>
        <v>67.592999999999989</v>
      </c>
      <c r="I303" s="396">
        <f t="shared" si="38"/>
        <v>559.31299999999987</v>
      </c>
      <c r="J303" s="396"/>
      <c r="K303" s="396"/>
      <c r="L303" s="396"/>
      <c r="M303" s="396"/>
      <c r="N303" s="393"/>
      <c r="O303" s="461"/>
      <c r="P303" s="398"/>
    </row>
    <row r="304" spans="1:17" ht="18" hidden="1" customHeight="1" x14ac:dyDescent="0.35">
      <c r="A304" s="1039"/>
      <c r="E304" s="331"/>
      <c r="G304" s="331" t="s">
        <v>863</v>
      </c>
      <c r="J304" s="331">
        <f>I303+H303</f>
        <v>626.90599999999984</v>
      </c>
      <c r="K304" s="331"/>
      <c r="L304" s="331"/>
      <c r="M304" s="331"/>
    </row>
    <row r="305" spans="1:23" s="3" customFormat="1" ht="18" hidden="1" customHeight="1" x14ac:dyDescent="0.3">
      <c r="A305" s="317"/>
      <c r="B305" s="1142" t="s">
        <v>875</v>
      </c>
      <c r="C305" s="1142"/>
      <c r="D305" s="1020"/>
      <c r="E305" s="944"/>
      <c r="K305" s="38"/>
      <c r="W305" s="299"/>
    </row>
    <row r="306" spans="1:23" s="677" customFormat="1" ht="18" hidden="1" customHeight="1" x14ac:dyDescent="0.3">
      <c r="A306" s="1019"/>
      <c r="B306" s="1040"/>
      <c r="C306" s="1040"/>
      <c r="D306" s="1041"/>
      <c r="E306" s="1042"/>
      <c r="K306" s="773"/>
      <c r="W306" s="1043"/>
    </row>
    <row r="307" spans="1:23" ht="18" hidden="1" customHeight="1" x14ac:dyDescent="0.35">
      <c r="A307" s="1019"/>
    </row>
    <row r="308" spans="1:23" ht="18" hidden="1" customHeight="1" x14ac:dyDescent="0.35">
      <c r="A308" s="1019"/>
      <c r="B308" s="1142" t="s">
        <v>896</v>
      </c>
      <c r="C308" s="1142"/>
      <c r="D308" s="140">
        <f>D300+D289+D278+D243+D235+D169+D150+D137+D133+D123+D91+D56+D33</f>
        <v>967.42200000000014</v>
      </c>
      <c r="E308" s="1028"/>
      <c r="I308" s="116"/>
      <c r="J308" s="116"/>
      <c r="K308" s="331"/>
      <c r="L308" s="331"/>
      <c r="M308" s="331"/>
    </row>
    <row r="309" spans="1:23" ht="18" hidden="1" customHeight="1" x14ac:dyDescent="0.35">
      <c r="A309" s="1019"/>
      <c r="B309" s="1142" t="s">
        <v>897</v>
      </c>
      <c r="C309" s="1142"/>
      <c r="D309" s="140">
        <f>D303-D308</f>
        <v>304.11099999999999</v>
      </c>
      <c r="E309" s="1028"/>
      <c r="I309" s="116"/>
      <c r="J309" s="116"/>
      <c r="K309" s="331"/>
      <c r="L309" s="331"/>
      <c r="M309" s="331"/>
    </row>
    <row r="310" spans="1:23" ht="18" customHeight="1" x14ac:dyDescent="0.35">
      <c r="A310" s="1019"/>
      <c r="B310" s="1025"/>
      <c r="C310" s="1025"/>
      <c r="D310" s="140" t="s">
        <v>863</v>
      </c>
      <c r="E310" s="1028"/>
      <c r="I310" s="116"/>
      <c r="J310" s="116"/>
      <c r="K310" s="331"/>
      <c r="L310" s="331"/>
      <c r="M310" s="331"/>
    </row>
    <row r="311" spans="1:23" ht="18" customHeight="1" x14ac:dyDescent="0.35">
      <c r="A311" s="1019"/>
      <c r="B311" s="1025"/>
      <c r="C311" s="1025"/>
      <c r="D311" s="1027"/>
      <c r="E311" s="1028"/>
      <c r="I311" s="116"/>
      <c r="J311" s="116"/>
      <c r="K311" s="331"/>
      <c r="L311" s="331"/>
      <c r="M311" s="331"/>
    </row>
    <row r="312" spans="1:23" ht="18" customHeight="1" x14ac:dyDescent="0.35">
      <c r="A312" s="1019"/>
      <c r="B312" s="1025"/>
      <c r="C312" s="1025"/>
      <c r="D312" s="1027"/>
      <c r="E312" s="1028"/>
      <c r="I312" s="116"/>
      <c r="J312" s="116"/>
      <c r="K312" s="331"/>
      <c r="L312" s="331"/>
      <c r="M312" s="331"/>
    </row>
    <row r="313" spans="1:23" ht="18" customHeight="1" x14ac:dyDescent="0.35">
      <c r="A313" s="1019"/>
      <c r="B313" s="1025"/>
      <c r="C313" s="1025"/>
      <c r="D313" s="1027"/>
      <c r="E313" s="1028"/>
      <c r="I313" s="116"/>
      <c r="J313" s="116"/>
      <c r="K313" s="331"/>
      <c r="L313" s="331"/>
      <c r="M313" s="331"/>
    </row>
    <row r="314" spans="1:23" ht="18" customHeight="1" x14ac:dyDescent="0.35">
      <c r="A314" s="1019"/>
      <c r="B314" s="1025"/>
      <c r="C314" s="1025"/>
      <c r="D314" s="1027"/>
      <c r="E314" s="1028"/>
      <c r="I314" s="116"/>
      <c r="J314" s="116"/>
      <c r="K314" s="331"/>
      <c r="L314" s="331"/>
      <c r="M314" s="331"/>
    </row>
    <row r="315" spans="1:23" ht="18" customHeight="1" x14ac:dyDescent="0.35">
      <c r="B315" s="1025"/>
      <c r="C315" s="1025"/>
      <c r="D315" s="1027"/>
      <c r="E315" s="1028"/>
      <c r="I315" s="116"/>
      <c r="J315" s="116"/>
      <c r="K315" s="331"/>
      <c r="L315" s="331"/>
      <c r="M315" s="331"/>
    </row>
    <row r="316" spans="1:23" ht="18" customHeight="1" x14ac:dyDescent="0.35">
      <c r="B316" s="1025"/>
      <c r="C316" s="1025"/>
      <c r="D316" s="1027"/>
      <c r="E316" s="1028"/>
      <c r="I316" s="116"/>
      <c r="J316" s="116"/>
      <c r="K316" s="331"/>
      <c r="L316" s="331"/>
      <c r="M316" s="331"/>
    </row>
    <row r="317" spans="1:23" ht="18" customHeight="1" x14ac:dyDescent="0.35">
      <c r="B317" s="1026"/>
      <c r="C317" s="1027"/>
      <c r="D317" s="1027"/>
      <c r="E317" s="1028"/>
      <c r="G317" s="1029"/>
      <c r="I317" s="116"/>
      <c r="J317" s="116"/>
      <c r="K317" s="331"/>
      <c r="L317" s="331"/>
      <c r="M317" s="331"/>
    </row>
    <row r="318" spans="1:23" ht="18" customHeight="1" x14ac:dyDescent="0.35">
      <c r="B318" s="1026"/>
      <c r="C318" s="1027"/>
      <c r="D318" s="1027"/>
      <c r="E318" s="1028"/>
      <c r="G318" s="1029"/>
      <c r="I318" s="116"/>
      <c r="J318" s="116"/>
      <c r="K318" s="331"/>
      <c r="L318" s="331"/>
      <c r="M318" s="331"/>
    </row>
    <row r="319" spans="1:23" ht="18" customHeight="1" x14ac:dyDescent="0.35">
      <c r="B319" s="1026"/>
      <c r="C319" s="1027"/>
      <c r="D319" s="1030"/>
      <c r="E319" s="1028"/>
      <c r="F319" s="1028"/>
      <c r="G319" s="1029"/>
      <c r="H319" s="1028"/>
      <c r="I319" s="116"/>
      <c r="J319" s="116"/>
    </row>
    <row r="320" spans="1:23" s="354" customFormat="1" ht="18" customHeight="1" x14ac:dyDescent="0.35">
      <c r="A320" s="329"/>
      <c r="B320" s="1026"/>
      <c r="C320" s="1030"/>
      <c r="D320" s="1027"/>
      <c r="E320" s="1032"/>
      <c r="F320" s="1028"/>
      <c r="G320" s="1030"/>
      <c r="H320" s="1028"/>
      <c r="I320" s="116"/>
      <c r="J320" s="116"/>
      <c r="K320" s="331"/>
      <c r="L320" s="331"/>
      <c r="M320" s="331"/>
      <c r="N320" s="327"/>
      <c r="O320" s="452"/>
      <c r="P320" s="327"/>
    </row>
    <row r="321" spans="1:16" s="354" customFormat="1" ht="18" customHeight="1" x14ac:dyDescent="0.35">
      <c r="B321" s="1031"/>
      <c r="C321" s="1027"/>
      <c r="D321" s="1027"/>
      <c r="E321" s="1032"/>
      <c r="F321" s="1028"/>
      <c r="G321" s="1027"/>
      <c r="H321" s="1028"/>
      <c r="I321" s="116"/>
      <c r="J321" s="116"/>
      <c r="K321" s="329"/>
      <c r="L321" s="329"/>
      <c r="M321" s="329"/>
      <c r="N321" s="327"/>
      <c r="O321" s="452"/>
      <c r="P321" s="327"/>
    </row>
    <row r="322" spans="1:16" ht="18" customHeight="1" x14ac:dyDescent="0.35">
      <c r="A322" s="354"/>
      <c r="B322" s="1031"/>
      <c r="C322" s="1027"/>
      <c r="D322" s="1030"/>
      <c r="E322" s="1028"/>
      <c r="F322" s="1028"/>
      <c r="G322" s="1033"/>
      <c r="H322" s="1028"/>
      <c r="I322" s="116"/>
      <c r="J322" s="116"/>
    </row>
    <row r="323" spans="1:16" s="354" customFormat="1" ht="15" customHeight="1" x14ac:dyDescent="0.35">
      <c r="B323" s="1031"/>
      <c r="C323" s="1027"/>
      <c r="D323" s="1028"/>
      <c r="E323" s="1028"/>
      <c r="F323" s="1032"/>
      <c r="G323" s="1031"/>
      <c r="H323" s="1031"/>
      <c r="J323" s="116"/>
      <c r="K323" s="329"/>
      <c r="L323" s="329"/>
      <c r="M323" s="329"/>
      <c r="N323" s="327"/>
      <c r="O323" s="452"/>
      <c r="P323" s="327"/>
    </row>
    <row r="324" spans="1:16" s="354" customFormat="1" ht="15" customHeight="1" x14ac:dyDescent="0.35">
      <c r="B324" s="1031"/>
      <c r="C324" s="1034"/>
      <c r="D324" s="1028"/>
      <c r="E324" s="1028"/>
      <c r="F324" s="1032"/>
      <c r="G324" s="1031"/>
      <c r="H324" s="1031"/>
      <c r="J324" s="116"/>
      <c r="K324" s="329"/>
      <c r="L324" s="329"/>
      <c r="M324" s="329"/>
      <c r="N324" s="327"/>
      <c r="O324" s="452"/>
      <c r="P324" s="327"/>
    </row>
    <row r="325" spans="1:16" s="354" customFormat="1" ht="15" customHeight="1" x14ac:dyDescent="0.35">
      <c r="B325" s="1031"/>
      <c r="C325" s="1034"/>
      <c r="D325" s="1028"/>
      <c r="E325" s="1028"/>
      <c r="F325" s="1032"/>
      <c r="G325" s="1031"/>
      <c r="H325" s="1031"/>
      <c r="J325" s="116"/>
      <c r="K325" s="329"/>
      <c r="L325" s="329"/>
      <c r="M325" s="329"/>
      <c r="N325" s="327"/>
      <c r="O325" s="452"/>
      <c r="P325" s="327"/>
    </row>
    <row r="326" spans="1:16" s="354" customFormat="1" ht="15" customHeight="1" x14ac:dyDescent="0.35">
      <c r="B326" s="1031"/>
      <c r="C326" s="1034"/>
      <c r="D326" s="1028"/>
      <c r="E326" s="1028"/>
      <c r="F326" s="1032"/>
      <c r="G326" s="1031"/>
      <c r="H326" s="1031"/>
      <c r="J326" s="116"/>
      <c r="K326" s="329"/>
      <c r="L326" s="329"/>
      <c r="M326" s="329"/>
      <c r="N326" s="327"/>
      <c r="O326" s="452"/>
      <c r="P326" s="327"/>
    </row>
    <row r="327" spans="1:16" s="354" customFormat="1" ht="15" customHeight="1" x14ac:dyDescent="0.35">
      <c r="B327" s="1031"/>
      <c r="C327" s="1034"/>
      <c r="D327" s="1028"/>
      <c r="E327" s="1028"/>
      <c r="F327" s="1032"/>
      <c r="G327" s="1031"/>
      <c r="H327" s="1031"/>
      <c r="J327" s="116"/>
      <c r="K327" s="329"/>
      <c r="L327" s="329"/>
      <c r="M327" s="329"/>
      <c r="N327" s="327"/>
      <c r="O327" s="452"/>
      <c r="P327" s="327"/>
    </row>
    <row r="328" spans="1:16" s="354" customFormat="1" ht="19.5" customHeight="1" x14ac:dyDescent="0.35">
      <c r="B328" s="1031"/>
      <c r="C328" s="1035"/>
      <c r="D328" s="1028"/>
      <c r="E328" s="1028"/>
      <c r="F328" s="1032"/>
      <c r="G328" s="1031"/>
      <c r="H328" s="1031"/>
      <c r="J328" s="116"/>
      <c r="K328" s="362"/>
      <c r="L328" s="362"/>
      <c r="M328" s="362"/>
      <c r="N328" s="327"/>
      <c r="O328" s="452"/>
      <c r="P328" s="327"/>
    </row>
    <row r="329" spans="1:16" s="354" customFormat="1" ht="15.75" customHeight="1" x14ac:dyDescent="0.35">
      <c r="B329" s="1031"/>
      <c r="C329" s="1033"/>
      <c r="D329" s="116"/>
      <c r="E329" s="116"/>
      <c r="F329" s="117"/>
      <c r="J329" s="116"/>
      <c r="K329" s="329"/>
      <c r="L329" s="329"/>
      <c r="M329" s="1024"/>
      <c r="N329" s="327"/>
      <c r="O329" s="452"/>
      <c r="P329" s="327"/>
    </row>
    <row r="330" spans="1:16" s="354" customFormat="1" ht="15" customHeight="1" x14ac:dyDescent="0.35">
      <c r="C330" s="119"/>
      <c r="D330" s="328"/>
      <c r="E330" s="329"/>
      <c r="F330" s="116"/>
      <c r="G330" s="329"/>
      <c r="H330" s="329"/>
      <c r="I330" s="329"/>
      <c r="J330" s="329"/>
      <c r="K330" s="329"/>
      <c r="L330" s="329"/>
      <c r="M330" s="329"/>
      <c r="N330" s="327"/>
      <c r="O330" s="452"/>
      <c r="P330" s="327"/>
    </row>
    <row r="331" spans="1:16" s="354" customFormat="1" ht="15" customHeight="1" x14ac:dyDescent="0.35">
      <c r="C331" s="328"/>
      <c r="D331" s="328"/>
      <c r="F331" s="116"/>
      <c r="G331" s="329"/>
      <c r="H331" s="329"/>
      <c r="I331" s="329"/>
      <c r="J331" s="329"/>
      <c r="K331" s="329"/>
      <c r="L331" s="329"/>
      <c r="M331" s="329"/>
      <c r="N331" s="327"/>
      <c r="O331" s="452"/>
      <c r="P331" s="327"/>
    </row>
    <row r="332" spans="1:16" s="354" customFormat="1" ht="15" customHeight="1" x14ac:dyDescent="0.35">
      <c r="C332" s="946"/>
      <c r="D332" s="327"/>
      <c r="E332" s="329"/>
      <c r="F332" s="116"/>
      <c r="G332" s="329"/>
      <c r="H332" s="329"/>
      <c r="I332" s="329"/>
      <c r="J332" s="329"/>
      <c r="K332" s="329"/>
      <c r="L332" s="329"/>
      <c r="M332" s="329"/>
      <c r="N332" s="327"/>
      <c r="O332" s="452"/>
      <c r="P332" s="327"/>
    </row>
    <row r="333" spans="1:16" s="354" customFormat="1" ht="15" customHeight="1" x14ac:dyDescent="0.35">
      <c r="C333" s="327"/>
      <c r="D333" s="327"/>
      <c r="E333" s="329"/>
      <c r="F333" s="116"/>
      <c r="G333" s="329"/>
      <c r="H333" s="329"/>
      <c r="I333" s="329"/>
      <c r="J333" s="329"/>
      <c r="K333" s="329"/>
      <c r="L333" s="329"/>
      <c r="M333" s="329"/>
      <c r="N333" s="327"/>
      <c r="O333" s="452"/>
      <c r="P333" s="327"/>
    </row>
    <row r="334" spans="1:16" s="354" customFormat="1" ht="18" customHeight="1" x14ac:dyDescent="0.35">
      <c r="C334" s="327"/>
      <c r="D334" s="327"/>
      <c r="E334" s="945"/>
      <c r="F334" s="116"/>
      <c r="G334" s="329"/>
      <c r="H334" s="329"/>
      <c r="I334" s="329"/>
      <c r="J334" s="329"/>
      <c r="K334" s="329"/>
      <c r="L334" s="329"/>
      <c r="M334" s="329"/>
      <c r="N334" s="327"/>
      <c r="O334" s="452"/>
      <c r="P334" s="327"/>
    </row>
    <row r="335" spans="1:16" s="354" customFormat="1" ht="18" customHeight="1" x14ac:dyDescent="0.35">
      <c r="C335" s="327"/>
      <c r="D335" s="327"/>
      <c r="E335" s="1145"/>
      <c r="F335" s="1145"/>
      <c r="G335" s="329"/>
      <c r="H335" s="329"/>
      <c r="I335" s="329"/>
      <c r="J335" s="329"/>
      <c r="K335" s="329"/>
      <c r="L335" s="329"/>
      <c r="M335" s="329"/>
      <c r="N335" s="327"/>
      <c r="O335" s="452"/>
      <c r="P335" s="327"/>
    </row>
    <row r="336" spans="1:16" x14ac:dyDescent="0.35">
      <c r="A336" s="354"/>
    </row>
    <row r="342" spans="3:4" x14ac:dyDescent="0.35">
      <c r="D342" s="1036"/>
    </row>
    <row r="343" spans="3:4" x14ac:dyDescent="0.35">
      <c r="C343" s="1036"/>
      <c r="D343" s="328"/>
    </row>
  </sheetData>
  <autoFilter ref="J1:J335" xr:uid="{00000000-0009-0000-0000-000016000000}"/>
  <mergeCells count="34">
    <mergeCell ref="B309:C309"/>
    <mergeCell ref="M6:M7"/>
    <mergeCell ref="E335:F335"/>
    <mergeCell ref="B1:J1"/>
    <mergeCell ref="D6:D7"/>
    <mergeCell ref="E6:E7"/>
    <mergeCell ref="F6:I6"/>
    <mergeCell ref="J6:J7"/>
    <mergeCell ref="B305:C305"/>
    <mergeCell ref="B4:I4"/>
    <mergeCell ref="H34:I34"/>
    <mergeCell ref="H57:I57"/>
    <mergeCell ref="H39:I39"/>
    <mergeCell ref="H124:I124"/>
    <mergeCell ref="H134:I134"/>
    <mergeCell ref="H138:I138"/>
    <mergeCell ref="H151:I151"/>
    <mergeCell ref="B308:C308"/>
    <mergeCell ref="B3:J3"/>
    <mergeCell ref="B2:J2"/>
    <mergeCell ref="H279:I279"/>
    <mergeCell ref="H290:I290"/>
    <mergeCell ref="H301:I301"/>
    <mergeCell ref="H208:I208"/>
    <mergeCell ref="H219:I219"/>
    <mergeCell ref="H236:I236"/>
    <mergeCell ref="H244:I244"/>
    <mergeCell ref="H258:I258"/>
    <mergeCell ref="H156:I156"/>
    <mergeCell ref="H170:I170"/>
    <mergeCell ref="H181:I181"/>
    <mergeCell ref="H185:I185"/>
    <mergeCell ref="H201:I201"/>
    <mergeCell ref="H92:I92"/>
  </mergeCells>
  <printOptions horizontalCentered="1"/>
  <pageMargins left="0.23622047244094491" right="0.23622047244094491" top="0.59055118110236227" bottom="0.59055118110236227" header="0.31496062992125984" footer="0.31496062992125984"/>
  <pageSetup paperSize="9" scale="63" fitToHeight="0" orientation="portrait" useFirstPageNumber="1" horizontalDpi="300" verticalDpi="300" r:id="rId1"/>
  <headerFooter scaleWithDoc="0" alignWithMargins="0">
    <oddFooter>&amp;RPage &amp;P of &amp;N</oddFooter>
    <firstFooter>&amp;R&amp;P</firstFooter>
  </headerFooter>
  <rowBreaks count="1" manualBreakCount="1">
    <brk id="230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00B050"/>
    <pageSetUpPr fitToPage="1"/>
  </sheetPr>
  <dimension ref="A1:V562"/>
  <sheetViews>
    <sheetView view="pageBreakPreview" topLeftCell="B52" zoomScale="80" zoomScaleNormal="100" zoomScaleSheetLayoutView="80" workbookViewId="0">
      <selection activeCell="B33" sqref="B33:M384"/>
    </sheetView>
  </sheetViews>
  <sheetFormatPr defaultRowHeight="18" x14ac:dyDescent="0.35"/>
  <cols>
    <col min="1" max="1" width="10.26953125" style="116" hidden="1" customWidth="1"/>
    <col min="2" max="2" width="20.81640625" style="117" customWidth="1"/>
    <col min="3" max="3" width="29.7265625" style="118" customWidth="1"/>
    <col min="4" max="4" width="11.26953125" style="116" customWidth="1"/>
    <col min="5" max="5" width="10" style="116" hidden="1" customWidth="1"/>
    <col min="6" max="6" width="14.81640625" style="116" customWidth="1"/>
    <col min="7" max="7" width="12" style="116" customWidth="1"/>
    <col min="8" max="8" width="9.54296875" style="116" customWidth="1"/>
    <col min="9" max="10" width="12.54296875" style="116" customWidth="1"/>
    <col min="11" max="11" width="14.453125" style="116" customWidth="1"/>
    <col min="12" max="12" width="23.7265625" style="118" customWidth="1"/>
    <col min="13" max="13" width="25.7265625" style="118" customWidth="1"/>
    <col min="14" max="14" width="8.453125" style="118" hidden="1" customWidth="1"/>
    <col min="15" max="16" width="27.1796875" style="118" hidden="1" customWidth="1"/>
    <col min="17" max="17" width="52.26953125" style="119" hidden="1" customWidth="1"/>
    <col min="18" max="18" width="15.81640625" style="116" hidden="1" customWidth="1"/>
    <col min="19" max="20" width="9.7265625" style="116" hidden="1" customWidth="1"/>
    <col min="21" max="21" width="0" style="116" hidden="1" customWidth="1"/>
    <col min="22" max="22" width="9.7265625" style="116" hidden="1" customWidth="1"/>
    <col min="23" max="24" width="0" style="116" hidden="1" customWidth="1"/>
    <col min="25" max="260" width="9.1796875" style="116"/>
    <col min="261" max="261" width="13.26953125" style="116" customWidth="1"/>
    <col min="262" max="262" width="27.453125" style="116" customWidth="1"/>
    <col min="263" max="264" width="9.54296875" style="116" customWidth="1"/>
    <col min="265" max="265" width="9.7265625" style="116" customWidth="1"/>
    <col min="266" max="266" width="9.54296875" style="116" customWidth="1"/>
    <col min="267" max="267" width="12.54296875" style="116" customWidth="1"/>
    <col min="268" max="268" width="10" style="116" customWidth="1"/>
    <col min="269" max="269" width="9.7265625" style="116" customWidth="1"/>
    <col min="270" max="272" width="0" style="116" hidden="1" customWidth="1"/>
    <col min="273" max="516" width="9.1796875" style="116"/>
    <col min="517" max="517" width="13.26953125" style="116" customWidth="1"/>
    <col min="518" max="518" width="27.453125" style="116" customWidth="1"/>
    <col min="519" max="520" width="9.54296875" style="116" customWidth="1"/>
    <col min="521" max="521" width="9.7265625" style="116" customWidth="1"/>
    <col min="522" max="522" width="9.54296875" style="116" customWidth="1"/>
    <col min="523" max="523" width="12.54296875" style="116" customWidth="1"/>
    <col min="524" max="524" width="10" style="116" customWidth="1"/>
    <col min="525" max="525" width="9.7265625" style="116" customWidth="1"/>
    <col min="526" max="528" width="0" style="116" hidden="1" customWidth="1"/>
    <col min="529" max="772" width="9.1796875" style="116"/>
    <col min="773" max="773" width="13.26953125" style="116" customWidth="1"/>
    <col min="774" max="774" width="27.453125" style="116" customWidth="1"/>
    <col min="775" max="776" width="9.54296875" style="116" customWidth="1"/>
    <col min="777" max="777" width="9.7265625" style="116" customWidth="1"/>
    <col min="778" max="778" width="9.54296875" style="116" customWidth="1"/>
    <col min="779" max="779" width="12.54296875" style="116" customWidth="1"/>
    <col min="780" max="780" width="10" style="116" customWidth="1"/>
    <col min="781" max="781" width="9.7265625" style="116" customWidth="1"/>
    <col min="782" max="784" width="0" style="116" hidden="1" customWidth="1"/>
    <col min="785" max="1028" width="9.1796875" style="116"/>
    <col min="1029" max="1029" width="13.26953125" style="116" customWidth="1"/>
    <col min="1030" max="1030" width="27.453125" style="116" customWidth="1"/>
    <col min="1031" max="1032" width="9.54296875" style="116" customWidth="1"/>
    <col min="1033" max="1033" width="9.7265625" style="116" customWidth="1"/>
    <col min="1034" max="1034" width="9.54296875" style="116" customWidth="1"/>
    <col min="1035" max="1035" width="12.54296875" style="116" customWidth="1"/>
    <col min="1036" max="1036" width="10" style="116" customWidth="1"/>
    <col min="1037" max="1037" width="9.7265625" style="116" customWidth="1"/>
    <col min="1038" max="1040" width="0" style="116" hidden="1" customWidth="1"/>
    <col min="1041" max="1284" width="9.1796875" style="116"/>
    <col min="1285" max="1285" width="13.26953125" style="116" customWidth="1"/>
    <col min="1286" max="1286" width="27.453125" style="116" customWidth="1"/>
    <col min="1287" max="1288" width="9.54296875" style="116" customWidth="1"/>
    <col min="1289" max="1289" width="9.7265625" style="116" customWidth="1"/>
    <col min="1290" max="1290" width="9.54296875" style="116" customWidth="1"/>
    <col min="1291" max="1291" width="12.54296875" style="116" customWidth="1"/>
    <col min="1292" max="1292" width="10" style="116" customWidth="1"/>
    <col min="1293" max="1293" width="9.7265625" style="116" customWidth="1"/>
    <col min="1294" max="1296" width="0" style="116" hidden="1" customWidth="1"/>
    <col min="1297" max="1540" width="9.1796875" style="116"/>
    <col min="1541" max="1541" width="13.26953125" style="116" customWidth="1"/>
    <col min="1542" max="1542" width="27.453125" style="116" customWidth="1"/>
    <col min="1543" max="1544" width="9.54296875" style="116" customWidth="1"/>
    <col min="1545" max="1545" width="9.7265625" style="116" customWidth="1"/>
    <col min="1546" max="1546" width="9.54296875" style="116" customWidth="1"/>
    <col min="1547" max="1547" width="12.54296875" style="116" customWidth="1"/>
    <col min="1548" max="1548" width="10" style="116" customWidth="1"/>
    <col min="1549" max="1549" width="9.7265625" style="116" customWidth="1"/>
    <col min="1550" max="1552" width="0" style="116" hidden="1" customWidth="1"/>
    <col min="1553" max="1796" width="9.1796875" style="116"/>
    <col min="1797" max="1797" width="13.26953125" style="116" customWidth="1"/>
    <col min="1798" max="1798" width="27.453125" style="116" customWidth="1"/>
    <col min="1799" max="1800" width="9.54296875" style="116" customWidth="1"/>
    <col min="1801" max="1801" width="9.7265625" style="116" customWidth="1"/>
    <col min="1802" max="1802" width="9.54296875" style="116" customWidth="1"/>
    <col min="1803" max="1803" width="12.54296875" style="116" customWidth="1"/>
    <col min="1804" max="1804" width="10" style="116" customWidth="1"/>
    <col min="1805" max="1805" width="9.7265625" style="116" customWidth="1"/>
    <col min="1806" max="1808" width="0" style="116" hidden="1" customWidth="1"/>
    <col min="1809" max="2052" width="9.1796875" style="116"/>
    <col min="2053" max="2053" width="13.26953125" style="116" customWidth="1"/>
    <col min="2054" max="2054" width="27.453125" style="116" customWidth="1"/>
    <col min="2055" max="2056" width="9.54296875" style="116" customWidth="1"/>
    <col min="2057" max="2057" width="9.7265625" style="116" customWidth="1"/>
    <col min="2058" max="2058" width="9.54296875" style="116" customWidth="1"/>
    <col min="2059" max="2059" width="12.54296875" style="116" customWidth="1"/>
    <col min="2060" max="2060" width="10" style="116" customWidth="1"/>
    <col min="2061" max="2061" width="9.7265625" style="116" customWidth="1"/>
    <col min="2062" max="2064" width="0" style="116" hidden="1" customWidth="1"/>
    <col min="2065" max="2308" width="9.1796875" style="116"/>
    <col min="2309" max="2309" width="13.26953125" style="116" customWidth="1"/>
    <col min="2310" max="2310" width="27.453125" style="116" customWidth="1"/>
    <col min="2311" max="2312" width="9.54296875" style="116" customWidth="1"/>
    <col min="2313" max="2313" width="9.7265625" style="116" customWidth="1"/>
    <col min="2314" max="2314" width="9.54296875" style="116" customWidth="1"/>
    <col min="2315" max="2315" width="12.54296875" style="116" customWidth="1"/>
    <col min="2316" max="2316" width="10" style="116" customWidth="1"/>
    <col min="2317" max="2317" width="9.7265625" style="116" customWidth="1"/>
    <col min="2318" max="2320" width="0" style="116" hidden="1" customWidth="1"/>
    <col min="2321" max="2564" width="9.1796875" style="116"/>
    <col min="2565" max="2565" width="13.26953125" style="116" customWidth="1"/>
    <col min="2566" max="2566" width="27.453125" style="116" customWidth="1"/>
    <col min="2567" max="2568" width="9.54296875" style="116" customWidth="1"/>
    <col min="2569" max="2569" width="9.7265625" style="116" customWidth="1"/>
    <col min="2570" max="2570" width="9.54296875" style="116" customWidth="1"/>
    <col min="2571" max="2571" width="12.54296875" style="116" customWidth="1"/>
    <col min="2572" max="2572" width="10" style="116" customWidth="1"/>
    <col min="2573" max="2573" width="9.7265625" style="116" customWidth="1"/>
    <col min="2574" max="2576" width="0" style="116" hidden="1" customWidth="1"/>
    <col min="2577" max="2820" width="9.1796875" style="116"/>
    <col min="2821" max="2821" width="13.26953125" style="116" customWidth="1"/>
    <col min="2822" max="2822" width="27.453125" style="116" customWidth="1"/>
    <col min="2823" max="2824" width="9.54296875" style="116" customWidth="1"/>
    <col min="2825" max="2825" width="9.7265625" style="116" customWidth="1"/>
    <col min="2826" max="2826" width="9.54296875" style="116" customWidth="1"/>
    <col min="2827" max="2827" width="12.54296875" style="116" customWidth="1"/>
    <col min="2828" max="2828" width="10" style="116" customWidth="1"/>
    <col min="2829" max="2829" width="9.7265625" style="116" customWidth="1"/>
    <col min="2830" max="2832" width="0" style="116" hidden="1" customWidth="1"/>
    <col min="2833" max="3076" width="9.1796875" style="116"/>
    <col min="3077" max="3077" width="13.26953125" style="116" customWidth="1"/>
    <col min="3078" max="3078" width="27.453125" style="116" customWidth="1"/>
    <col min="3079" max="3080" width="9.54296875" style="116" customWidth="1"/>
    <col min="3081" max="3081" width="9.7265625" style="116" customWidth="1"/>
    <col min="3082" max="3082" width="9.54296875" style="116" customWidth="1"/>
    <col min="3083" max="3083" width="12.54296875" style="116" customWidth="1"/>
    <col min="3084" max="3084" width="10" style="116" customWidth="1"/>
    <col min="3085" max="3085" width="9.7265625" style="116" customWidth="1"/>
    <col min="3086" max="3088" width="0" style="116" hidden="1" customWidth="1"/>
    <col min="3089" max="3332" width="9.1796875" style="116"/>
    <col min="3333" max="3333" width="13.26953125" style="116" customWidth="1"/>
    <col min="3334" max="3334" width="27.453125" style="116" customWidth="1"/>
    <col min="3335" max="3336" width="9.54296875" style="116" customWidth="1"/>
    <col min="3337" max="3337" width="9.7265625" style="116" customWidth="1"/>
    <col min="3338" max="3338" width="9.54296875" style="116" customWidth="1"/>
    <col min="3339" max="3339" width="12.54296875" style="116" customWidth="1"/>
    <col min="3340" max="3340" width="10" style="116" customWidth="1"/>
    <col min="3341" max="3341" width="9.7265625" style="116" customWidth="1"/>
    <col min="3342" max="3344" width="0" style="116" hidden="1" customWidth="1"/>
    <col min="3345" max="3588" width="9.1796875" style="116"/>
    <col min="3589" max="3589" width="13.26953125" style="116" customWidth="1"/>
    <col min="3590" max="3590" width="27.453125" style="116" customWidth="1"/>
    <col min="3591" max="3592" width="9.54296875" style="116" customWidth="1"/>
    <col min="3593" max="3593" width="9.7265625" style="116" customWidth="1"/>
    <col min="3594" max="3594" width="9.54296875" style="116" customWidth="1"/>
    <col min="3595" max="3595" width="12.54296875" style="116" customWidth="1"/>
    <col min="3596" max="3596" width="10" style="116" customWidth="1"/>
    <col min="3597" max="3597" width="9.7265625" style="116" customWidth="1"/>
    <col min="3598" max="3600" width="0" style="116" hidden="1" customWidth="1"/>
    <col min="3601" max="3844" width="9.1796875" style="116"/>
    <col min="3845" max="3845" width="13.26953125" style="116" customWidth="1"/>
    <col min="3846" max="3846" width="27.453125" style="116" customWidth="1"/>
    <col min="3847" max="3848" width="9.54296875" style="116" customWidth="1"/>
    <col min="3849" max="3849" width="9.7265625" style="116" customWidth="1"/>
    <col min="3850" max="3850" width="9.54296875" style="116" customWidth="1"/>
    <col min="3851" max="3851" width="12.54296875" style="116" customWidth="1"/>
    <col min="3852" max="3852" width="10" style="116" customWidth="1"/>
    <col min="3853" max="3853" width="9.7265625" style="116" customWidth="1"/>
    <col min="3854" max="3856" width="0" style="116" hidden="1" customWidth="1"/>
    <col min="3857" max="4100" width="9.1796875" style="116"/>
    <col min="4101" max="4101" width="13.26953125" style="116" customWidth="1"/>
    <col min="4102" max="4102" width="27.453125" style="116" customWidth="1"/>
    <col min="4103" max="4104" width="9.54296875" style="116" customWidth="1"/>
    <col min="4105" max="4105" width="9.7265625" style="116" customWidth="1"/>
    <col min="4106" max="4106" width="9.54296875" style="116" customWidth="1"/>
    <col min="4107" max="4107" width="12.54296875" style="116" customWidth="1"/>
    <col min="4108" max="4108" width="10" style="116" customWidth="1"/>
    <col min="4109" max="4109" width="9.7265625" style="116" customWidth="1"/>
    <col min="4110" max="4112" width="0" style="116" hidden="1" customWidth="1"/>
    <col min="4113" max="4356" width="9.1796875" style="116"/>
    <col min="4357" max="4357" width="13.26953125" style="116" customWidth="1"/>
    <col min="4358" max="4358" width="27.453125" style="116" customWidth="1"/>
    <col min="4359" max="4360" width="9.54296875" style="116" customWidth="1"/>
    <col min="4361" max="4361" width="9.7265625" style="116" customWidth="1"/>
    <col min="4362" max="4362" width="9.54296875" style="116" customWidth="1"/>
    <col min="4363" max="4363" width="12.54296875" style="116" customWidth="1"/>
    <col min="4364" max="4364" width="10" style="116" customWidth="1"/>
    <col min="4365" max="4365" width="9.7265625" style="116" customWidth="1"/>
    <col min="4366" max="4368" width="0" style="116" hidden="1" customWidth="1"/>
    <col min="4369" max="4612" width="9.1796875" style="116"/>
    <col min="4613" max="4613" width="13.26953125" style="116" customWidth="1"/>
    <col min="4614" max="4614" width="27.453125" style="116" customWidth="1"/>
    <col min="4615" max="4616" width="9.54296875" style="116" customWidth="1"/>
    <col min="4617" max="4617" width="9.7265625" style="116" customWidth="1"/>
    <col min="4618" max="4618" width="9.54296875" style="116" customWidth="1"/>
    <col min="4619" max="4619" width="12.54296875" style="116" customWidth="1"/>
    <col min="4620" max="4620" width="10" style="116" customWidth="1"/>
    <col min="4621" max="4621" width="9.7265625" style="116" customWidth="1"/>
    <col min="4622" max="4624" width="0" style="116" hidden="1" customWidth="1"/>
    <col min="4625" max="4868" width="9.1796875" style="116"/>
    <col min="4869" max="4869" width="13.26953125" style="116" customWidth="1"/>
    <col min="4870" max="4870" width="27.453125" style="116" customWidth="1"/>
    <col min="4871" max="4872" width="9.54296875" style="116" customWidth="1"/>
    <col min="4873" max="4873" width="9.7265625" style="116" customWidth="1"/>
    <col min="4874" max="4874" width="9.54296875" style="116" customWidth="1"/>
    <col min="4875" max="4875" width="12.54296875" style="116" customWidth="1"/>
    <col min="4876" max="4876" width="10" style="116" customWidth="1"/>
    <col min="4877" max="4877" width="9.7265625" style="116" customWidth="1"/>
    <col min="4878" max="4880" width="0" style="116" hidden="1" customWidth="1"/>
    <col min="4881" max="5124" width="9.1796875" style="116"/>
    <col min="5125" max="5125" width="13.26953125" style="116" customWidth="1"/>
    <col min="5126" max="5126" width="27.453125" style="116" customWidth="1"/>
    <col min="5127" max="5128" width="9.54296875" style="116" customWidth="1"/>
    <col min="5129" max="5129" width="9.7265625" style="116" customWidth="1"/>
    <col min="5130" max="5130" width="9.54296875" style="116" customWidth="1"/>
    <col min="5131" max="5131" width="12.54296875" style="116" customWidth="1"/>
    <col min="5132" max="5132" width="10" style="116" customWidth="1"/>
    <col min="5133" max="5133" width="9.7265625" style="116" customWidth="1"/>
    <col min="5134" max="5136" width="0" style="116" hidden="1" customWidth="1"/>
    <col min="5137" max="5380" width="9.1796875" style="116"/>
    <col min="5381" max="5381" width="13.26953125" style="116" customWidth="1"/>
    <col min="5382" max="5382" width="27.453125" style="116" customWidth="1"/>
    <col min="5383" max="5384" width="9.54296875" style="116" customWidth="1"/>
    <col min="5385" max="5385" width="9.7265625" style="116" customWidth="1"/>
    <col min="5386" max="5386" width="9.54296875" style="116" customWidth="1"/>
    <col min="5387" max="5387" width="12.54296875" style="116" customWidth="1"/>
    <col min="5388" max="5388" width="10" style="116" customWidth="1"/>
    <col min="5389" max="5389" width="9.7265625" style="116" customWidth="1"/>
    <col min="5390" max="5392" width="0" style="116" hidden="1" customWidth="1"/>
    <col min="5393" max="5636" width="9.1796875" style="116"/>
    <col min="5637" max="5637" width="13.26953125" style="116" customWidth="1"/>
    <col min="5638" max="5638" width="27.453125" style="116" customWidth="1"/>
    <col min="5639" max="5640" width="9.54296875" style="116" customWidth="1"/>
    <col min="5641" max="5641" width="9.7265625" style="116" customWidth="1"/>
    <col min="5642" max="5642" width="9.54296875" style="116" customWidth="1"/>
    <col min="5643" max="5643" width="12.54296875" style="116" customWidth="1"/>
    <col min="5644" max="5644" width="10" style="116" customWidth="1"/>
    <col min="5645" max="5645" width="9.7265625" style="116" customWidth="1"/>
    <col min="5646" max="5648" width="0" style="116" hidden="1" customWidth="1"/>
    <col min="5649" max="5892" width="9.1796875" style="116"/>
    <col min="5893" max="5893" width="13.26953125" style="116" customWidth="1"/>
    <col min="5894" max="5894" width="27.453125" style="116" customWidth="1"/>
    <col min="5895" max="5896" width="9.54296875" style="116" customWidth="1"/>
    <col min="5897" max="5897" width="9.7265625" style="116" customWidth="1"/>
    <col min="5898" max="5898" width="9.54296875" style="116" customWidth="1"/>
    <col min="5899" max="5899" width="12.54296875" style="116" customWidth="1"/>
    <col min="5900" max="5900" width="10" style="116" customWidth="1"/>
    <col min="5901" max="5901" width="9.7265625" style="116" customWidth="1"/>
    <col min="5902" max="5904" width="0" style="116" hidden="1" customWidth="1"/>
    <col min="5905" max="6148" width="9.1796875" style="116"/>
    <col min="6149" max="6149" width="13.26953125" style="116" customWidth="1"/>
    <col min="6150" max="6150" width="27.453125" style="116" customWidth="1"/>
    <col min="6151" max="6152" width="9.54296875" style="116" customWidth="1"/>
    <col min="6153" max="6153" width="9.7265625" style="116" customWidth="1"/>
    <col min="6154" max="6154" width="9.54296875" style="116" customWidth="1"/>
    <col min="6155" max="6155" width="12.54296875" style="116" customWidth="1"/>
    <col min="6156" max="6156" width="10" style="116" customWidth="1"/>
    <col min="6157" max="6157" width="9.7265625" style="116" customWidth="1"/>
    <col min="6158" max="6160" width="0" style="116" hidden="1" customWidth="1"/>
    <col min="6161" max="6404" width="9.1796875" style="116"/>
    <col min="6405" max="6405" width="13.26953125" style="116" customWidth="1"/>
    <col min="6406" max="6406" width="27.453125" style="116" customWidth="1"/>
    <col min="6407" max="6408" width="9.54296875" style="116" customWidth="1"/>
    <col min="6409" max="6409" width="9.7265625" style="116" customWidth="1"/>
    <col min="6410" max="6410" width="9.54296875" style="116" customWidth="1"/>
    <col min="6411" max="6411" width="12.54296875" style="116" customWidth="1"/>
    <col min="6412" max="6412" width="10" style="116" customWidth="1"/>
    <col min="6413" max="6413" width="9.7265625" style="116" customWidth="1"/>
    <col min="6414" max="6416" width="0" style="116" hidden="1" customWidth="1"/>
    <col min="6417" max="6660" width="9.1796875" style="116"/>
    <col min="6661" max="6661" width="13.26953125" style="116" customWidth="1"/>
    <col min="6662" max="6662" width="27.453125" style="116" customWidth="1"/>
    <col min="6663" max="6664" width="9.54296875" style="116" customWidth="1"/>
    <col min="6665" max="6665" width="9.7265625" style="116" customWidth="1"/>
    <col min="6666" max="6666" width="9.54296875" style="116" customWidth="1"/>
    <col min="6667" max="6667" width="12.54296875" style="116" customWidth="1"/>
    <col min="6668" max="6668" width="10" style="116" customWidth="1"/>
    <col min="6669" max="6669" width="9.7265625" style="116" customWidth="1"/>
    <col min="6670" max="6672" width="0" style="116" hidden="1" customWidth="1"/>
    <col min="6673" max="6916" width="9.1796875" style="116"/>
    <col min="6917" max="6917" width="13.26953125" style="116" customWidth="1"/>
    <col min="6918" max="6918" width="27.453125" style="116" customWidth="1"/>
    <col min="6919" max="6920" width="9.54296875" style="116" customWidth="1"/>
    <col min="6921" max="6921" width="9.7265625" style="116" customWidth="1"/>
    <col min="6922" max="6922" width="9.54296875" style="116" customWidth="1"/>
    <col min="6923" max="6923" width="12.54296875" style="116" customWidth="1"/>
    <col min="6924" max="6924" width="10" style="116" customWidth="1"/>
    <col min="6925" max="6925" width="9.7265625" style="116" customWidth="1"/>
    <col min="6926" max="6928" width="0" style="116" hidden="1" customWidth="1"/>
    <col min="6929" max="7172" width="9.1796875" style="116"/>
    <col min="7173" max="7173" width="13.26953125" style="116" customWidth="1"/>
    <col min="7174" max="7174" width="27.453125" style="116" customWidth="1"/>
    <col min="7175" max="7176" width="9.54296875" style="116" customWidth="1"/>
    <col min="7177" max="7177" width="9.7265625" style="116" customWidth="1"/>
    <col min="7178" max="7178" width="9.54296875" style="116" customWidth="1"/>
    <col min="7179" max="7179" width="12.54296875" style="116" customWidth="1"/>
    <col min="7180" max="7180" width="10" style="116" customWidth="1"/>
    <col min="7181" max="7181" width="9.7265625" style="116" customWidth="1"/>
    <col min="7182" max="7184" width="0" style="116" hidden="1" customWidth="1"/>
    <col min="7185" max="7428" width="9.1796875" style="116"/>
    <col min="7429" max="7429" width="13.26953125" style="116" customWidth="1"/>
    <col min="7430" max="7430" width="27.453125" style="116" customWidth="1"/>
    <col min="7431" max="7432" width="9.54296875" style="116" customWidth="1"/>
    <col min="7433" max="7433" width="9.7265625" style="116" customWidth="1"/>
    <col min="7434" max="7434" width="9.54296875" style="116" customWidth="1"/>
    <col min="7435" max="7435" width="12.54296875" style="116" customWidth="1"/>
    <col min="7436" max="7436" width="10" style="116" customWidth="1"/>
    <col min="7437" max="7437" width="9.7265625" style="116" customWidth="1"/>
    <col min="7438" max="7440" width="0" style="116" hidden="1" customWidth="1"/>
    <col min="7441" max="7684" width="9.1796875" style="116"/>
    <col min="7685" max="7685" width="13.26953125" style="116" customWidth="1"/>
    <col min="7686" max="7686" width="27.453125" style="116" customWidth="1"/>
    <col min="7687" max="7688" width="9.54296875" style="116" customWidth="1"/>
    <col min="7689" max="7689" width="9.7265625" style="116" customWidth="1"/>
    <col min="7690" max="7690" width="9.54296875" style="116" customWidth="1"/>
    <col min="7691" max="7691" width="12.54296875" style="116" customWidth="1"/>
    <col min="7692" max="7692" width="10" style="116" customWidth="1"/>
    <col min="7693" max="7693" width="9.7265625" style="116" customWidth="1"/>
    <col min="7694" max="7696" width="0" style="116" hidden="1" customWidth="1"/>
    <col min="7697" max="7940" width="9.1796875" style="116"/>
    <col min="7941" max="7941" width="13.26953125" style="116" customWidth="1"/>
    <col min="7942" max="7942" width="27.453125" style="116" customWidth="1"/>
    <col min="7943" max="7944" width="9.54296875" style="116" customWidth="1"/>
    <col min="7945" max="7945" width="9.7265625" style="116" customWidth="1"/>
    <col min="7946" max="7946" width="9.54296875" style="116" customWidth="1"/>
    <col min="7947" max="7947" width="12.54296875" style="116" customWidth="1"/>
    <col min="7948" max="7948" width="10" style="116" customWidth="1"/>
    <col min="7949" max="7949" width="9.7265625" style="116" customWidth="1"/>
    <col min="7950" max="7952" width="0" style="116" hidden="1" customWidth="1"/>
    <col min="7953" max="8196" width="9.1796875" style="116"/>
    <col min="8197" max="8197" width="13.26953125" style="116" customWidth="1"/>
    <col min="8198" max="8198" width="27.453125" style="116" customWidth="1"/>
    <col min="8199" max="8200" width="9.54296875" style="116" customWidth="1"/>
    <col min="8201" max="8201" width="9.7265625" style="116" customWidth="1"/>
    <col min="8202" max="8202" width="9.54296875" style="116" customWidth="1"/>
    <col min="8203" max="8203" width="12.54296875" style="116" customWidth="1"/>
    <col min="8204" max="8204" width="10" style="116" customWidth="1"/>
    <col min="8205" max="8205" width="9.7265625" style="116" customWidth="1"/>
    <col min="8206" max="8208" width="0" style="116" hidden="1" customWidth="1"/>
    <col min="8209" max="8452" width="9.1796875" style="116"/>
    <col min="8453" max="8453" width="13.26953125" style="116" customWidth="1"/>
    <col min="8454" max="8454" width="27.453125" style="116" customWidth="1"/>
    <col min="8455" max="8456" width="9.54296875" style="116" customWidth="1"/>
    <col min="8457" max="8457" width="9.7265625" style="116" customWidth="1"/>
    <col min="8458" max="8458" width="9.54296875" style="116" customWidth="1"/>
    <col min="8459" max="8459" width="12.54296875" style="116" customWidth="1"/>
    <col min="8460" max="8460" width="10" style="116" customWidth="1"/>
    <col min="8461" max="8461" width="9.7265625" style="116" customWidth="1"/>
    <col min="8462" max="8464" width="0" style="116" hidden="1" customWidth="1"/>
    <col min="8465" max="8708" width="9.1796875" style="116"/>
    <col min="8709" max="8709" width="13.26953125" style="116" customWidth="1"/>
    <col min="8710" max="8710" width="27.453125" style="116" customWidth="1"/>
    <col min="8711" max="8712" width="9.54296875" style="116" customWidth="1"/>
    <col min="8713" max="8713" width="9.7265625" style="116" customWidth="1"/>
    <col min="8714" max="8714" width="9.54296875" style="116" customWidth="1"/>
    <col min="8715" max="8715" width="12.54296875" style="116" customWidth="1"/>
    <col min="8716" max="8716" width="10" style="116" customWidth="1"/>
    <col min="8717" max="8717" width="9.7265625" style="116" customWidth="1"/>
    <col min="8718" max="8720" width="0" style="116" hidden="1" customWidth="1"/>
    <col min="8721" max="8964" width="9.1796875" style="116"/>
    <col min="8965" max="8965" width="13.26953125" style="116" customWidth="1"/>
    <col min="8966" max="8966" width="27.453125" style="116" customWidth="1"/>
    <col min="8967" max="8968" width="9.54296875" style="116" customWidth="1"/>
    <col min="8969" max="8969" width="9.7265625" style="116" customWidth="1"/>
    <col min="8970" max="8970" width="9.54296875" style="116" customWidth="1"/>
    <col min="8971" max="8971" width="12.54296875" style="116" customWidth="1"/>
    <col min="8972" max="8972" width="10" style="116" customWidth="1"/>
    <col min="8973" max="8973" width="9.7265625" style="116" customWidth="1"/>
    <col min="8974" max="8976" width="0" style="116" hidden="1" customWidth="1"/>
    <col min="8977" max="9220" width="9.1796875" style="116"/>
    <col min="9221" max="9221" width="13.26953125" style="116" customWidth="1"/>
    <col min="9222" max="9222" width="27.453125" style="116" customWidth="1"/>
    <col min="9223" max="9224" width="9.54296875" style="116" customWidth="1"/>
    <col min="9225" max="9225" width="9.7265625" style="116" customWidth="1"/>
    <col min="9226" max="9226" width="9.54296875" style="116" customWidth="1"/>
    <col min="9227" max="9227" width="12.54296875" style="116" customWidth="1"/>
    <col min="9228" max="9228" width="10" style="116" customWidth="1"/>
    <col min="9229" max="9229" width="9.7265625" style="116" customWidth="1"/>
    <col min="9230" max="9232" width="0" style="116" hidden="1" customWidth="1"/>
    <col min="9233" max="9476" width="9.1796875" style="116"/>
    <col min="9477" max="9477" width="13.26953125" style="116" customWidth="1"/>
    <col min="9478" max="9478" width="27.453125" style="116" customWidth="1"/>
    <col min="9479" max="9480" width="9.54296875" style="116" customWidth="1"/>
    <col min="9481" max="9481" width="9.7265625" style="116" customWidth="1"/>
    <col min="9482" max="9482" width="9.54296875" style="116" customWidth="1"/>
    <col min="9483" max="9483" width="12.54296875" style="116" customWidth="1"/>
    <col min="9484" max="9484" width="10" style="116" customWidth="1"/>
    <col min="9485" max="9485" width="9.7265625" style="116" customWidth="1"/>
    <col min="9486" max="9488" width="0" style="116" hidden="1" customWidth="1"/>
    <col min="9489" max="9732" width="9.1796875" style="116"/>
    <col min="9733" max="9733" width="13.26953125" style="116" customWidth="1"/>
    <col min="9734" max="9734" width="27.453125" style="116" customWidth="1"/>
    <col min="9735" max="9736" width="9.54296875" style="116" customWidth="1"/>
    <col min="9737" max="9737" width="9.7265625" style="116" customWidth="1"/>
    <col min="9738" max="9738" width="9.54296875" style="116" customWidth="1"/>
    <col min="9739" max="9739" width="12.54296875" style="116" customWidth="1"/>
    <col min="9740" max="9740" width="10" style="116" customWidth="1"/>
    <col min="9741" max="9741" width="9.7265625" style="116" customWidth="1"/>
    <col min="9742" max="9744" width="0" style="116" hidden="1" customWidth="1"/>
    <col min="9745" max="9988" width="9.1796875" style="116"/>
    <col min="9989" max="9989" width="13.26953125" style="116" customWidth="1"/>
    <col min="9990" max="9990" width="27.453125" style="116" customWidth="1"/>
    <col min="9991" max="9992" width="9.54296875" style="116" customWidth="1"/>
    <col min="9993" max="9993" width="9.7265625" style="116" customWidth="1"/>
    <col min="9994" max="9994" width="9.54296875" style="116" customWidth="1"/>
    <col min="9995" max="9995" width="12.54296875" style="116" customWidth="1"/>
    <col min="9996" max="9996" width="10" style="116" customWidth="1"/>
    <col min="9997" max="9997" width="9.7265625" style="116" customWidth="1"/>
    <col min="9998" max="10000" width="0" style="116" hidden="1" customWidth="1"/>
    <col min="10001" max="10244" width="9.1796875" style="116"/>
    <col min="10245" max="10245" width="13.26953125" style="116" customWidth="1"/>
    <col min="10246" max="10246" width="27.453125" style="116" customWidth="1"/>
    <col min="10247" max="10248" width="9.54296875" style="116" customWidth="1"/>
    <col min="10249" max="10249" width="9.7265625" style="116" customWidth="1"/>
    <col min="10250" max="10250" width="9.54296875" style="116" customWidth="1"/>
    <col min="10251" max="10251" width="12.54296875" style="116" customWidth="1"/>
    <col min="10252" max="10252" width="10" style="116" customWidth="1"/>
    <col min="10253" max="10253" width="9.7265625" style="116" customWidth="1"/>
    <col min="10254" max="10256" width="0" style="116" hidden="1" customWidth="1"/>
    <col min="10257" max="10500" width="9.1796875" style="116"/>
    <col min="10501" max="10501" width="13.26953125" style="116" customWidth="1"/>
    <col min="10502" max="10502" width="27.453125" style="116" customWidth="1"/>
    <col min="10503" max="10504" width="9.54296875" style="116" customWidth="1"/>
    <col min="10505" max="10505" width="9.7265625" style="116" customWidth="1"/>
    <col min="10506" max="10506" width="9.54296875" style="116" customWidth="1"/>
    <col min="10507" max="10507" width="12.54296875" style="116" customWidth="1"/>
    <col min="10508" max="10508" width="10" style="116" customWidth="1"/>
    <col min="10509" max="10509" width="9.7265625" style="116" customWidth="1"/>
    <col min="10510" max="10512" width="0" style="116" hidden="1" customWidth="1"/>
    <col min="10513" max="10756" width="9.1796875" style="116"/>
    <col min="10757" max="10757" width="13.26953125" style="116" customWidth="1"/>
    <col min="10758" max="10758" width="27.453125" style="116" customWidth="1"/>
    <col min="10759" max="10760" width="9.54296875" style="116" customWidth="1"/>
    <col min="10761" max="10761" width="9.7265625" style="116" customWidth="1"/>
    <col min="10762" max="10762" width="9.54296875" style="116" customWidth="1"/>
    <col min="10763" max="10763" width="12.54296875" style="116" customWidth="1"/>
    <col min="10764" max="10764" width="10" style="116" customWidth="1"/>
    <col min="10765" max="10765" width="9.7265625" style="116" customWidth="1"/>
    <col min="10766" max="10768" width="0" style="116" hidden="1" customWidth="1"/>
    <col min="10769" max="11012" width="9.1796875" style="116"/>
    <col min="11013" max="11013" width="13.26953125" style="116" customWidth="1"/>
    <col min="11014" max="11014" width="27.453125" style="116" customWidth="1"/>
    <col min="11015" max="11016" width="9.54296875" style="116" customWidth="1"/>
    <col min="11017" max="11017" width="9.7265625" style="116" customWidth="1"/>
    <col min="11018" max="11018" width="9.54296875" style="116" customWidth="1"/>
    <col min="11019" max="11019" width="12.54296875" style="116" customWidth="1"/>
    <col min="11020" max="11020" width="10" style="116" customWidth="1"/>
    <col min="11021" max="11021" width="9.7265625" style="116" customWidth="1"/>
    <col min="11022" max="11024" width="0" style="116" hidden="1" customWidth="1"/>
    <col min="11025" max="11268" width="9.1796875" style="116"/>
    <col min="11269" max="11269" width="13.26953125" style="116" customWidth="1"/>
    <col min="11270" max="11270" width="27.453125" style="116" customWidth="1"/>
    <col min="11271" max="11272" width="9.54296875" style="116" customWidth="1"/>
    <col min="11273" max="11273" width="9.7265625" style="116" customWidth="1"/>
    <col min="11274" max="11274" width="9.54296875" style="116" customWidth="1"/>
    <col min="11275" max="11275" width="12.54296875" style="116" customWidth="1"/>
    <col min="11276" max="11276" width="10" style="116" customWidth="1"/>
    <col min="11277" max="11277" width="9.7265625" style="116" customWidth="1"/>
    <col min="11278" max="11280" width="0" style="116" hidden="1" customWidth="1"/>
    <col min="11281" max="11524" width="9.1796875" style="116"/>
    <col min="11525" max="11525" width="13.26953125" style="116" customWidth="1"/>
    <col min="11526" max="11526" width="27.453125" style="116" customWidth="1"/>
    <col min="11527" max="11528" width="9.54296875" style="116" customWidth="1"/>
    <col min="11529" max="11529" width="9.7265625" style="116" customWidth="1"/>
    <col min="11530" max="11530" width="9.54296875" style="116" customWidth="1"/>
    <col min="11531" max="11531" width="12.54296875" style="116" customWidth="1"/>
    <col min="11532" max="11532" width="10" style="116" customWidth="1"/>
    <col min="11533" max="11533" width="9.7265625" style="116" customWidth="1"/>
    <col min="11534" max="11536" width="0" style="116" hidden="1" customWidth="1"/>
    <col min="11537" max="11780" width="9.1796875" style="116"/>
    <col min="11781" max="11781" width="13.26953125" style="116" customWidth="1"/>
    <col min="11782" max="11782" width="27.453125" style="116" customWidth="1"/>
    <col min="11783" max="11784" width="9.54296875" style="116" customWidth="1"/>
    <col min="11785" max="11785" width="9.7265625" style="116" customWidth="1"/>
    <col min="11786" max="11786" width="9.54296875" style="116" customWidth="1"/>
    <col min="11787" max="11787" width="12.54296875" style="116" customWidth="1"/>
    <col min="11788" max="11788" width="10" style="116" customWidth="1"/>
    <col min="11789" max="11789" width="9.7265625" style="116" customWidth="1"/>
    <col min="11790" max="11792" width="0" style="116" hidden="1" customWidth="1"/>
    <col min="11793" max="12036" width="9.1796875" style="116"/>
    <col min="12037" max="12037" width="13.26953125" style="116" customWidth="1"/>
    <col min="12038" max="12038" width="27.453125" style="116" customWidth="1"/>
    <col min="12039" max="12040" width="9.54296875" style="116" customWidth="1"/>
    <col min="12041" max="12041" width="9.7265625" style="116" customWidth="1"/>
    <col min="12042" max="12042" width="9.54296875" style="116" customWidth="1"/>
    <col min="12043" max="12043" width="12.54296875" style="116" customWidth="1"/>
    <col min="12044" max="12044" width="10" style="116" customWidth="1"/>
    <col min="12045" max="12045" width="9.7265625" style="116" customWidth="1"/>
    <col min="12046" max="12048" width="0" style="116" hidden="1" customWidth="1"/>
    <col min="12049" max="12292" width="9.1796875" style="116"/>
    <col min="12293" max="12293" width="13.26953125" style="116" customWidth="1"/>
    <col min="12294" max="12294" width="27.453125" style="116" customWidth="1"/>
    <col min="12295" max="12296" width="9.54296875" style="116" customWidth="1"/>
    <col min="12297" max="12297" width="9.7265625" style="116" customWidth="1"/>
    <col min="12298" max="12298" width="9.54296875" style="116" customWidth="1"/>
    <col min="12299" max="12299" width="12.54296875" style="116" customWidth="1"/>
    <col min="12300" max="12300" width="10" style="116" customWidth="1"/>
    <col min="12301" max="12301" width="9.7265625" style="116" customWidth="1"/>
    <col min="12302" max="12304" width="0" style="116" hidden="1" customWidth="1"/>
    <col min="12305" max="12548" width="9.1796875" style="116"/>
    <col min="12549" max="12549" width="13.26953125" style="116" customWidth="1"/>
    <col min="12550" max="12550" width="27.453125" style="116" customWidth="1"/>
    <col min="12551" max="12552" width="9.54296875" style="116" customWidth="1"/>
    <col min="12553" max="12553" width="9.7265625" style="116" customWidth="1"/>
    <col min="12554" max="12554" width="9.54296875" style="116" customWidth="1"/>
    <col min="12555" max="12555" width="12.54296875" style="116" customWidth="1"/>
    <col min="12556" max="12556" width="10" style="116" customWidth="1"/>
    <col min="12557" max="12557" width="9.7265625" style="116" customWidth="1"/>
    <col min="12558" max="12560" width="0" style="116" hidden="1" customWidth="1"/>
    <col min="12561" max="12804" width="9.1796875" style="116"/>
    <col min="12805" max="12805" width="13.26953125" style="116" customWidth="1"/>
    <col min="12806" max="12806" width="27.453125" style="116" customWidth="1"/>
    <col min="12807" max="12808" width="9.54296875" style="116" customWidth="1"/>
    <col min="12809" max="12809" width="9.7265625" style="116" customWidth="1"/>
    <col min="12810" max="12810" width="9.54296875" style="116" customWidth="1"/>
    <col min="12811" max="12811" width="12.54296875" style="116" customWidth="1"/>
    <col min="12812" max="12812" width="10" style="116" customWidth="1"/>
    <col min="12813" max="12813" width="9.7265625" style="116" customWidth="1"/>
    <col min="12814" max="12816" width="0" style="116" hidden="1" customWidth="1"/>
    <col min="12817" max="13060" width="9.1796875" style="116"/>
    <col min="13061" max="13061" width="13.26953125" style="116" customWidth="1"/>
    <col min="13062" max="13062" width="27.453125" style="116" customWidth="1"/>
    <col min="13063" max="13064" width="9.54296875" style="116" customWidth="1"/>
    <col min="13065" max="13065" width="9.7265625" style="116" customWidth="1"/>
    <col min="13066" max="13066" width="9.54296875" style="116" customWidth="1"/>
    <col min="13067" max="13067" width="12.54296875" style="116" customWidth="1"/>
    <col min="13068" max="13068" width="10" style="116" customWidth="1"/>
    <col min="13069" max="13069" width="9.7265625" style="116" customWidth="1"/>
    <col min="13070" max="13072" width="0" style="116" hidden="1" customWidth="1"/>
    <col min="13073" max="13316" width="9.1796875" style="116"/>
    <col min="13317" max="13317" width="13.26953125" style="116" customWidth="1"/>
    <col min="13318" max="13318" width="27.453125" style="116" customWidth="1"/>
    <col min="13319" max="13320" width="9.54296875" style="116" customWidth="1"/>
    <col min="13321" max="13321" width="9.7265625" style="116" customWidth="1"/>
    <col min="13322" max="13322" width="9.54296875" style="116" customWidth="1"/>
    <col min="13323" max="13323" width="12.54296875" style="116" customWidth="1"/>
    <col min="13324" max="13324" width="10" style="116" customWidth="1"/>
    <col min="13325" max="13325" width="9.7265625" style="116" customWidth="1"/>
    <col min="13326" max="13328" width="0" style="116" hidden="1" customWidth="1"/>
    <col min="13329" max="13572" width="9.1796875" style="116"/>
    <col min="13573" max="13573" width="13.26953125" style="116" customWidth="1"/>
    <col min="13574" max="13574" width="27.453125" style="116" customWidth="1"/>
    <col min="13575" max="13576" width="9.54296875" style="116" customWidth="1"/>
    <col min="13577" max="13577" width="9.7265625" style="116" customWidth="1"/>
    <col min="13578" max="13578" width="9.54296875" style="116" customWidth="1"/>
    <col min="13579" max="13579" width="12.54296875" style="116" customWidth="1"/>
    <col min="13580" max="13580" width="10" style="116" customWidth="1"/>
    <col min="13581" max="13581" width="9.7265625" style="116" customWidth="1"/>
    <col min="13582" max="13584" width="0" style="116" hidden="1" customWidth="1"/>
    <col min="13585" max="13828" width="9.1796875" style="116"/>
    <col min="13829" max="13829" width="13.26953125" style="116" customWidth="1"/>
    <col min="13830" max="13830" width="27.453125" style="116" customWidth="1"/>
    <col min="13831" max="13832" width="9.54296875" style="116" customWidth="1"/>
    <col min="13833" max="13833" width="9.7265625" style="116" customWidth="1"/>
    <col min="13834" max="13834" width="9.54296875" style="116" customWidth="1"/>
    <col min="13835" max="13835" width="12.54296875" style="116" customWidth="1"/>
    <col min="13836" max="13836" width="10" style="116" customWidth="1"/>
    <col min="13837" max="13837" width="9.7265625" style="116" customWidth="1"/>
    <col min="13838" max="13840" width="0" style="116" hidden="1" customWidth="1"/>
    <col min="13841" max="14084" width="9.1796875" style="116"/>
    <col min="14085" max="14085" width="13.26953125" style="116" customWidth="1"/>
    <col min="14086" max="14086" width="27.453125" style="116" customWidth="1"/>
    <col min="14087" max="14088" width="9.54296875" style="116" customWidth="1"/>
    <col min="14089" max="14089" width="9.7265625" style="116" customWidth="1"/>
    <col min="14090" max="14090" width="9.54296875" style="116" customWidth="1"/>
    <col min="14091" max="14091" width="12.54296875" style="116" customWidth="1"/>
    <col min="14092" max="14092" width="10" style="116" customWidth="1"/>
    <col min="14093" max="14093" width="9.7265625" style="116" customWidth="1"/>
    <col min="14094" max="14096" width="0" style="116" hidden="1" customWidth="1"/>
    <col min="14097" max="14340" width="9.1796875" style="116"/>
    <col min="14341" max="14341" width="13.26953125" style="116" customWidth="1"/>
    <col min="14342" max="14342" width="27.453125" style="116" customWidth="1"/>
    <col min="14343" max="14344" width="9.54296875" style="116" customWidth="1"/>
    <col min="14345" max="14345" width="9.7265625" style="116" customWidth="1"/>
    <col min="14346" max="14346" width="9.54296875" style="116" customWidth="1"/>
    <col min="14347" max="14347" width="12.54296875" style="116" customWidth="1"/>
    <col min="14348" max="14348" width="10" style="116" customWidth="1"/>
    <col min="14349" max="14349" width="9.7265625" style="116" customWidth="1"/>
    <col min="14350" max="14352" width="0" style="116" hidden="1" customWidth="1"/>
    <col min="14353" max="14596" width="9.1796875" style="116"/>
    <col min="14597" max="14597" width="13.26953125" style="116" customWidth="1"/>
    <col min="14598" max="14598" width="27.453125" style="116" customWidth="1"/>
    <col min="14599" max="14600" width="9.54296875" style="116" customWidth="1"/>
    <col min="14601" max="14601" width="9.7265625" style="116" customWidth="1"/>
    <col min="14602" max="14602" width="9.54296875" style="116" customWidth="1"/>
    <col min="14603" max="14603" width="12.54296875" style="116" customWidth="1"/>
    <col min="14604" max="14604" width="10" style="116" customWidth="1"/>
    <col min="14605" max="14605" width="9.7265625" style="116" customWidth="1"/>
    <col min="14606" max="14608" width="0" style="116" hidden="1" customWidth="1"/>
    <col min="14609" max="14852" width="9.1796875" style="116"/>
    <col min="14853" max="14853" width="13.26953125" style="116" customWidth="1"/>
    <col min="14854" max="14854" width="27.453125" style="116" customWidth="1"/>
    <col min="14855" max="14856" width="9.54296875" style="116" customWidth="1"/>
    <col min="14857" max="14857" width="9.7265625" style="116" customWidth="1"/>
    <col min="14858" max="14858" width="9.54296875" style="116" customWidth="1"/>
    <col min="14859" max="14859" width="12.54296875" style="116" customWidth="1"/>
    <col min="14860" max="14860" width="10" style="116" customWidth="1"/>
    <col min="14861" max="14861" width="9.7265625" style="116" customWidth="1"/>
    <col min="14862" max="14864" width="0" style="116" hidden="1" customWidth="1"/>
    <col min="14865" max="15108" width="9.1796875" style="116"/>
    <col min="15109" max="15109" width="13.26953125" style="116" customWidth="1"/>
    <col min="15110" max="15110" width="27.453125" style="116" customWidth="1"/>
    <col min="15111" max="15112" width="9.54296875" style="116" customWidth="1"/>
    <col min="15113" max="15113" width="9.7265625" style="116" customWidth="1"/>
    <col min="15114" max="15114" width="9.54296875" style="116" customWidth="1"/>
    <col min="15115" max="15115" width="12.54296875" style="116" customWidth="1"/>
    <col min="15116" max="15116" width="10" style="116" customWidth="1"/>
    <col min="15117" max="15117" width="9.7265625" style="116" customWidth="1"/>
    <col min="15118" max="15120" width="0" style="116" hidden="1" customWidth="1"/>
    <col min="15121" max="15364" width="9.1796875" style="116"/>
    <col min="15365" max="15365" width="13.26953125" style="116" customWidth="1"/>
    <col min="15366" max="15366" width="27.453125" style="116" customWidth="1"/>
    <col min="15367" max="15368" width="9.54296875" style="116" customWidth="1"/>
    <col min="15369" max="15369" width="9.7265625" style="116" customWidth="1"/>
    <col min="15370" max="15370" width="9.54296875" style="116" customWidth="1"/>
    <col min="15371" max="15371" width="12.54296875" style="116" customWidth="1"/>
    <col min="15372" max="15372" width="10" style="116" customWidth="1"/>
    <col min="15373" max="15373" width="9.7265625" style="116" customWidth="1"/>
    <col min="15374" max="15376" width="0" style="116" hidden="1" customWidth="1"/>
    <col min="15377" max="15620" width="9.1796875" style="116"/>
    <col min="15621" max="15621" width="13.26953125" style="116" customWidth="1"/>
    <col min="15622" max="15622" width="27.453125" style="116" customWidth="1"/>
    <col min="15623" max="15624" width="9.54296875" style="116" customWidth="1"/>
    <col min="15625" max="15625" width="9.7265625" style="116" customWidth="1"/>
    <col min="15626" max="15626" width="9.54296875" style="116" customWidth="1"/>
    <col min="15627" max="15627" width="12.54296875" style="116" customWidth="1"/>
    <col min="15628" max="15628" width="10" style="116" customWidth="1"/>
    <col min="15629" max="15629" width="9.7265625" style="116" customWidth="1"/>
    <col min="15630" max="15632" width="0" style="116" hidden="1" customWidth="1"/>
    <col min="15633" max="15876" width="9.1796875" style="116"/>
    <col min="15877" max="15877" width="13.26953125" style="116" customWidth="1"/>
    <col min="15878" max="15878" width="27.453125" style="116" customWidth="1"/>
    <col min="15879" max="15880" width="9.54296875" style="116" customWidth="1"/>
    <col min="15881" max="15881" width="9.7265625" style="116" customWidth="1"/>
    <col min="15882" max="15882" width="9.54296875" style="116" customWidth="1"/>
    <col min="15883" max="15883" width="12.54296875" style="116" customWidth="1"/>
    <col min="15884" max="15884" width="10" style="116" customWidth="1"/>
    <col min="15885" max="15885" width="9.7265625" style="116" customWidth="1"/>
    <col min="15886" max="15888" width="0" style="116" hidden="1" customWidth="1"/>
    <col min="15889" max="16132" width="9.1796875" style="116"/>
    <col min="16133" max="16133" width="13.26953125" style="116" customWidth="1"/>
    <col min="16134" max="16134" width="27.453125" style="116" customWidth="1"/>
    <col min="16135" max="16136" width="9.54296875" style="116" customWidth="1"/>
    <col min="16137" max="16137" width="9.7265625" style="116" customWidth="1"/>
    <col min="16138" max="16138" width="9.54296875" style="116" customWidth="1"/>
    <col min="16139" max="16139" width="12.54296875" style="116" customWidth="1"/>
    <col min="16140" max="16140" width="10" style="116" customWidth="1"/>
    <col min="16141" max="16141" width="9.7265625" style="116" customWidth="1"/>
    <col min="16142" max="16144" width="0" style="116" hidden="1" customWidth="1"/>
    <col min="16145" max="16384" width="9.1796875" style="116"/>
  </cols>
  <sheetData>
    <row r="1" spans="1:22" s="113" customFormat="1" x14ac:dyDescent="0.35">
      <c r="B1" s="1184" t="s">
        <v>0</v>
      </c>
      <c r="C1" s="1184"/>
      <c r="D1" s="1184"/>
      <c r="E1" s="1184"/>
      <c r="F1" s="1184"/>
      <c r="G1" s="1184"/>
      <c r="H1" s="1184"/>
      <c r="I1" s="1184"/>
      <c r="J1" s="1184"/>
      <c r="K1" s="1184"/>
      <c r="L1" s="1184"/>
      <c r="M1" s="1184"/>
      <c r="N1" s="114"/>
      <c r="O1" s="114"/>
      <c r="P1" s="114"/>
      <c r="Q1" s="115"/>
    </row>
    <row r="2" spans="1:22" s="113" customFormat="1" x14ac:dyDescent="0.35">
      <c r="B2" s="1184" t="s">
        <v>297</v>
      </c>
      <c r="C2" s="1184"/>
      <c r="D2" s="1184"/>
      <c r="E2" s="1184"/>
      <c r="F2" s="1184"/>
      <c r="G2" s="1184"/>
      <c r="H2" s="1184"/>
      <c r="I2" s="1184"/>
      <c r="J2" s="1184"/>
      <c r="K2" s="1184"/>
      <c r="L2" s="1184"/>
      <c r="M2" s="1184"/>
      <c r="N2" s="114"/>
      <c r="O2" s="114"/>
      <c r="P2" s="114"/>
      <c r="Q2" s="115"/>
    </row>
    <row r="3" spans="1:22" s="113" customFormat="1" x14ac:dyDescent="0.35">
      <c r="B3" s="1184" t="s">
        <v>298</v>
      </c>
      <c r="C3" s="1184"/>
      <c r="D3" s="1184"/>
      <c r="E3" s="1184"/>
      <c r="F3" s="1184"/>
      <c r="G3" s="1184"/>
      <c r="H3" s="1184"/>
      <c r="I3" s="1184"/>
      <c r="J3" s="1184"/>
      <c r="K3" s="1184"/>
      <c r="L3" s="1184"/>
      <c r="M3" s="1184"/>
      <c r="N3" s="114"/>
      <c r="O3" s="114"/>
      <c r="P3" s="114"/>
      <c r="Q3" s="115"/>
    </row>
    <row r="5" spans="1:22" ht="9" customHeight="1" thickBot="1" x14ac:dyDescent="0.4"/>
    <row r="6" spans="1:22" s="113" customFormat="1" x14ac:dyDescent="0.35">
      <c r="B6" s="1185" t="s">
        <v>3</v>
      </c>
      <c r="C6" s="1186"/>
      <c r="D6" s="1186"/>
      <c r="E6" s="1186"/>
      <c r="F6" s="1186"/>
      <c r="G6" s="1186"/>
      <c r="H6" s="1186"/>
      <c r="I6" s="1186"/>
      <c r="J6" s="1186"/>
      <c r="K6" s="1186"/>
      <c r="L6" s="1186"/>
      <c r="M6" s="1187"/>
      <c r="Q6" s="115"/>
      <c r="R6" s="113" t="s">
        <v>299</v>
      </c>
      <c r="T6" s="113" t="s">
        <v>300</v>
      </c>
      <c r="V6" s="113" t="s">
        <v>301</v>
      </c>
    </row>
    <row r="7" spans="1:22" s="113" customFormat="1" ht="18.5" thickBot="1" x14ac:dyDescent="0.4">
      <c r="B7" s="120"/>
      <c r="C7" s="121"/>
      <c r="D7" s="122"/>
      <c r="E7" s="122"/>
      <c r="F7" s="122"/>
      <c r="G7" s="122"/>
      <c r="H7" s="122"/>
      <c r="I7" s="122"/>
      <c r="J7" s="122"/>
      <c r="K7" s="123"/>
      <c r="L7" s="124"/>
      <c r="M7" s="124"/>
      <c r="N7" s="125"/>
      <c r="O7" s="125"/>
      <c r="P7" s="125"/>
      <c r="Q7" s="115"/>
      <c r="R7" s="126">
        <f>D34+D70+D87+D95+D111+D153+D175</f>
        <v>449.9899999999999</v>
      </c>
      <c r="T7" s="126">
        <f>D212+D246+D259+D283</f>
        <v>350.26</v>
      </c>
      <c r="V7" s="126">
        <f>D184+D317+D340+D370+D385+D399</f>
        <v>279.91399999999999</v>
      </c>
    </row>
    <row r="8" spans="1:22" s="113" customFormat="1" ht="21" customHeight="1" x14ac:dyDescent="0.35">
      <c r="B8" s="1159" t="s">
        <v>302</v>
      </c>
      <c r="C8" s="1161" t="s">
        <v>28</v>
      </c>
      <c r="D8" s="1163" t="s">
        <v>303</v>
      </c>
      <c r="E8" s="1163" t="s">
        <v>304</v>
      </c>
      <c r="F8" s="1165" t="s">
        <v>305</v>
      </c>
      <c r="G8" s="1166"/>
      <c r="H8" s="1166"/>
      <c r="I8" s="1166"/>
      <c r="J8" s="1167"/>
      <c r="K8" s="1161" t="s">
        <v>29</v>
      </c>
      <c r="L8" s="1168" t="s">
        <v>306</v>
      </c>
      <c r="M8" s="1174" t="s">
        <v>307</v>
      </c>
      <c r="N8" s="125"/>
      <c r="O8" s="125"/>
      <c r="P8" s="125"/>
      <c r="Q8" s="115"/>
    </row>
    <row r="9" spans="1:22" s="113" customFormat="1" ht="31.5" customHeight="1" thickBot="1" x14ac:dyDescent="0.4">
      <c r="B9" s="1160"/>
      <c r="C9" s="1162"/>
      <c r="D9" s="1164"/>
      <c r="E9" s="1164"/>
      <c r="F9" s="127" t="s">
        <v>308</v>
      </c>
      <c r="G9" s="127" t="s">
        <v>309</v>
      </c>
      <c r="H9" s="127" t="s">
        <v>310</v>
      </c>
      <c r="I9" s="127" t="s">
        <v>311</v>
      </c>
      <c r="J9" s="127" t="s">
        <v>312</v>
      </c>
      <c r="K9" s="1162"/>
      <c r="L9" s="1169"/>
      <c r="M9" s="1175"/>
      <c r="N9" s="125"/>
      <c r="O9" s="125"/>
      <c r="P9" s="125"/>
      <c r="Q9" s="113" t="s">
        <v>143</v>
      </c>
      <c r="R9" s="126">
        <f>R7+T7+V7</f>
        <v>1080.1639999999998</v>
      </c>
      <c r="T9" s="126">
        <f>R13-R9</f>
        <v>156.30100000000016</v>
      </c>
      <c r="V9" s="113">
        <f>(R9/R13)*100</f>
        <v>87.359043725459259</v>
      </c>
    </row>
    <row r="10" spans="1:22" ht="17.149999999999999" customHeight="1" x14ac:dyDescent="0.35">
      <c r="A10" s="116">
        <v>1</v>
      </c>
      <c r="B10" s="128">
        <v>219</v>
      </c>
      <c r="C10" s="129" t="s">
        <v>214</v>
      </c>
      <c r="D10" s="130">
        <f>SUM(F10:J10)</f>
        <v>0.4</v>
      </c>
      <c r="E10" s="130">
        <f>'[1]road inventory 2018'!C10</f>
        <v>0.65</v>
      </c>
      <c r="F10" s="130">
        <v>0.25</v>
      </c>
      <c r="G10" s="130">
        <v>0</v>
      </c>
      <c r="H10" s="130">
        <v>0</v>
      </c>
      <c r="I10" s="130">
        <v>0.15</v>
      </c>
      <c r="J10" s="130">
        <v>0</v>
      </c>
      <c r="K10" s="131" t="s">
        <v>206</v>
      </c>
      <c r="L10" s="132" t="s">
        <v>313</v>
      </c>
      <c r="M10" s="133"/>
      <c r="O10" s="134">
        <f t="shared" ref="O10:O33" si="0">D10</f>
        <v>0.4</v>
      </c>
      <c r="P10" s="134"/>
      <c r="Q10" s="116" t="s">
        <v>4</v>
      </c>
    </row>
    <row r="11" spans="1:22" ht="16.5" customHeight="1" x14ac:dyDescent="0.35">
      <c r="A11" s="116">
        <v>2</v>
      </c>
      <c r="B11" s="135">
        <v>1</v>
      </c>
      <c r="C11" s="136" t="s">
        <v>314</v>
      </c>
      <c r="D11" s="137">
        <f>SUM(F11:J11)</f>
        <v>5.4799999999999995</v>
      </c>
      <c r="E11" s="137">
        <f>'[1]road inventory 2018'!C11</f>
        <v>5.5</v>
      </c>
      <c r="F11" s="137">
        <v>4.88</v>
      </c>
      <c r="G11" s="137">
        <v>0</v>
      </c>
      <c r="H11" s="137">
        <v>0</v>
      </c>
      <c r="I11" s="137">
        <v>0.6</v>
      </c>
      <c r="J11" s="137">
        <v>0</v>
      </c>
      <c r="K11" s="138" t="s">
        <v>209</v>
      </c>
      <c r="L11" s="138" t="s">
        <v>315</v>
      </c>
      <c r="M11" s="139"/>
      <c r="O11" s="134">
        <f t="shared" si="0"/>
        <v>5.4799999999999995</v>
      </c>
      <c r="P11" s="134"/>
      <c r="Q11" s="116" t="s">
        <v>10</v>
      </c>
      <c r="R11" s="140">
        <f>E34+E70+E87+E94+E111+E153+E175</f>
        <v>454.24999999999994</v>
      </c>
      <c r="T11" s="140">
        <f>E212+E231+E246+E259+E283</f>
        <v>417.85</v>
      </c>
      <c r="V11" s="140">
        <f>E184+E302+E317+E340+E370+E385+E399+D405</f>
        <v>364.36500000000001</v>
      </c>
    </row>
    <row r="12" spans="1:22" ht="16.5" customHeight="1" x14ac:dyDescent="0.35">
      <c r="A12" s="116">
        <v>3</v>
      </c>
      <c r="B12" s="135">
        <v>2</v>
      </c>
      <c r="C12" s="136" t="s">
        <v>212</v>
      </c>
      <c r="D12" s="137">
        <f>+F12+G12+I12+H12</f>
        <v>0.91999999999999993</v>
      </c>
      <c r="E12" s="137">
        <f>'[1]road inventory 2018'!C12</f>
        <v>0.8</v>
      </c>
      <c r="F12" s="137">
        <v>7.0000000000000007E-2</v>
      </c>
      <c r="G12" s="137">
        <v>0</v>
      </c>
      <c r="H12" s="137">
        <v>0</v>
      </c>
      <c r="I12" s="137">
        <v>0.85</v>
      </c>
      <c r="J12" s="137">
        <v>0</v>
      </c>
      <c r="K12" s="138" t="s">
        <v>206</v>
      </c>
      <c r="L12" s="138" t="s">
        <v>316</v>
      </c>
      <c r="M12" s="139"/>
      <c r="O12" s="134">
        <f t="shared" si="0"/>
        <v>0.91999999999999993</v>
      </c>
      <c r="P12" s="134"/>
      <c r="Q12" s="116" t="s">
        <v>317</v>
      </c>
    </row>
    <row r="13" spans="1:22" ht="17.149999999999999" customHeight="1" x14ac:dyDescent="0.35">
      <c r="A13" s="116">
        <v>4</v>
      </c>
      <c r="B13" s="135">
        <v>3</v>
      </c>
      <c r="C13" s="136" t="s">
        <v>217</v>
      </c>
      <c r="D13" s="137">
        <f>SUM(F13:J13)</f>
        <v>4.97</v>
      </c>
      <c r="E13" s="137">
        <f>'[1]road inventory 2018'!C13</f>
        <v>4.9000000000000004</v>
      </c>
      <c r="F13" s="137">
        <v>0</v>
      </c>
      <c r="G13" s="137">
        <v>0</v>
      </c>
      <c r="H13" s="137">
        <v>0</v>
      </c>
      <c r="I13" s="137">
        <v>4.97</v>
      </c>
      <c r="J13" s="137">
        <v>0</v>
      </c>
      <c r="K13" s="141" t="s">
        <v>206</v>
      </c>
      <c r="L13" s="138" t="s">
        <v>318</v>
      </c>
      <c r="M13" s="139"/>
      <c r="N13" s="118" t="s">
        <v>319</v>
      </c>
      <c r="O13" s="134">
        <f t="shared" si="0"/>
        <v>4.97</v>
      </c>
      <c r="P13" s="134"/>
      <c r="Q13" s="116" t="s">
        <v>33</v>
      </c>
      <c r="R13" s="140">
        <f>R11+T11+V11</f>
        <v>1236.4649999999999</v>
      </c>
    </row>
    <row r="14" spans="1:22" ht="17.149999999999999" customHeight="1" x14ac:dyDescent="0.35">
      <c r="A14" s="116">
        <v>5</v>
      </c>
      <c r="B14" s="135">
        <v>4</v>
      </c>
      <c r="C14" s="136" t="s">
        <v>211</v>
      </c>
      <c r="D14" s="137">
        <f>+F14+G14+I14+H14</f>
        <v>2.67</v>
      </c>
      <c r="E14" s="137">
        <f>'[1]road inventory 2018'!C14</f>
        <v>2.7</v>
      </c>
      <c r="F14" s="137">
        <v>0</v>
      </c>
      <c r="G14" s="137">
        <v>0</v>
      </c>
      <c r="H14" s="137">
        <v>0</v>
      </c>
      <c r="I14" s="137">
        <v>2.67</v>
      </c>
      <c r="J14" s="137">
        <v>0</v>
      </c>
      <c r="K14" s="141" t="s">
        <v>206</v>
      </c>
      <c r="L14" s="138" t="s">
        <v>320</v>
      </c>
      <c r="M14" s="139"/>
      <c r="N14" s="118" t="s">
        <v>319</v>
      </c>
      <c r="O14" s="134">
        <f t="shared" si="0"/>
        <v>2.67</v>
      </c>
      <c r="P14" s="134"/>
      <c r="Q14" s="116" t="s">
        <v>41</v>
      </c>
    </row>
    <row r="15" spans="1:22" ht="17.149999999999999" customHeight="1" x14ac:dyDescent="0.35">
      <c r="A15" s="116">
        <v>6</v>
      </c>
      <c r="B15" s="135">
        <v>93</v>
      </c>
      <c r="C15" s="136" t="s">
        <v>13</v>
      </c>
      <c r="D15" s="137">
        <f>+F15+G15+I15+H15</f>
        <v>3.9</v>
      </c>
      <c r="E15" s="137">
        <f>'[1]road inventory 2018'!C15</f>
        <v>3.9</v>
      </c>
      <c r="F15" s="137">
        <v>3.79</v>
      </c>
      <c r="G15" s="137">
        <v>0</v>
      </c>
      <c r="H15" s="137">
        <v>0</v>
      </c>
      <c r="I15" s="137">
        <v>0.11</v>
      </c>
      <c r="J15" s="137">
        <v>0</v>
      </c>
      <c r="K15" s="141" t="s">
        <v>206</v>
      </c>
      <c r="L15" s="138" t="s">
        <v>320</v>
      </c>
      <c r="M15" s="139"/>
      <c r="O15" s="134">
        <f t="shared" si="0"/>
        <v>3.9</v>
      </c>
      <c r="P15" s="134"/>
      <c r="R15" s="140">
        <f>E302+E309+E314+E326+E331+E335+E336+E338+E349+E358+E363+E365+E368+E381+E382+E383+E384</f>
        <v>175.05999999999997</v>
      </c>
      <c r="T15" s="140">
        <f>T9-R15</f>
        <v>-18.758999999999816</v>
      </c>
    </row>
    <row r="16" spans="1:22" ht="17.149999999999999" customHeight="1" x14ac:dyDescent="0.35">
      <c r="A16" s="116">
        <v>7</v>
      </c>
      <c r="B16" s="135">
        <v>218</v>
      </c>
      <c r="C16" s="136" t="s">
        <v>213</v>
      </c>
      <c r="D16" s="137">
        <f>SUM(F16:J16)</f>
        <v>5.61</v>
      </c>
      <c r="E16" s="137">
        <f>'[1]road inventory 2018'!C16</f>
        <v>5.8</v>
      </c>
      <c r="F16" s="137">
        <v>0</v>
      </c>
      <c r="G16" s="137">
        <v>0</v>
      </c>
      <c r="H16" s="137">
        <v>0</v>
      </c>
      <c r="I16" s="137">
        <v>5.61</v>
      </c>
      <c r="J16" s="137">
        <v>0</v>
      </c>
      <c r="K16" s="141" t="s">
        <v>206</v>
      </c>
      <c r="L16" s="138" t="s">
        <v>316</v>
      </c>
      <c r="M16" s="139"/>
      <c r="O16" s="134">
        <f t="shared" si="0"/>
        <v>5.61</v>
      </c>
      <c r="P16" s="134"/>
    </row>
    <row r="17" spans="1:20" ht="17.149999999999999" customHeight="1" x14ac:dyDescent="0.35">
      <c r="A17" s="116">
        <v>8</v>
      </c>
      <c r="B17" s="135">
        <v>5</v>
      </c>
      <c r="C17" s="136" t="s">
        <v>16</v>
      </c>
      <c r="D17" s="137">
        <f>SUM(F17:J17)</f>
        <v>2.85</v>
      </c>
      <c r="E17" s="137">
        <f>'[1]road inventory 2018'!C17</f>
        <v>2.8</v>
      </c>
      <c r="F17" s="137">
        <v>2.85</v>
      </c>
      <c r="G17" s="137">
        <v>0</v>
      </c>
      <c r="H17" s="137">
        <v>0</v>
      </c>
      <c r="I17" s="137">
        <v>0</v>
      </c>
      <c r="J17" s="137">
        <v>0</v>
      </c>
      <c r="K17" s="141" t="s">
        <v>206</v>
      </c>
      <c r="L17" s="138" t="s">
        <v>320</v>
      </c>
      <c r="M17" s="139"/>
      <c r="O17" s="134">
        <f t="shared" si="0"/>
        <v>2.85</v>
      </c>
      <c r="P17" s="134"/>
      <c r="R17" s="140">
        <f>E28+E47+E52+E82+T67</f>
        <v>8.4699999999999989</v>
      </c>
    </row>
    <row r="18" spans="1:20" ht="17.149999999999999" customHeight="1" x14ac:dyDescent="0.35">
      <c r="A18" s="116">
        <v>9</v>
      </c>
      <c r="B18" s="135">
        <v>6</v>
      </c>
      <c r="C18" s="136" t="s">
        <v>220</v>
      </c>
      <c r="D18" s="137">
        <f>+F18+G18+I18+H18</f>
        <v>3.96</v>
      </c>
      <c r="E18" s="137">
        <f>'[1]road inventory 2018'!C18</f>
        <v>3.9</v>
      </c>
      <c r="F18" s="137">
        <f>2.6+0.9</f>
        <v>3.5</v>
      </c>
      <c r="G18" s="137">
        <v>0</v>
      </c>
      <c r="H18" s="137">
        <v>0</v>
      </c>
      <c r="I18" s="137">
        <v>0.46</v>
      </c>
      <c r="J18" s="137">
        <v>0</v>
      </c>
      <c r="K18" s="141" t="s">
        <v>209</v>
      </c>
      <c r="L18" s="138" t="s">
        <v>315</v>
      </c>
      <c r="M18" s="139"/>
      <c r="O18" s="134">
        <f t="shared" si="0"/>
        <v>3.96</v>
      </c>
      <c r="P18" s="134"/>
    </row>
    <row r="19" spans="1:20" ht="17.149999999999999" customHeight="1" x14ac:dyDescent="0.35">
      <c r="A19" s="116">
        <v>10</v>
      </c>
      <c r="B19" s="135">
        <v>7</v>
      </c>
      <c r="C19" s="136" t="s">
        <v>205</v>
      </c>
      <c r="D19" s="137">
        <v>1.1499999999999999</v>
      </c>
      <c r="E19" s="137">
        <f>'[1]road inventory 2018'!C19</f>
        <v>1.1000000000000001</v>
      </c>
      <c r="F19" s="137">
        <v>1.1499999999999999</v>
      </c>
      <c r="G19" s="137">
        <v>0</v>
      </c>
      <c r="H19" s="137">
        <v>0</v>
      </c>
      <c r="I19" s="137">
        <v>0</v>
      </c>
      <c r="J19" s="137">
        <v>0</v>
      </c>
      <c r="K19" s="141" t="s">
        <v>206</v>
      </c>
      <c r="L19" s="138" t="s">
        <v>321</v>
      </c>
      <c r="M19" s="139"/>
      <c r="O19" s="134">
        <f t="shared" si="0"/>
        <v>1.1499999999999999</v>
      </c>
      <c r="P19" s="134"/>
      <c r="Q19" s="142" t="s">
        <v>322</v>
      </c>
      <c r="T19" s="116" t="s">
        <v>323</v>
      </c>
    </row>
    <row r="20" spans="1:20" ht="17.149999999999999" customHeight="1" x14ac:dyDescent="0.35">
      <c r="A20" s="116">
        <v>11</v>
      </c>
      <c r="B20" s="135">
        <v>8</v>
      </c>
      <c r="C20" s="136" t="s">
        <v>324</v>
      </c>
      <c r="D20" s="137">
        <f>SUM(F20:J20)</f>
        <v>0.64</v>
      </c>
      <c r="E20" s="137">
        <f>'[1]road inventory 2018'!C20</f>
        <v>0.6</v>
      </c>
      <c r="F20" s="137">
        <v>0.64</v>
      </c>
      <c r="G20" s="137">
        <v>0</v>
      </c>
      <c r="H20" s="137">
        <v>0</v>
      </c>
      <c r="I20" s="137">
        <v>0</v>
      </c>
      <c r="J20" s="137">
        <v>0</v>
      </c>
      <c r="K20" s="141" t="s">
        <v>206</v>
      </c>
      <c r="L20" s="138" t="s">
        <v>325</v>
      </c>
      <c r="M20" s="139"/>
      <c r="O20" s="134">
        <f t="shared" si="0"/>
        <v>0.64</v>
      </c>
      <c r="P20" s="134"/>
      <c r="Q20" s="116" t="s">
        <v>182</v>
      </c>
      <c r="R20" s="140">
        <f>D10+D11+D12+D13+D15+D16+D17+D18+D19+D20+D21+D22+D23+D24+D27+D29+D30+D31+D32</f>
        <v>81.36</v>
      </c>
      <c r="T20" s="140">
        <f>R20</f>
        <v>81.36</v>
      </c>
    </row>
    <row r="21" spans="1:20" ht="17.149999999999999" customHeight="1" x14ac:dyDescent="0.35">
      <c r="A21" s="116">
        <v>12</v>
      </c>
      <c r="B21" s="135">
        <v>9</v>
      </c>
      <c r="C21" s="136" t="s">
        <v>19</v>
      </c>
      <c r="D21" s="137">
        <f>+F21+G21+I21+H21</f>
        <v>9.3000000000000007</v>
      </c>
      <c r="E21" s="137">
        <f>'[1]road inventory 2018'!C21</f>
        <v>9</v>
      </c>
      <c r="F21" s="137">
        <v>9.3000000000000007</v>
      </c>
      <c r="G21" s="137">
        <v>0</v>
      </c>
      <c r="H21" s="137">
        <v>0</v>
      </c>
      <c r="I21" s="137">
        <v>0</v>
      </c>
      <c r="J21" s="137">
        <v>0</v>
      </c>
      <c r="K21" s="141" t="s">
        <v>209</v>
      </c>
      <c r="L21" s="138" t="s">
        <v>326</v>
      </c>
      <c r="M21" s="139"/>
      <c r="O21" s="134">
        <f t="shared" si="0"/>
        <v>9.3000000000000007</v>
      </c>
      <c r="P21" s="134"/>
      <c r="Q21" s="119" t="s">
        <v>183</v>
      </c>
      <c r="R21" s="140">
        <f>D43+D44+D45+D46+D47+D48+D49+D50+D51+D52+D53++D54+D57+D58+D59+D60+D61+D62+D63+D66+D69</f>
        <v>72.349999999999994</v>
      </c>
      <c r="T21" s="140">
        <f>R21</f>
        <v>72.349999999999994</v>
      </c>
    </row>
    <row r="22" spans="1:20" ht="17.149999999999999" customHeight="1" x14ac:dyDescent="0.35">
      <c r="A22" s="116">
        <v>13</v>
      </c>
      <c r="B22" s="135">
        <v>10</v>
      </c>
      <c r="C22" s="136" t="s">
        <v>23</v>
      </c>
      <c r="D22" s="137">
        <f>SUM(F22:J22)</f>
        <v>13.790000000000001</v>
      </c>
      <c r="E22" s="137">
        <f>'[1]road inventory 2018'!C22</f>
        <v>13.6</v>
      </c>
      <c r="F22" s="137">
        <f>8.47+1.31+0.34</f>
        <v>10.120000000000001</v>
      </c>
      <c r="G22" s="137">
        <v>0</v>
      </c>
      <c r="H22" s="137">
        <v>0</v>
      </c>
      <c r="I22" s="137">
        <v>3.67</v>
      </c>
      <c r="J22" s="137">
        <v>0</v>
      </c>
      <c r="K22" s="141" t="s">
        <v>209</v>
      </c>
      <c r="L22" s="138" t="s">
        <v>327</v>
      </c>
      <c r="M22" s="139"/>
      <c r="O22" s="134">
        <f t="shared" si="0"/>
        <v>13.790000000000001</v>
      </c>
      <c r="P22" s="134"/>
      <c r="Q22" s="119" t="s">
        <v>184</v>
      </c>
      <c r="R22" s="140">
        <f>D80+D81+D82+D83+D84+D85</f>
        <v>28.019999999999996</v>
      </c>
      <c r="T22" s="140">
        <f>R22</f>
        <v>28.019999999999996</v>
      </c>
    </row>
    <row r="23" spans="1:20" ht="17.149999999999999" customHeight="1" x14ac:dyDescent="0.35">
      <c r="A23" s="116">
        <v>14</v>
      </c>
      <c r="B23" s="135">
        <v>11</v>
      </c>
      <c r="C23" s="136" t="s">
        <v>223</v>
      </c>
      <c r="D23" s="137">
        <f>SUM(F23:J23)</f>
        <v>2.27</v>
      </c>
      <c r="E23" s="137">
        <f>'[1]road inventory 2018'!C23</f>
        <v>2.2000000000000002</v>
      </c>
      <c r="F23" s="137">
        <v>1.3</v>
      </c>
      <c r="G23" s="137">
        <v>0</v>
      </c>
      <c r="H23" s="137">
        <v>0</v>
      </c>
      <c r="I23" s="137">
        <v>0.97</v>
      </c>
      <c r="J23" s="137">
        <v>0</v>
      </c>
      <c r="K23" s="141" t="s">
        <v>206</v>
      </c>
      <c r="L23" s="138" t="s">
        <v>328</v>
      </c>
      <c r="M23" s="139"/>
      <c r="O23" s="134">
        <f t="shared" si="0"/>
        <v>2.27</v>
      </c>
      <c r="P23" s="134"/>
      <c r="Q23" s="119" t="s">
        <v>185</v>
      </c>
      <c r="R23" s="143">
        <f>D94</f>
        <v>3.2800000000000002</v>
      </c>
      <c r="T23" s="143">
        <f>R23</f>
        <v>3.2800000000000002</v>
      </c>
    </row>
    <row r="24" spans="1:20" ht="17.149999999999999" customHeight="1" x14ac:dyDescent="0.35">
      <c r="A24" s="116">
        <v>15</v>
      </c>
      <c r="B24" s="135">
        <v>13</v>
      </c>
      <c r="C24" s="136" t="s">
        <v>218</v>
      </c>
      <c r="D24" s="137">
        <f>SUM(F24:J24)</f>
        <v>1.72</v>
      </c>
      <c r="E24" s="137">
        <f>'[1]road inventory 2018'!C24</f>
        <v>1.7</v>
      </c>
      <c r="F24" s="137">
        <v>0</v>
      </c>
      <c r="G24" s="137">
        <v>0</v>
      </c>
      <c r="H24" s="137">
        <v>0</v>
      </c>
      <c r="I24" s="137">
        <v>1.72</v>
      </c>
      <c r="J24" s="137">
        <v>0</v>
      </c>
      <c r="K24" s="141" t="s">
        <v>207</v>
      </c>
      <c r="L24" s="138" t="s">
        <v>329</v>
      </c>
      <c r="M24" s="139"/>
      <c r="O24" s="134">
        <f t="shared" si="0"/>
        <v>1.72</v>
      </c>
      <c r="P24" s="134"/>
      <c r="Q24" s="119" t="s">
        <v>330</v>
      </c>
      <c r="R24" s="140">
        <f>D102+D104+D105+D106+D107+D108</f>
        <v>26.3</v>
      </c>
      <c r="T24" s="140">
        <f>R24</f>
        <v>26.3</v>
      </c>
    </row>
    <row r="25" spans="1:20" ht="17.149999999999999" customHeight="1" x14ac:dyDescent="0.35">
      <c r="A25" s="116">
        <v>16</v>
      </c>
      <c r="B25" s="135">
        <v>12</v>
      </c>
      <c r="C25" s="136" t="s">
        <v>222</v>
      </c>
      <c r="D25" s="137">
        <f>+F25+G25+I25+H25</f>
        <v>1.62</v>
      </c>
      <c r="E25" s="137">
        <f>'[1]road inventory 2018'!C25</f>
        <v>1.6</v>
      </c>
      <c r="F25" s="137">
        <v>0</v>
      </c>
      <c r="G25" s="137">
        <v>0</v>
      </c>
      <c r="H25" s="137">
        <v>0</v>
      </c>
      <c r="I25" s="137">
        <v>1.62</v>
      </c>
      <c r="J25" s="137">
        <v>0</v>
      </c>
      <c r="K25" s="141" t="s">
        <v>207</v>
      </c>
      <c r="L25" s="138" t="s">
        <v>331</v>
      </c>
      <c r="M25" s="139"/>
      <c r="O25" s="134">
        <f t="shared" si="0"/>
        <v>1.62</v>
      </c>
      <c r="P25" s="134"/>
      <c r="Q25" s="119" t="s">
        <v>332</v>
      </c>
      <c r="R25" s="140">
        <f>D119+D120+D121+D122+D123+D124+D125+D126+D127+D130+D131+D132+D133+D134+D135+D136+D137+D138+D139+D140+D143+D146+D147+D148+D149+D151+D152</f>
        <v>107.48000000000003</v>
      </c>
      <c r="T25" s="140">
        <f t="shared" ref="T25:T30" si="1">R25</f>
        <v>107.48000000000003</v>
      </c>
    </row>
    <row r="26" spans="1:20" ht="17.149999999999999" customHeight="1" x14ac:dyDescent="0.35">
      <c r="A26" s="116">
        <v>17</v>
      </c>
      <c r="B26" s="135">
        <v>220</v>
      </c>
      <c r="C26" s="136" t="s">
        <v>221</v>
      </c>
      <c r="D26" s="137">
        <f>SUM(F26:J26)</f>
        <v>2.11</v>
      </c>
      <c r="E26" s="137">
        <f>'[1]road inventory 2018'!C26</f>
        <v>2.2999999999999998</v>
      </c>
      <c r="F26" s="137">
        <v>0</v>
      </c>
      <c r="G26" s="137">
        <v>0</v>
      </c>
      <c r="H26" s="137">
        <v>0</v>
      </c>
      <c r="I26" s="137">
        <v>2.11</v>
      </c>
      <c r="J26" s="137">
        <v>0</v>
      </c>
      <c r="K26" s="141" t="s">
        <v>207</v>
      </c>
      <c r="L26" s="138" t="s">
        <v>333</v>
      </c>
      <c r="M26" s="139"/>
      <c r="O26" s="134">
        <f t="shared" si="0"/>
        <v>2.11</v>
      </c>
      <c r="P26" s="134"/>
      <c r="Q26" s="119" t="s">
        <v>188</v>
      </c>
      <c r="R26" s="140">
        <f>D161+D162+D163+D169+D171</f>
        <v>10.66</v>
      </c>
      <c r="T26" s="140">
        <f t="shared" si="1"/>
        <v>10.66</v>
      </c>
    </row>
    <row r="27" spans="1:20" ht="17.149999999999999" customHeight="1" x14ac:dyDescent="0.35">
      <c r="A27" s="116">
        <v>18</v>
      </c>
      <c r="B27" s="135">
        <v>14</v>
      </c>
      <c r="C27" s="136" t="s">
        <v>215</v>
      </c>
      <c r="D27" s="137">
        <f>SUM(F27:J27)</f>
        <v>4.12</v>
      </c>
      <c r="E27" s="137">
        <f>'[1]road inventory 2018'!C27</f>
        <v>4</v>
      </c>
      <c r="F27" s="137">
        <v>4.12</v>
      </c>
      <c r="G27" s="137">
        <v>0</v>
      </c>
      <c r="H27" s="137">
        <v>0</v>
      </c>
      <c r="I27" s="137">
        <v>0</v>
      </c>
      <c r="J27" s="137">
        <v>0</v>
      </c>
      <c r="K27" s="141" t="s">
        <v>206</v>
      </c>
      <c r="L27" s="138" t="s">
        <v>327</v>
      </c>
      <c r="M27" s="139"/>
      <c r="O27" s="134">
        <f t="shared" si="0"/>
        <v>4.12</v>
      </c>
      <c r="P27" s="134"/>
      <c r="Q27" s="119" t="s">
        <v>189</v>
      </c>
      <c r="R27" s="140">
        <f>D182+D183</f>
        <v>18.489999999999998</v>
      </c>
      <c r="T27" s="140">
        <f t="shared" si="1"/>
        <v>18.489999999999998</v>
      </c>
    </row>
    <row r="28" spans="1:20" ht="17.149999999999999" customHeight="1" x14ac:dyDescent="0.35">
      <c r="A28" s="116">
        <v>19</v>
      </c>
      <c r="B28" s="135">
        <v>15</v>
      </c>
      <c r="C28" s="136" t="s">
        <v>334</v>
      </c>
      <c r="D28" s="137">
        <v>0</v>
      </c>
      <c r="E28" s="137">
        <v>0</v>
      </c>
      <c r="F28" s="137">
        <v>0</v>
      </c>
      <c r="G28" s="137">
        <v>0</v>
      </c>
      <c r="H28" s="137">
        <v>0</v>
      </c>
      <c r="I28" s="137">
        <v>0</v>
      </c>
      <c r="J28" s="137">
        <v>0</v>
      </c>
      <c r="K28" s="141" t="s">
        <v>33</v>
      </c>
      <c r="L28" s="138" t="s">
        <v>335</v>
      </c>
      <c r="M28" s="139" t="s">
        <v>336</v>
      </c>
      <c r="O28" s="134">
        <f t="shared" si="0"/>
        <v>0</v>
      </c>
      <c r="P28" s="134"/>
      <c r="Q28" s="119" t="s">
        <v>191</v>
      </c>
      <c r="R28" s="140">
        <f>D193+D194+D197+D199+D200+D201+D204+D203+D207+D208+D209+D210+D211</f>
        <v>108.29</v>
      </c>
      <c r="T28" s="140">
        <f t="shared" si="1"/>
        <v>108.29</v>
      </c>
    </row>
    <row r="29" spans="1:20" ht="17.149999999999999" customHeight="1" x14ac:dyDescent="0.35">
      <c r="A29" s="116">
        <v>20</v>
      </c>
      <c r="B29" s="135">
        <v>16</v>
      </c>
      <c r="C29" s="136" t="s">
        <v>25</v>
      </c>
      <c r="D29" s="137">
        <f>SUM(F29:J29)</f>
        <v>1.05</v>
      </c>
      <c r="E29" s="137">
        <f>'[1]road inventory 2018'!C29</f>
        <v>1</v>
      </c>
      <c r="F29" s="137">
        <v>0</v>
      </c>
      <c r="G29" s="137">
        <v>0</v>
      </c>
      <c r="H29" s="137">
        <v>0</v>
      </c>
      <c r="I29" s="137">
        <v>1.05</v>
      </c>
      <c r="J29" s="137">
        <v>0</v>
      </c>
      <c r="K29" s="141" t="s">
        <v>206</v>
      </c>
      <c r="L29" s="138" t="s">
        <v>337</v>
      </c>
      <c r="M29" s="139"/>
      <c r="O29" s="134">
        <f t="shared" si="0"/>
        <v>1.05</v>
      </c>
      <c r="P29" s="134"/>
      <c r="Q29" s="119" t="s">
        <v>338</v>
      </c>
      <c r="R29" s="140">
        <f>D223+D224+D226+D227+D229+D230</f>
        <v>77.27</v>
      </c>
      <c r="T29" s="140">
        <f t="shared" si="1"/>
        <v>77.27</v>
      </c>
    </row>
    <row r="30" spans="1:20" ht="17.149999999999999" customHeight="1" x14ac:dyDescent="0.35">
      <c r="A30" s="116">
        <v>21</v>
      </c>
      <c r="B30" s="135">
        <v>17</v>
      </c>
      <c r="C30" s="136" t="s">
        <v>216</v>
      </c>
      <c r="D30" s="137">
        <f>SUM(F30:J30)</f>
        <v>4.18</v>
      </c>
      <c r="E30" s="137">
        <f>'[1]road inventory 2018'!C30</f>
        <v>4</v>
      </c>
      <c r="F30" s="137">
        <v>4.18</v>
      </c>
      <c r="G30" s="137">
        <v>0</v>
      </c>
      <c r="H30" s="137">
        <v>0</v>
      </c>
      <c r="I30" s="137">
        <v>0</v>
      </c>
      <c r="J30" s="137">
        <v>0</v>
      </c>
      <c r="K30" s="141" t="s">
        <v>209</v>
      </c>
      <c r="L30" s="138" t="s">
        <v>339</v>
      </c>
      <c r="M30" s="139"/>
      <c r="O30" s="134">
        <f t="shared" si="0"/>
        <v>4.18</v>
      </c>
      <c r="P30" s="134"/>
      <c r="Q30" s="119" t="s">
        <v>193</v>
      </c>
      <c r="R30" s="140">
        <f>D238+D239+D240+D241+D243+D244+D245</f>
        <v>88.470000000000013</v>
      </c>
      <c r="T30" s="140">
        <f t="shared" si="1"/>
        <v>88.470000000000013</v>
      </c>
    </row>
    <row r="31" spans="1:20" ht="16.149999999999999" customHeight="1" x14ac:dyDescent="0.35">
      <c r="A31" s="116">
        <v>22</v>
      </c>
      <c r="B31" s="135">
        <v>18</v>
      </c>
      <c r="C31" s="136" t="s">
        <v>27</v>
      </c>
      <c r="D31" s="137">
        <f>+F31+G31+I31+H31</f>
        <v>10.52</v>
      </c>
      <c r="E31" s="137">
        <f>'[1]road inventory 2018'!C31</f>
        <v>10.5</v>
      </c>
      <c r="F31" s="137">
        <f>4.2+3.15+0.2+0.88+0.6</f>
        <v>9.0299999999999994</v>
      </c>
      <c r="G31" s="137">
        <v>0</v>
      </c>
      <c r="H31" s="137">
        <v>0</v>
      </c>
      <c r="I31" s="137">
        <v>1.49</v>
      </c>
      <c r="J31" s="137">
        <v>0</v>
      </c>
      <c r="K31" s="141" t="s">
        <v>206</v>
      </c>
      <c r="L31" s="138" t="s">
        <v>335</v>
      </c>
      <c r="M31" s="139"/>
      <c r="O31" s="134">
        <f t="shared" si="0"/>
        <v>10.52</v>
      </c>
      <c r="P31" s="134"/>
      <c r="Q31" s="119" t="s">
        <v>194</v>
      </c>
      <c r="R31" s="140">
        <f>D255+D257</f>
        <v>9.09</v>
      </c>
      <c r="T31" s="140">
        <f>R31</f>
        <v>9.09</v>
      </c>
    </row>
    <row r="32" spans="1:20" ht="27" customHeight="1" x14ac:dyDescent="0.35">
      <c r="A32" s="116">
        <v>23</v>
      </c>
      <c r="B32" s="135">
        <v>221</v>
      </c>
      <c r="C32" s="136" t="s">
        <v>219</v>
      </c>
      <c r="D32" s="137">
        <f>+F32+G32+I32+H32</f>
        <v>4.5299999999999994</v>
      </c>
      <c r="E32" s="137">
        <f>'[1]road inventory 2018'!C32</f>
        <v>5.2</v>
      </c>
      <c r="F32" s="137">
        <v>1.17</v>
      </c>
      <c r="G32" s="137">
        <v>0</v>
      </c>
      <c r="H32" s="137">
        <v>0</v>
      </c>
      <c r="I32" s="137">
        <v>3.36</v>
      </c>
      <c r="J32" s="137">
        <v>0</v>
      </c>
      <c r="K32" s="141" t="s">
        <v>206</v>
      </c>
      <c r="L32" s="138" t="s">
        <v>340</v>
      </c>
      <c r="M32" s="139"/>
      <c r="O32" s="134">
        <f t="shared" si="0"/>
        <v>4.5299999999999994</v>
      </c>
      <c r="P32" s="134"/>
      <c r="Q32" s="119" t="s">
        <v>195</v>
      </c>
      <c r="R32" s="140">
        <f>D266+D267+D268+D272+D273+D276+D277+D281+D282</f>
        <v>65.27000000000001</v>
      </c>
      <c r="T32" s="140">
        <f>R32</f>
        <v>65.27000000000001</v>
      </c>
    </row>
    <row r="33" spans="1:20" ht="15" customHeight="1" x14ac:dyDescent="0.35">
      <c r="A33" s="116">
        <v>24</v>
      </c>
      <c r="B33" s="135">
        <v>20</v>
      </c>
      <c r="C33" s="136" t="s">
        <v>208</v>
      </c>
      <c r="D33" s="137">
        <f>+F33+G33+I33+H33+J33</f>
        <v>7.63</v>
      </c>
      <c r="E33" s="137">
        <f>'[1]road inventory 2018'!C33</f>
        <v>7.6</v>
      </c>
      <c r="F33" s="137">
        <v>1.9</v>
      </c>
      <c r="G33" s="137">
        <v>0</v>
      </c>
      <c r="H33" s="137">
        <v>0</v>
      </c>
      <c r="I33" s="137">
        <v>1.2</v>
      </c>
      <c r="J33" s="137">
        <v>4.53</v>
      </c>
      <c r="K33" s="141" t="s">
        <v>210</v>
      </c>
      <c r="L33" s="138"/>
      <c r="M33" s="139"/>
      <c r="O33" s="134">
        <f t="shared" si="0"/>
        <v>7.63</v>
      </c>
      <c r="P33" s="134"/>
      <c r="Q33" s="119" t="s">
        <v>196</v>
      </c>
      <c r="R33" s="140">
        <f>D292+D297+D298</f>
        <v>10.1</v>
      </c>
      <c r="T33" s="116">
        <v>0</v>
      </c>
    </row>
    <row r="34" spans="1:20" ht="15" customHeight="1" x14ac:dyDescent="0.35">
      <c r="B34" s="135"/>
      <c r="C34" s="136"/>
      <c r="D34" s="137">
        <f>SUM(D10:D33)</f>
        <v>95.389999999999972</v>
      </c>
      <c r="E34" s="137">
        <f>SUM(E10:E33)</f>
        <v>95.350000000000009</v>
      </c>
      <c r="F34" s="137">
        <f>SUM(F10:F33)</f>
        <v>58.249999999999993</v>
      </c>
      <c r="G34" s="137">
        <f>G32+G31+G30+G29+G27+G26+G24+G23+G22+G21+G20+G19+G17+G16+G13+G11+G10</f>
        <v>0</v>
      </c>
      <c r="H34" s="137">
        <f>H32+H31+H30+H29+H27+H26+H24+H23+H22+H21+H20+H19+H17+H16+H13+H11+H10</f>
        <v>0</v>
      </c>
      <c r="I34" s="137">
        <f>SUM(I10:I33)</f>
        <v>32.61</v>
      </c>
      <c r="J34" s="137">
        <f>J32+J31+J30+J29+J27+J26+J24+J23+J22+J21+J20+J19+J17+J16+J13+J11+J10</f>
        <v>0</v>
      </c>
      <c r="K34" s="141"/>
      <c r="L34" s="138"/>
      <c r="M34" s="139"/>
      <c r="P34" s="134">
        <f>SUM(O10:O33)</f>
        <v>95.389999999999972</v>
      </c>
      <c r="Q34" s="119" t="s">
        <v>197</v>
      </c>
      <c r="R34" s="140">
        <f>D309+D310+D312+D313+D315</f>
        <v>27.061999999999998</v>
      </c>
      <c r="T34" s="140">
        <f>D310+D312+D313+D315</f>
        <v>14.362</v>
      </c>
    </row>
    <row r="35" spans="1:20" s="144" customFormat="1" ht="22.5" customHeight="1" thickBot="1" x14ac:dyDescent="0.4">
      <c r="B35" s="145" t="s">
        <v>341</v>
      </c>
      <c r="C35" s="146"/>
      <c r="D35" s="147">
        <f>F35+G35+H35+I35+J35</f>
        <v>95.389999999999986</v>
      </c>
      <c r="E35" s="147"/>
      <c r="F35" s="147">
        <f>SUM(F10:F33)</f>
        <v>58.249999999999993</v>
      </c>
      <c r="G35" s="147">
        <f>SUM(G10:G33)</f>
        <v>0</v>
      </c>
      <c r="H35" s="147">
        <f>SUM(H10:H33)</f>
        <v>0</v>
      </c>
      <c r="I35" s="147">
        <f>SUM(I10:I33)</f>
        <v>32.61</v>
      </c>
      <c r="J35" s="147">
        <f>SUM(J10:J33)</f>
        <v>4.53</v>
      </c>
      <c r="K35" s="148"/>
      <c r="L35" s="146"/>
      <c r="M35" s="149"/>
      <c r="N35" s="150"/>
      <c r="O35" s="150"/>
      <c r="P35" s="150"/>
      <c r="Q35" s="151" t="s">
        <v>198</v>
      </c>
      <c r="R35" s="152">
        <f>D327+D328+D329+D330+D338+D339</f>
        <v>10.64</v>
      </c>
      <c r="T35" s="152">
        <f>D327+D328+D329+D330+D339</f>
        <v>9.84</v>
      </c>
    </row>
    <row r="36" spans="1:20" s="113" customFormat="1" x14ac:dyDescent="0.35">
      <c r="B36" s="153"/>
      <c r="C36" s="154"/>
      <c r="D36" s="155"/>
      <c r="E36" s="155"/>
      <c r="F36" s="155"/>
      <c r="G36" s="155"/>
      <c r="H36" s="155"/>
      <c r="I36" s="155"/>
      <c r="J36" s="155"/>
      <c r="K36" s="156"/>
      <c r="L36" s="154"/>
      <c r="M36" s="154"/>
      <c r="N36" s="125"/>
      <c r="O36" s="125"/>
      <c r="P36" s="125"/>
      <c r="Q36" s="115" t="s">
        <v>199</v>
      </c>
      <c r="R36" s="126">
        <f>D347+D348</f>
        <v>7.25</v>
      </c>
      <c r="T36" s="113">
        <v>0</v>
      </c>
    </row>
    <row r="37" spans="1:20" s="113" customFormat="1" x14ac:dyDescent="0.35">
      <c r="B37" s="114"/>
      <c r="C37" s="125"/>
      <c r="D37" s="126"/>
      <c r="E37" s="126"/>
      <c r="F37" s="126"/>
      <c r="G37" s="126"/>
      <c r="H37" s="126"/>
      <c r="I37" s="126"/>
      <c r="J37" s="126"/>
      <c r="L37" s="125"/>
      <c r="M37" s="125"/>
      <c r="N37" s="125"/>
      <c r="O37" s="125"/>
      <c r="P37" s="125"/>
      <c r="Q37" s="115"/>
      <c r="R37" s="126"/>
    </row>
    <row r="38" spans="1:20" s="113" customFormat="1" ht="18.5" thickBot="1" x14ac:dyDescent="0.4">
      <c r="B38" s="120"/>
      <c r="C38" s="124"/>
      <c r="D38" s="157"/>
      <c r="E38" s="157"/>
      <c r="F38" s="157"/>
      <c r="G38" s="157"/>
      <c r="H38" s="157"/>
      <c r="I38" s="157"/>
      <c r="J38" s="157"/>
      <c r="K38" s="158"/>
      <c r="L38" s="124"/>
      <c r="M38" s="124"/>
      <c r="N38" s="125"/>
      <c r="O38" s="125"/>
      <c r="P38" s="125"/>
      <c r="Q38" s="115"/>
      <c r="R38" s="126"/>
    </row>
    <row r="39" spans="1:20" s="113" customFormat="1" ht="18.5" thickBot="1" x14ac:dyDescent="0.4">
      <c r="B39" s="1156" t="s">
        <v>342</v>
      </c>
      <c r="C39" s="1157"/>
      <c r="D39" s="1157"/>
      <c r="E39" s="1157"/>
      <c r="F39" s="1157"/>
      <c r="G39" s="1157"/>
      <c r="H39" s="1157"/>
      <c r="I39" s="1157"/>
      <c r="J39" s="1157"/>
      <c r="K39" s="1157"/>
      <c r="L39" s="1157"/>
      <c r="M39" s="1158"/>
      <c r="Q39" s="115" t="s">
        <v>200</v>
      </c>
      <c r="R39" s="126">
        <f>D357+D359+D360+D361+D362+D365+D366+D367+D369</f>
        <v>79.644999999999996</v>
      </c>
      <c r="T39" s="126">
        <f>D357+D359+D360+D361+D362+D366+D367+D369</f>
        <v>77.224999999999994</v>
      </c>
    </row>
    <row r="40" spans="1:20" s="113" customFormat="1" ht="18.5" thickBot="1" x14ac:dyDescent="0.4">
      <c r="B40" s="159"/>
      <c r="C40" s="160"/>
      <c r="D40" s="161"/>
      <c r="E40" s="161"/>
      <c r="F40" s="161"/>
      <c r="G40" s="161"/>
      <c r="H40" s="161"/>
      <c r="I40" s="161"/>
      <c r="J40" s="161"/>
      <c r="K40" s="162"/>
      <c r="L40" s="163"/>
      <c r="M40" s="163"/>
      <c r="N40" s="125"/>
      <c r="O40" s="125"/>
      <c r="P40" s="125"/>
      <c r="Q40" s="115" t="s">
        <v>201</v>
      </c>
      <c r="R40" s="164">
        <f>D379+D380+D382+D383</f>
        <v>34.027999999999999</v>
      </c>
      <c r="T40" s="164">
        <f>D379+D380</f>
        <v>13.027999999999999</v>
      </c>
    </row>
    <row r="41" spans="1:20" s="113" customFormat="1" ht="21" customHeight="1" x14ac:dyDescent="0.35">
      <c r="B41" s="1159" t="s">
        <v>302</v>
      </c>
      <c r="C41" s="1161" t="s">
        <v>28</v>
      </c>
      <c r="D41" s="1163" t="s">
        <v>343</v>
      </c>
      <c r="E41" s="165"/>
      <c r="F41" s="1165" t="s">
        <v>305</v>
      </c>
      <c r="G41" s="1166"/>
      <c r="H41" s="1166"/>
      <c r="I41" s="1166"/>
      <c r="J41" s="1167"/>
      <c r="K41" s="1161" t="s">
        <v>29</v>
      </c>
      <c r="L41" s="1168" t="s">
        <v>306</v>
      </c>
      <c r="M41" s="1174" t="s">
        <v>307</v>
      </c>
      <c r="N41" s="125"/>
      <c r="O41" s="125"/>
      <c r="P41" s="125"/>
      <c r="Q41" s="115" t="s">
        <v>202</v>
      </c>
      <c r="R41" s="164">
        <f>D392+D393+D394+D398</f>
        <v>20.704000000000001</v>
      </c>
      <c r="T41" s="164">
        <f>D392+D393+D394+D398</f>
        <v>20.704000000000001</v>
      </c>
    </row>
    <row r="42" spans="1:20" s="113" customFormat="1" ht="21" customHeight="1" thickBot="1" x14ac:dyDescent="0.4">
      <c r="B42" s="1160"/>
      <c r="C42" s="1162"/>
      <c r="D42" s="1164"/>
      <c r="E42" s="166"/>
      <c r="F42" s="127" t="s">
        <v>308</v>
      </c>
      <c r="G42" s="127" t="s">
        <v>309</v>
      </c>
      <c r="H42" s="127" t="s">
        <v>310</v>
      </c>
      <c r="I42" s="127" t="s">
        <v>311</v>
      </c>
      <c r="J42" s="127" t="s">
        <v>312</v>
      </c>
      <c r="K42" s="1162"/>
      <c r="L42" s="1169"/>
      <c r="M42" s="1175"/>
      <c r="N42" s="125"/>
      <c r="O42" s="125"/>
      <c r="P42" s="125"/>
      <c r="Q42" s="115" t="s">
        <v>344</v>
      </c>
      <c r="R42" s="126">
        <f>D405</f>
        <v>8.7409999999999997</v>
      </c>
      <c r="T42" s="113">
        <v>0</v>
      </c>
    </row>
    <row r="43" spans="1:20" s="113" customFormat="1" ht="16.5" customHeight="1" x14ac:dyDescent="0.35">
      <c r="A43" s="113">
        <v>1</v>
      </c>
      <c r="B43" s="128">
        <v>21</v>
      </c>
      <c r="C43" s="132" t="s">
        <v>241</v>
      </c>
      <c r="D43" s="130">
        <f>+F43+G43+I43</f>
        <v>4.32</v>
      </c>
      <c r="E43" s="130">
        <f>'[1]road inventory 2018'!C41</f>
        <v>4.3</v>
      </c>
      <c r="F43" s="130">
        <v>4.32</v>
      </c>
      <c r="G43" s="130">
        <v>0</v>
      </c>
      <c r="H43" s="130">
        <v>0</v>
      </c>
      <c r="I43" s="130">
        <v>0</v>
      </c>
      <c r="J43" s="130">
        <v>0</v>
      </c>
      <c r="K43" s="131" t="s">
        <v>209</v>
      </c>
      <c r="L43" s="132" t="s">
        <v>345</v>
      </c>
      <c r="M43" s="133"/>
      <c r="N43" s="118"/>
      <c r="O43" s="134">
        <f>D43</f>
        <v>4.32</v>
      </c>
      <c r="P43" s="134"/>
      <c r="Q43" s="167" t="str">
        <f>Q19</f>
        <v>GOOD TO FAIR (TOTAL LENGTH)</v>
      </c>
      <c r="R43" s="126">
        <f>SUM(R20:R42)</f>
        <v>894.50000000000011</v>
      </c>
      <c r="S43" s="126">
        <f>D410-R43</f>
        <v>352.41499999999985</v>
      </c>
      <c r="T43" s="126">
        <f>SUM(T20:T42)</f>
        <v>831.48900000000015</v>
      </c>
    </row>
    <row r="44" spans="1:20" s="113" customFormat="1" ht="16.5" customHeight="1" x14ac:dyDescent="0.35">
      <c r="A44" s="113">
        <v>2</v>
      </c>
      <c r="B44" s="135">
        <v>22</v>
      </c>
      <c r="C44" s="138" t="s">
        <v>225</v>
      </c>
      <c r="D44" s="137">
        <f>+F44+G44+I44</f>
        <v>4.01</v>
      </c>
      <c r="E44" s="137">
        <f>'[1]road inventory 2018'!C42</f>
        <v>3.9</v>
      </c>
      <c r="F44" s="137">
        <v>0</v>
      </c>
      <c r="G44" s="137">
        <v>0</v>
      </c>
      <c r="H44" s="137">
        <v>0</v>
      </c>
      <c r="I44" s="137">
        <v>4.01</v>
      </c>
      <c r="J44" s="137">
        <v>0</v>
      </c>
      <c r="K44" s="141" t="s">
        <v>207</v>
      </c>
      <c r="L44" s="138" t="s">
        <v>346</v>
      </c>
      <c r="M44" s="139"/>
      <c r="N44" s="118"/>
      <c r="O44" s="134">
        <f t="shared" ref="O44:O69" si="2">D44</f>
        <v>4.01</v>
      </c>
      <c r="P44" s="134"/>
      <c r="Q44" s="115"/>
    </row>
    <row r="45" spans="1:20" s="113" customFormat="1" ht="16.5" customHeight="1" x14ac:dyDescent="0.35">
      <c r="A45" s="113">
        <v>3</v>
      </c>
      <c r="B45" s="135">
        <v>23</v>
      </c>
      <c r="C45" s="138" t="s">
        <v>237</v>
      </c>
      <c r="D45" s="137">
        <f>+F45+G45+I45</f>
        <v>4.42</v>
      </c>
      <c r="E45" s="137">
        <f>'[1]road inventory 2018'!C43</f>
        <v>4.3</v>
      </c>
      <c r="F45" s="137">
        <v>2.9</v>
      </c>
      <c r="G45" s="137">
        <v>0</v>
      </c>
      <c r="H45" s="137">
        <v>0</v>
      </c>
      <c r="I45" s="137">
        <v>1.52</v>
      </c>
      <c r="J45" s="137">
        <v>0</v>
      </c>
      <c r="K45" s="141" t="s">
        <v>206</v>
      </c>
      <c r="L45" s="138" t="s">
        <v>347</v>
      </c>
      <c r="M45" s="139"/>
      <c r="N45" s="118"/>
      <c r="O45" s="134">
        <f t="shared" si="2"/>
        <v>4.42</v>
      </c>
      <c r="P45" s="134"/>
      <c r="Q45" s="115"/>
    </row>
    <row r="46" spans="1:20" s="113" customFormat="1" ht="16.5" customHeight="1" x14ac:dyDescent="0.35">
      <c r="A46" s="113">
        <v>4</v>
      </c>
      <c r="B46" s="135">
        <v>24</v>
      </c>
      <c r="C46" s="138" t="s">
        <v>236</v>
      </c>
      <c r="D46" s="137">
        <f>+F46+G46+I46</f>
        <v>8.25</v>
      </c>
      <c r="E46" s="137">
        <f>'[1]road inventory 2018'!C44</f>
        <v>7.5</v>
      </c>
      <c r="F46" s="137">
        <v>8.25</v>
      </c>
      <c r="G46" s="137">
        <v>0</v>
      </c>
      <c r="H46" s="137">
        <v>0</v>
      </c>
      <c r="I46" s="137">
        <v>0</v>
      </c>
      <c r="J46" s="137">
        <v>0</v>
      </c>
      <c r="K46" s="141" t="s">
        <v>206</v>
      </c>
      <c r="L46" s="138" t="s">
        <v>347</v>
      </c>
      <c r="M46" s="139"/>
      <c r="N46" s="118"/>
      <c r="O46" s="134">
        <f t="shared" si="2"/>
        <v>8.25</v>
      </c>
      <c r="P46" s="134"/>
      <c r="Q46" s="115"/>
    </row>
    <row r="47" spans="1:20" s="113" customFormat="1" ht="16.5" customHeight="1" x14ac:dyDescent="0.35">
      <c r="A47" s="113">
        <v>5</v>
      </c>
      <c r="B47" s="135">
        <v>25</v>
      </c>
      <c r="C47" s="138" t="s">
        <v>30</v>
      </c>
      <c r="D47" s="137">
        <f>+F47+G47+I47</f>
        <v>0.88</v>
      </c>
      <c r="E47" s="137">
        <f>'[1]road inventory 2018'!C45</f>
        <v>1.7</v>
      </c>
      <c r="F47" s="137">
        <v>0</v>
      </c>
      <c r="G47" s="137">
        <v>0</v>
      </c>
      <c r="H47" s="137">
        <v>0</v>
      </c>
      <c r="I47" s="137">
        <v>0.88</v>
      </c>
      <c r="J47" s="137">
        <v>0</v>
      </c>
      <c r="K47" s="141" t="s">
        <v>206</v>
      </c>
      <c r="L47" s="138" t="s">
        <v>348</v>
      </c>
      <c r="M47" s="139"/>
      <c r="N47" s="118"/>
      <c r="O47" s="134">
        <f t="shared" si="2"/>
        <v>0.88</v>
      </c>
      <c r="P47" s="134"/>
      <c r="Q47" s="115" t="s">
        <v>349</v>
      </c>
    </row>
    <row r="48" spans="1:20" s="113" customFormat="1" ht="16.5" customHeight="1" x14ac:dyDescent="0.35">
      <c r="A48" s="113">
        <v>6</v>
      </c>
      <c r="B48" s="135">
        <v>26</v>
      </c>
      <c r="C48" s="138" t="s">
        <v>350</v>
      </c>
      <c r="D48" s="137">
        <f t="shared" ref="D48:D69" si="3">+F48+G48+I48+H48</f>
        <v>6.0600000000000005</v>
      </c>
      <c r="E48" s="137">
        <f>'[1]road inventory 2018'!C46</f>
        <v>5.9</v>
      </c>
      <c r="F48" s="137">
        <f>1+2.81</f>
        <v>3.81</v>
      </c>
      <c r="G48" s="137">
        <v>0</v>
      </c>
      <c r="H48" s="137">
        <v>0</v>
      </c>
      <c r="I48" s="137">
        <v>2.25</v>
      </c>
      <c r="J48" s="137">
        <v>0</v>
      </c>
      <c r="K48" s="138" t="s">
        <v>209</v>
      </c>
      <c r="L48" s="138" t="s">
        <v>348</v>
      </c>
      <c r="M48" s="139"/>
      <c r="N48" s="118"/>
      <c r="O48" s="134">
        <f t="shared" si="2"/>
        <v>6.0600000000000005</v>
      </c>
      <c r="P48" s="134"/>
      <c r="Q48" s="115"/>
    </row>
    <row r="49" spans="1:17" s="113" customFormat="1" ht="16.5" customHeight="1" x14ac:dyDescent="0.35">
      <c r="A49" s="113">
        <v>7</v>
      </c>
      <c r="B49" s="135">
        <v>27</v>
      </c>
      <c r="C49" s="138" t="s">
        <v>224</v>
      </c>
      <c r="D49" s="137">
        <f t="shared" si="3"/>
        <v>1.93</v>
      </c>
      <c r="E49" s="137">
        <f>'[1]road inventory 2018'!C47</f>
        <v>1.9</v>
      </c>
      <c r="F49" s="137">
        <v>0.28000000000000003</v>
      </c>
      <c r="G49" s="137">
        <v>0</v>
      </c>
      <c r="H49" s="137">
        <v>0</v>
      </c>
      <c r="I49" s="137">
        <v>1.65</v>
      </c>
      <c r="J49" s="137">
        <v>0</v>
      </c>
      <c r="K49" s="141" t="s">
        <v>206</v>
      </c>
      <c r="L49" s="138" t="s">
        <v>351</v>
      </c>
      <c r="M49" s="139"/>
      <c r="N49" s="118"/>
      <c r="O49" s="134">
        <f t="shared" si="2"/>
        <v>1.93</v>
      </c>
      <c r="P49" s="134"/>
      <c r="Q49" s="115"/>
    </row>
    <row r="50" spans="1:17" s="113" customFormat="1" ht="16.5" customHeight="1" x14ac:dyDescent="0.35">
      <c r="A50" s="113">
        <v>8</v>
      </c>
      <c r="B50" s="135">
        <v>28</v>
      </c>
      <c r="C50" s="138" t="s">
        <v>233</v>
      </c>
      <c r="D50" s="137">
        <f t="shared" si="3"/>
        <v>5.62</v>
      </c>
      <c r="E50" s="137">
        <f>'[1]road inventory 2018'!C48</f>
        <v>5.6</v>
      </c>
      <c r="F50" s="137">
        <v>1.55</v>
      </c>
      <c r="G50" s="137">
        <v>0</v>
      </c>
      <c r="H50" s="137">
        <v>0</v>
      </c>
      <c r="I50" s="137">
        <v>4.07</v>
      </c>
      <c r="J50" s="137">
        <v>0</v>
      </c>
      <c r="K50" s="141" t="s">
        <v>207</v>
      </c>
      <c r="L50" s="138" t="s">
        <v>352</v>
      </c>
      <c r="M50" s="139"/>
      <c r="N50" s="118"/>
      <c r="O50" s="134">
        <f t="shared" si="2"/>
        <v>5.62</v>
      </c>
      <c r="P50" s="134"/>
      <c r="Q50" s="115"/>
    </row>
    <row r="51" spans="1:17" s="113" customFormat="1" ht="16.5" customHeight="1" x14ac:dyDescent="0.35">
      <c r="A51" s="113">
        <v>9</v>
      </c>
      <c r="B51" s="135">
        <v>29</v>
      </c>
      <c r="C51" s="138" t="s">
        <v>239</v>
      </c>
      <c r="D51" s="137">
        <f t="shared" si="3"/>
        <v>0.86</v>
      </c>
      <c r="E51" s="137">
        <f>'[1]road inventory 2018'!C49</f>
        <v>0.8</v>
      </c>
      <c r="F51" s="137">
        <v>0.86</v>
      </c>
      <c r="G51" s="137">
        <v>0</v>
      </c>
      <c r="H51" s="137">
        <v>0</v>
      </c>
      <c r="I51" s="137">
        <v>0</v>
      </c>
      <c r="J51" s="137">
        <v>0</v>
      </c>
      <c r="K51" s="141" t="s">
        <v>206</v>
      </c>
      <c r="L51" s="138" t="s">
        <v>353</v>
      </c>
      <c r="M51" s="139"/>
      <c r="N51" s="118"/>
      <c r="O51" s="134">
        <f t="shared" si="2"/>
        <v>0.86</v>
      </c>
      <c r="P51" s="134"/>
      <c r="Q51" s="115"/>
    </row>
    <row r="52" spans="1:17" s="113" customFormat="1" ht="16.5" customHeight="1" x14ac:dyDescent="0.35">
      <c r="A52" s="113">
        <v>10</v>
      </c>
      <c r="B52" s="135">
        <v>30</v>
      </c>
      <c r="C52" s="138" t="s">
        <v>354</v>
      </c>
      <c r="D52" s="137">
        <v>0</v>
      </c>
      <c r="E52" s="137">
        <f>'[1]road inventory 2018'!C50</f>
        <v>2</v>
      </c>
      <c r="F52" s="137">
        <v>0</v>
      </c>
      <c r="G52" s="137">
        <v>0</v>
      </c>
      <c r="H52" s="137">
        <v>0</v>
      </c>
      <c r="I52" s="137">
        <v>0</v>
      </c>
      <c r="J52" s="137">
        <v>0</v>
      </c>
      <c r="K52" s="141" t="s">
        <v>10</v>
      </c>
      <c r="L52" s="138" t="s">
        <v>355</v>
      </c>
      <c r="M52" s="139" t="s">
        <v>356</v>
      </c>
      <c r="N52" s="118"/>
      <c r="O52" s="134">
        <f t="shared" si="2"/>
        <v>0</v>
      </c>
      <c r="P52" s="134"/>
      <c r="Q52" s="115" t="s">
        <v>357</v>
      </c>
    </row>
    <row r="53" spans="1:17" s="113" customFormat="1" ht="16.5" customHeight="1" x14ac:dyDescent="0.35">
      <c r="A53" s="113">
        <v>11</v>
      </c>
      <c r="B53" s="135">
        <v>106</v>
      </c>
      <c r="C53" s="138" t="s">
        <v>238</v>
      </c>
      <c r="D53" s="137">
        <f t="shared" si="3"/>
        <v>3.21</v>
      </c>
      <c r="E53" s="137">
        <f>'[1]road inventory 2018'!C51</f>
        <v>3.2</v>
      </c>
      <c r="F53" s="137">
        <v>3.21</v>
      </c>
      <c r="G53" s="137">
        <v>0</v>
      </c>
      <c r="H53" s="137">
        <v>0</v>
      </c>
      <c r="I53" s="137">
        <v>0</v>
      </c>
      <c r="J53" s="137">
        <v>0</v>
      </c>
      <c r="K53" s="141" t="s">
        <v>209</v>
      </c>
      <c r="L53" s="138" t="s">
        <v>358</v>
      </c>
      <c r="M53" s="139"/>
      <c r="N53" s="118"/>
      <c r="O53" s="134">
        <f t="shared" si="2"/>
        <v>3.21</v>
      </c>
      <c r="P53" s="134"/>
      <c r="Q53" s="115"/>
    </row>
    <row r="54" spans="1:17" s="113" customFormat="1" ht="16.5" customHeight="1" x14ac:dyDescent="0.35">
      <c r="A54" s="113">
        <v>12</v>
      </c>
      <c r="B54" s="135">
        <v>31</v>
      </c>
      <c r="C54" s="138" t="s">
        <v>359</v>
      </c>
      <c r="D54" s="137">
        <f t="shared" si="3"/>
        <v>0.78</v>
      </c>
      <c r="E54" s="137">
        <f>'[1]road inventory 2018'!C52</f>
        <v>0.8</v>
      </c>
      <c r="F54" s="137">
        <v>0.78</v>
      </c>
      <c r="G54" s="137">
        <v>0</v>
      </c>
      <c r="H54" s="137">
        <v>0</v>
      </c>
      <c r="I54" s="137">
        <v>0</v>
      </c>
      <c r="J54" s="137">
        <v>0</v>
      </c>
      <c r="K54" s="141" t="s">
        <v>206</v>
      </c>
      <c r="L54" s="138" t="s">
        <v>360</v>
      </c>
      <c r="M54" s="139"/>
      <c r="N54" s="118"/>
      <c r="O54" s="134">
        <f t="shared" si="2"/>
        <v>0.78</v>
      </c>
      <c r="P54" s="134"/>
      <c r="Q54" s="115"/>
    </row>
    <row r="55" spans="1:17" s="113" customFormat="1" ht="16.5" customHeight="1" x14ac:dyDescent="0.35">
      <c r="A55" s="113">
        <v>13</v>
      </c>
      <c r="B55" s="135">
        <v>32</v>
      </c>
      <c r="C55" s="138" t="s">
        <v>232</v>
      </c>
      <c r="D55" s="137">
        <f t="shared" si="3"/>
        <v>3.01</v>
      </c>
      <c r="E55" s="137">
        <f>'[1]road inventory 2018'!C53</f>
        <v>3</v>
      </c>
      <c r="F55" s="137">
        <v>0</v>
      </c>
      <c r="G55" s="137">
        <v>0</v>
      </c>
      <c r="H55" s="137">
        <v>0</v>
      </c>
      <c r="I55" s="137">
        <v>3.01</v>
      </c>
      <c r="J55" s="137">
        <v>0</v>
      </c>
      <c r="K55" s="141" t="s">
        <v>210</v>
      </c>
      <c r="L55" s="138" t="s">
        <v>361</v>
      </c>
      <c r="M55" s="139"/>
      <c r="N55" s="118"/>
      <c r="O55" s="134">
        <f t="shared" si="2"/>
        <v>3.01</v>
      </c>
      <c r="P55" s="134"/>
      <c r="Q55" s="115"/>
    </row>
    <row r="56" spans="1:17" s="113" customFormat="1" ht="16.5" customHeight="1" x14ac:dyDescent="0.35">
      <c r="A56" s="113">
        <v>14</v>
      </c>
      <c r="B56" s="135">
        <v>33</v>
      </c>
      <c r="C56" s="138" t="s">
        <v>34</v>
      </c>
      <c r="D56" s="137">
        <f t="shared" si="3"/>
        <v>2.4</v>
      </c>
      <c r="E56" s="137">
        <f>'[1]road inventory 2018'!C54</f>
        <v>2.4</v>
      </c>
      <c r="F56" s="137">
        <v>0</v>
      </c>
      <c r="G56" s="137">
        <v>0</v>
      </c>
      <c r="H56" s="137">
        <v>0</v>
      </c>
      <c r="I56" s="137">
        <v>2.4</v>
      </c>
      <c r="J56" s="137">
        <v>0</v>
      </c>
      <c r="K56" s="138" t="s">
        <v>207</v>
      </c>
      <c r="L56" s="138" t="s">
        <v>362</v>
      </c>
      <c r="M56" s="139"/>
      <c r="N56" s="118"/>
      <c r="O56" s="134">
        <f t="shared" si="2"/>
        <v>2.4</v>
      </c>
      <c r="P56" s="134"/>
      <c r="Q56" s="115"/>
    </row>
    <row r="57" spans="1:17" s="113" customFormat="1" ht="16.5" customHeight="1" x14ac:dyDescent="0.35">
      <c r="A57" s="113">
        <v>15</v>
      </c>
      <c r="B57" s="135">
        <v>34</v>
      </c>
      <c r="C57" s="138" t="s">
        <v>235</v>
      </c>
      <c r="D57" s="137">
        <f t="shared" si="3"/>
        <v>4.3099999999999996</v>
      </c>
      <c r="E57" s="137">
        <f>'[1]road inventory 2018'!C55</f>
        <v>4.2</v>
      </c>
      <c r="F57" s="137">
        <v>0</v>
      </c>
      <c r="G57" s="137">
        <v>0</v>
      </c>
      <c r="H57" s="137">
        <v>0</v>
      </c>
      <c r="I57" s="137">
        <v>4.3099999999999996</v>
      </c>
      <c r="J57" s="137">
        <v>0</v>
      </c>
      <c r="K57" s="141" t="s">
        <v>210</v>
      </c>
      <c r="L57" s="138" t="s">
        <v>363</v>
      </c>
      <c r="M57" s="139"/>
      <c r="N57" s="118"/>
      <c r="O57" s="134">
        <f t="shared" si="2"/>
        <v>4.3099999999999996</v>
      </c>
      <c r="P57" s="134"/>
      <c r="Q57" s="115"/>
    </row>
    <row r="58" spans="1:17" s="113" customFormat="1" ht="16.5" customHeight="1" x14ac:dyDescent="0.35">
      <c r="A58" s="113">
        <v>16</v>
      </c>
      <c r="B58" s="135">
        <v>35</v>
      </c>
      <c r="C58" s="138" t="s">
        <v>364</v>
      </c>
      <c r="D58" s="137">
        <f t="shared" si="3"/>
        <v>2.97</v>
      </c>
      <c r="E58" s="137">
        <f>'[1]road inventory 2018'!C56</f>
        <v>3</v>
      </c>
      <c r="F58" s="137">
        <f>0.4+0.31+0.1</f>
        <v>0.80999999999999994</v>
      </c>
      <c r="G58" s="137">
        <v>0</v>
      </c>
      <c r="H58" s="137">
        <v>0</v>
      </c>
      <c r="I58" s="137">
        <f>1.94+0.22</f>
        <v>2.16</v>
      </c>
      <c r="J58" s="137">
        <v>0</v>
      </c>
      <c r="K58" s="141" t="s">
        <v>206</v>
      </c>
      <c r="L58" s="138" t="s">
        <v>365</v>
      </c>
      <c r="M58" s="139"/>
      <c r="N58" s="118"/>
      <c r="O58" s="134">
        <f t="shared" si="2"/>
        <v>2.97</v>
      </c>
      <c r="P58" s="134"/>
      <c r="Q58" s="115"/>
    </row>
    <row r="59" spans="1:17" s="113" customFormat="1" ht="16.5" customHeight="1" x14ac:dyDescent="0.35">
      <c r="A59" s="113">
        <v>17</v>
      </c>
      <c r="B59" s="135">
        <v>36</v>
      </c>
      <c r="C59" s="138" t="s">
        <v>366</v>
      </c>
      <c r="D59" s="137">
        <f t="shared" si="3"/>
        <v>6.01</v>
      </c>
      <c r="E59" s="137">
        <f>'[1]road inventory 2018'!C57</f>
        <v>6.2</v>
      </c>
      <c r="F59" s="137">
        <v>0</v>
      </c>
      <c r="G59" s="137">
        <v>0</v>
      </c>
      <c r="H59" s="137">
        <v>0</v>
      </c>
      <c r="I59" s="137">
        <v>6.01</v>
      </c>
      <c r="J59" s="137">
        <v>0</v>
      </c>
      <c r="K59" s="141" t="s">
        <v>206</v>
      </c>
      <c r="L59" s="138" t="s">
        <v>367</v>
      </c>
      <c r="M59" s="139"/>
      <c r="N59" s="118"/>
      <c r="O59" s="134">
        <f t="shared" si="2"/>
        <v>6.01</v>
      </c>
      <c r="P59" s="134"/>
      <c r="Q59" s="115"/>
    </row>
    <row r="60" spans="1:17" s="113" customFormat="1" ht="16.5" customHeight="1" x14ac:dyDescent="0.35">
      <c r="A60" s="113">
        <v>18</v>
      </c>
      <c r="B60" s="135">
        <v>37</v>
      </c>
      <c r="C60" s="138" t="s">
        <v>234</v>
      </c>
      <c r="D60" s="137">
        <f t="shared" si="3"/>
        <v>1.6</v>
      </c>
      <c r="E60" s="137">
        <f>'[1]road inventory 2018'!C58</f>
        <v>1.6</v>
      </c>
      <c r="F60" s="137">
        <v>0</v>
      </c>
      <c r="G60" s="137">
        <v>0</v>
      </c>
      <c r="H60" s="137">
        <v>0</v>
      </c>
      <c r="I60" s="137">
        <v>1.6</v>
      </c>
      <c r="J60" s="137">
        <v>0</v>
      </c>
      <c r="K60" s="141" t="s">
        <v>210</v>
      </c>
      <c r="L60" s="138" t="s">
        <v>368</v>
      </c>
      <c r="M60" s="139"/>
      <c r="N60" s="118"/>
      <c r="O60" s="134">
        <f t="shared" si="2"/>
        <v>1.6</v>
      </c>
      <c r="P60" s="134"/>
      <c r="Q60" s="115"/>
    </row>
    <row r="61" spans="1:17" s="113" customFormat="1" ht="16.5" customHeight="1" x14ac:dyDescent="0.35">
      <c r="A61" s="113">
        <v>19</v>
      </c>
      <c r="B61" s="135">
        <v>38</v>
      </c>
      <c r="C61" s="138" t="s">
        <v>36</v>
      </c>
      <c r="D61" s="137">
        <f t="shared" si="3"/>
        <v>3.9</v>
      </c>
      <c r="E61" s="137">
        <f>'[1]road inventory 2018'!C59</f>
        <v>4.4000000000000004</v>
      </c>
      <c r="F61" s="137">
        <v>1.58</v>
      </c>
      <c r="G61" s="137">
        <v>0</v>
      </c>
      <c r="H61" s="137">
        <v>0</v>
      </c>
      <c r="I61" s="137">
        <v>2.3199999999999998</v>
      </c>
      <c r="J61" s="137">
        <v>0</v>
      </c>
      <c r="K61" s="141" t="s">
        <v>206</v>
      </c>
      <c r="L61" s="138" t="s">
        <v>369</v>
      </c>
      <c r="M61" s="139"/>
      <c r="N61" s="118"/>
      <c r="O61" s="134">
        <f t="shared" si="2"/>
        <v>3.9</v>
      </c>
      <c r="P61" s="134"/>
      <c r="Q61" s="115"/>
    </row>
    <row r="62" spans="1:17" s="113" customFormat="1" ht="16.5" customHeight="1" x14ac:dyDescent="0.35">
      <c r="A62" s="113">
        <v>20</v>
      </c>
      <c r="B62" s="135">
        <v>39</v>
      </c>
      <c r="C62" s="138" t="s">
        <v>370</v>
      </c>
      <c r="D62" s="137">
        <f t="shared" si="3"/>
        <v>4.9399999999999995</v>
      </c>
      <c r="E62" s="137">
        <f>'[1]road inventory 2018'!C60</f>
        <v>4.9000000000000004</v>
      </c>
      <c r="F62" s="137">
        <v>0.14000000000000001</v>
      </c>
      <c r="G62" s="137">
        <v>0</v>
      </c>
      <c r="H62" s="137">
        <v>0</v>
      </c>
      <c r="I62" s="137">
        <v>4.8</v>
      </c>
      <c r="J62" s="137">
        <v>0</v>
      </c>
      <c r="K62" s="141" t="s">
        <v>206</v>
      </c>
      <c r="L62" s="138" t="s">
        <v>371</v>
      </c>
      <c r="M62" s="139"/>
      <c r="N62" s="118"/>
      <c r="O62" s="134">
        <f t="shared" si="2"/>
        <v>4.9399999999999995</v>
      </c>
      <c r="P62" s="134"/>
      <c r="Q62" s="115"/>
    </row>
    <row r="63" spans="1:17" s="113" customFormat="1" ht="16.5" customHeight="1" x14ac:dyDescent="0.35">
      <c r="A63" s="113">
        <v>21</v>
      </c>
      <c r="B63" s="135">
        <v>105</v>
      </c>
      <c r="C63" s="138" t="s">
        <v>228</v>
      </c>
      <c r="D63" s="137">
        <f t="shared" si="3"/>
        <v>3.65</v>
      </c>
      <c r="E63" s="137">
        <f>'[1]road inventory 2018'!C61</f>
        <v>3.6</v>
      </c>
      <c r="F63" s="137">
        <v>0</v>
      </c>
      <c r="G63" s="137">
        <v>0</v>
      </c>
      <c r="H63" s="137">
        <v>0</v>
      </c>
      <c r="I63" s="137">
        <v>3.65</v>
      </c>
      <c r="J63" s="137">
        <v>0</v>
      </c>
      <c r="K63" s="141" t="s">
        <v>206</v>
      </c>
      <c r="L63" s="138" t="s">
        <v>372</v>
      </c>
      <c r="M63" s="139"/>
      <c r="N63" s="118"/>
      <c r="O63" s="134">
        <f t="shared" si="2"/>
        <v>3.65</v>
      </c>
      <c r="P63" s="134"/>
      <c r="Q63" s="115"/>
    </row>
    <row r="64" spans="1:17" s="113" customFormat="1" ht="16.5" customHeight="1" x14ac:dyDescent="0.35">
      <c r="A64" s="113">
        <v>22</v>
      </c>
      <c r="B64" s="135">
        <v>40</v>
      </c>
      <c r="C64" s="138" t="s">
        <v>231</v>
      </c>
      <c r="D64" s="137">
        <f t="shared" si="3"/>
        <v>1.55</v>
      </c>
      <c r="E64" s="137">
        <f>'[1]road inventory 2018'!C62</f>
        <v>1.5</v>
      </c>
      <c r="F64" s="137">
        <v>1.1000000000000001</v>
      </c>
      <c r="G64" s="137">
        <v>0</v>
      </c>
      <c r="H64" s="137">
        <v>0</v>
      </c>
      <c r="I64" s="137">
        <v>0.45</v>
      </c>
      <c r="J64" s="137">
        <v>0</v>
      </c>
      <c r="K64" s="141" t="s">
        <v>209</v>
      </c>
      <c r="L64" s="138" t="s">
        <v>373</v>
      </c>
      <c r="M64" s="139"/>
      <c r="N64" s="118"/>
      <c r="O64" s="134">
        <f t="shared" si="2"/>
        <v>1.55</v>
      </c>
      <c r="P64" s="134"/>
      <c r="Q64" s="115"/>
    </row>
    <row r="65" spans="1:20" s="113" customFormat="1" ht="16.5" customHeight="1" x14ac:dyDescent="0.35">
      <c r="A65" s="113">
        <v>23</v>
      </c>
      <c r="B65" s="135">
        <v>41</v>
      </c>
      <c r="C65" s="138" t="s">
        <v>230</v>
      </c>
      <c r="D65" s="137">
        <f t="shared" si="3"/>
        <v>2.81</v>
      </c>
      <c r="E65" s="137">
        <f>'[1]road inventory 2018'!C63</f>
        <v>2.8</v>
      </c>
      <c r="F65" s="137">
        <v>0</v>
      </c>
      <c r="G65" s="137">
        <v>0</v>
      </c>
      <c r="H65" s="137">
        <v>0</v>
      </c>
      <c r="I65" s="137">
        <v>2.81</v>
      </c>
      <c r="J65" s="137">
        <v>0</v>
      </c>
      <c r="K65" s="141" t="s">
        <v>206</v>
      </c>
      <c r="L65" s="138" t="s">
        <v>374</v>
      </c>
      <c r="M65" s="139"/>
      <c r="N65" s="118"/>
      <c r="O65" s="134">
        <f t="shared" si="2"/>
        <v>2.81</v>
      </c>
      <c r="P65" s="134"/>
      <c r="Q65" s="115"/>
    </row>
    <row r="66" spans="1:20" s="113" customFormat="1" ht="16.5" customHeight="1" x14ac:dyDescent="0.35">
      <c r="A66" s="113">
        <v>24</v>
      </c>
      <c r="B66" s="135">
        <v>42</v>
      </c>
      <c r="C66" s="138" t="s">
        <v>227</v>
      </c>
      <c r="D66" s="137">
        <f t="shared" si="3"/>
        <v>1.5</v>
      </c>
      <c r="E66" s="137">
        <f>'[1]road inventory 2018'!C64</f>
        <v>1.5</v>
      </c>
      <c r="F66" s="137">
        <v>0.17</v>
      </c>
      <c r="G66" s="137">
        <v>0</v>
      </c>
      <c r="H66" s="137">
        <v>0</v>
      </c>
      <c r="I66" s="137">
        <v>1.33</v>
      </c>
      <c r="J66" s="137">
        <v>0</v>
      </c>
      <c r="K66" s="141" t="s">
        <v>207</v>
      </c>
      <c r="L66" s="138" t="s">
        <v>375</v>
      </c>
      <c r="M66" s="139"/>
      <c r="N66" s="118"/>
      <c r="O66" s="134">
        <f t="shared" si="2"/>
        <v>1.5</v>
      </c>
      <c r="P66" s="134"/>
      <c r="Q66" s="115"/>
    </row>
    <row r="67" spans="1:20" s="113" customFormat="1" ht="16.5" customHeight="1" x14ac:dyDescent="0.35">
      <c r="A67" s="113">
        <v>25</v>
      </c>
      <c r="B67" s="135">
        <v>43</v>
      </c>
      <c r="C67" s="138" t="s">
        <v>226</v>
      </c>
      <c r="D67" s="137">
        <f t="shared" si="3"/>
        <v>8.5299999999999994</v>
      </c>
      <c r="E67" s="137">
        <f>'[1]road inventory 2018'!C65</f>
        <v>12.7</v>
      </c>
      <c r="F67" s="137">
        <v>0.16</v>
      </c>
      <c r="G67" s="137">
        <v>0</v>
      </c>
      <c r="H67" s="137">
        <v>0</v>
      </c>
      <c r="I67" s="137">
        <v>8.3699999999999992</v>
      </c>
      <c r="J67" s="137">
        <v>0</v>
      </c>
      <c r="K67" s="141" t="s">
        <v>210</v>
      </c>
      <c r="L67" s="138" t="s">
        <v>376</v>
      </c>
      <c r="M67" s="139"/>
      <c r="N67" s="118"/>
      <c r="O67" s="134">
        <f t="shared" si="2"/>
        <v>8.5299999999999994</v>
      </c>
      <c r="P67" s="134"/>
      <c r="Q67" s="115" t="s">
        <v>377</v>
      </c>
      <c r="T67" s="126">
        <f>E67-D67</f>
        <v>4.17</v>
      </c>
    </row>
    <row r="68" spans="1:20" s="113" customFormat="1" ht="16.5" customHeight="1" x14ac:dyDescent="0.35">
      <c r="A68" s="113">
        <v>26</v>
      </c>
      <c r="B68" s="135">
        <v>44</v>
      </c>
      <c r="C68" s="138" t="s">
        <v>229</v>
      </c>
      <c r="D68" s="137">
        <f t="shared" si="3"/>
        <v>5.52</v>
      </c>
      <c r="E68" s="137">
        <f>'[1]road inventory 2018'!C66</f>
        <v>5.3</v>
      </c>
      <c r="F68" s="137">
        <v>1.48</v>
      </c>
      <c r="G68" s="137">
        <v>0</v>
      </c>
      <c r="H68" s="137">
        <v>0</v>
      </c>
      <c r="I68" s="137">
        <v>4.04</v>
      </c>
      <c r="J68" s="137">
        <v>0</v>
      </c>
      <c r="K68" s="141" t="s">
        <v>207</v>
      </c>
      <c r="L68" s="138" t="s">
        <v>378</v>
      </c>
      <c r="M68" s="139"/>
      <c r="N68" s="118"/>
      <c r="O68" s="134">
        <f t="shared" si="2"/>
        <v>5.52</v>
      </c>
      <c r="P68" s="134"/>
      <c r="Q68" s="115"/>
    </row>
    <row r="69" spans="1:20" s="113" customFormat="1" ht="16.5" customHeight="1" x14ac:dyDescent="0.35">
      <c r="A69" s="113">
        <v>27</v>
      </c>
      <c r="B69" s="135">
        <v>104</v>
      </c>
      <c r="C69" s="138" t="s">
        <v>240</v>
      </c>
      <c r="D69" s="137">
        <f t="shared" si="3"/>
        <v>3.13</v>
      </c>
      <c r="E69" s="137">
        <f>'[1]road inventory 2018'!C67</f>
        <v>3.1</v>
      </c>
      <c r="F69" s="137">
        <v>0</v>
      </c>
      <c r="G69" s="137">
        <v>0</v>
      </c>
      <c r="H69" s="137">
        <v>0</v>
      </c>
      <c r="I69" s="137">
        <v>3.13</v>
      </c>
      <c r="J69" s="137">
        <v>0</v>
      </c>
      <c r="K69" s="141" t="s">
        <v>206</v>
      </c>
      <c r="L69" s="138" t="s">
        <v>379</v>
      </c>
      <c r="M69" s="139"/>
      <c r="N69" s="118"/>
      <c r="O69" s="134">
        <f t="shared" si="2"/>
        <v>3.13</v>
      </c>
      <c r="P69" s="134"/>
      <c r="Q69" s="115"/>
    </row>
    <row r="70" spans="1:20" s="113" customFormat="1" ht="16.5" customHeight="1" x14ac:dyDescent="0.35">
      <c r="B70" s="135"/>
      <c r="C70" s="138"/>
      <c r="D70" s="137">
        <f>SUM(D43:D69)</f>
        <v>96.169999999999987</v>
      </c>
      <c r="E70" s="137">
        <f>SUM(E43:E69)</f>
        <v>102.1</v>
      </c>
      <c r="F70" s="137"/>
      <c r="G70" s="137"/>
      <c r="H70" s="137"/>
      <c r="I70" s="137"/>
      <c r="J70" s="137"/>
      <c r="K70" s="141"/>
      <c r="L70" s="138"/>
      <c r="M70" s="139"/>
      <c r="N70" s="118"/>
      <c r="O70" s="134"/>
      <c r="P70" s="134"/>
      <c r="Q70" s="115"/>
    </row>
    <row r="71" spans="1:20" s="144" customFormat="1" ht="24" customHeight="1" thickBot="1" x14ac:dyDescent="0.4">
      <c r="B71" s="145" t="s">
        <v>341</v>
      </c>
      <c r="C71" s="146"/>
      <c r="D71" s="147">
        <f>SUM(F71:J71)</f>
        <v>96.17</v>
      </c>
      <c r="E71" s="147"/>
      <c r="F71" s="147">
        <f>SUM(F43:F70)</f>
        <v>31.400000000000006</v>
      </c>
      <c r="G71" s="147">
        <f>SUM(G43:G69)</f>
        <v>0</v>
      </c>
      <c r="H71" s="147">
        <f>SUM(H43:H69)</f>
        <v>0</v>
      </c>
      <c r="I71" s="147">
        <f>SUM(I43:I69)</f>
        <v>64.77</v>
      </c>
      <c r="J71" s="147">
        <f>SUM(J43:J69)</f>
        <v>0</v>
      </c>
      <c r="K71" s="148"/>
      <c r="L71" s="146"/>
      <c r="M71" s="149"/>
      <c r="N71" s="150"/>
      <c r="O71" s="168"/>
      <c r="P71" s="168">
        <f>SUM(O43:O69)</f>
        <v>96.169999999999987</v>
      </c>
      <c r="Q71" s="151"/>
    </row>
    <row r="72" spans="1:20" s="113" customFormat="1" ht="24" customHeight="1" x14ac:dyDescent="0.35">
      <c r="B72" s="153"/>
      <c r="C72" s="154"/>
      <c r="D72" s="155"/>
      <c r="E72" s="155"/>
      <c r="F72" s="155"/>
      <c r="G72" s="155"/>
      <c r="H72" s="155"/>
      <c r="I72" s="155"/>
      <c r="J72" s="155"/>
      <c r="K72" s="156"/>
      <c r="L72" s="154"/>
      <c r="M72" s="154"/>
      <c r="N72" s="125"/>
      <c r="O72" s="134"/>
      <c r="P72" s="134"/>
      <c r="Q72" s="115"/>
    </row>
    <row r="73" spans="1:20" s="113" customFormat="1" ht="24" customHeight="1" x14ac:dyDescent="0.35">
      <c r="B73" s="114"/>
      <c r="C73" s="125"/>
      <c r="D73" s="126"/>
      <c r="E73" s="126"/>
      <c r="F73" s="126"/>
      <c r="G73" s="126"/>
      <c r="H73" s="126"/>
      <c r="I73" s="126"/>
      <c r="J73" s="126"/>
      <c r="L73" s="125"/>
      <c r="M73" s="125"/>
      <c r="N73" s="125"/>
      <c r="O73" s="134"/>
      <c r="P73" s="134"/>
      <c r="Q73" s="115"/>
    </row>
    <row r="74" spans="1:20" s="113" customFormat="1" ht="24" customHeight="1" x14ac:dyDescent="0.35">
      <c r="B74" s="114"/>
      <c r="C74" s="125"/>
      <c r="D74" s="126"/>
      <c r="E74" s="126"/>
      <c r="F74" s="126"/>
      <c r="G74" s="126"/>
      <c r="H74" s="126"/>
      <c r="I74" s="126"/>
      <c r="J74" s="126"/>
      <c r="L74" s="125"/>
      <c r="M74" s="125"/>
      <c r="N74" s="125"/>
      <c r="O74" s="134"/>
      <c r="P74" s="134"/>
      <c r="Q74" s="115"/>
    </row>
    <row r="75" spans="1:20" s="113" customFormat="1" ht="24" customHeight="1" thickBot="1" x14ac:dyDescent="0.4">
      <c r="B75" s="120"/>
      <c r="C75" s="124"/>
      <c r="D75" s="157"/>
      <c r="E75" s="157"/>
      <c r="F75" s="157"/>
      <c r="G75" s="157"/>
      <c r="H75" s="157"/>
      <c r="I75" s="157"/>
      <c r="J75" s="157"/>
      <c r="K75" s="158"/>
      <c r="L75" s="124"/>
      <c r="M75" s="124"/>
      <c r="N75" s="125"/>
      <c r="O75" s="134"/>
      <c r="P75" s="134"/>
      <c r="Q75" s="115"/>
    </row>
    <row r="76" spans="1:20" s="113" customFormat="1" ht="18.5" thickBot="1" x14ac:dyDescent="0.4">
      <c r="B76" s="1156" t="s">
        <v>380</v>
      </c>
      <c r="C76" s="1157"/>
      <c r="D76" s="1157"/>
      <c r="E76" s="1157"/>
      <c r="F76" s="1157"/>
      <c r="G76" s="1157"/>
      <c r="H76" s="1157"/>
      <c r="I76" s="1157"/>
      <c r="J76" s="1157"/>
      <c r="K76" s="1157"/>
      <c r="L76" s="1157"/>
      <c r="M76" s="1158"/>
      <c r="O76" s="134"/>
      <c r="P76" s="134"/>
      <c r="Q76" s="115"/>
    </row>
    <row r="77" spans="1:20" s="113" customFormat="1" ht="18.5" thickBot="1" x14ac:dyDescent="0.4">
      <c r="B77" s="159"/>
      <c r="C77" s="160"/>
      <c r="D77" s="161"/>
      <c r="E77" s="161"/>
      <c r="F77" s="161"/>
      <c r="G77" s="161"/>
      <c r="H77" s="161"/>
      <c r="I77" s="161"/>
      <c r="J77" s="161"/>
      <c r="K77" s="162"/>
      <c r="L77" s="163"/>
      <c r="M77" s="163"/>
      <c r="N77" s="125"/>
      <c r="O77" s="125"/>
      <c r="P77" s="125"/>
      <c r="Q77" s="115"/>
    </row>
    <row r="78" spans="1:20" s="113" customFormat="1" ht="21" customHeight="1" x14ac:dyDescent="0.35">
      <c r="B78" s="1159" t="s">
        <v>302</v>
      </c>
      <c r="C78" s="1161" t="s">
        <v>28</v>
      </c>
      <c r="D78" s="1163" t="s">
        <v>343</v>
      </c>
      <c r="E78" s="165"/>
      <c r="F78" s="1165" t="s">
        <v>305</v>
      </c>
      <c r="G78" s="1166"/>
      <c r="H78" s="1166"/>
      <c r="I78" s="1166"/>
      <c r="J78" s="1167"/>
      <c r="K78" s="1161" t="s">
        <v>29</v>
      </c>
      <c r="L78" s="1168" t="s">
        <v>306</v>
      </c>
      <c r="M78" s="1174" t="s">
        <v>307</v>
      </c>
      <c r="N78" s="125"/>
      <c r="O78" s="125"/>
      <c r="P78" s="125"/>
      <c r="Q78" s="115"/>
    </row>
    <row r="79" spans="1:20" s="113" customFormat="1" ht="21" customHeight="1" thickBot="1" x14ac:dyDescent="0.4">
      <c r="B79" s="1179"/>
      <c r="C79" s="1180"/>
      <c r="D79" s="1181"/>
      <c r="E79" s="169"/>
      <c r="F79" s="170" t="s">
        <v>308</v>
      </c>
      <c r="G79" s="170" t="s">
        <v>309</v>
      </c>
      <c r="H79" s="170" t="s">
        <v>310</v>
      </c>
      <c r="I79" s="170" t="s">
        <v>311</v>
      </c>
      <c r="J79" s="170" t="s">
        <v>312</v>
      </c>
      <c r="K79" s="1180"/>
      <c r="L79" s="1182"/>
      <c r="M79" s="1183"/>
      <c r="N79" s="125"/>
      <c r="O79" s="125"/>
      <c r="P79" s="125"/>
      <c r="Q79" s="115"/>
    </row>
    <row r="80" spans="1:20" s="113" customFormat="1" ht="16.5" customHeight="1" x14ac:dyDescent="0.35">
      <c r="A80" s="113">
        <v>1</v>
      </c>
      <c r="B80" s="171">
        <v>107</v>
      </c>
      <c r="C80" s="172" t="s">
        <v>381</v>
      </c>
      <c r="D80" s="173">
        <f t="shared" ref="D80:D86" si="4">+F80+G80+I80</f>
        <v>2.59</v>
      </c>
      <c r="E80" s="173">
        <f>'[1]road inventory 2018'!C73</f>
        <v>2.5</v>
      </c>
      <c r="F80" s="174">
        <f>1.01+1.03</f>
        <v>2.04</v>
      </c>
      <c r="G80" s="174">
        <v>0</v>
      </c>
      <c r="H80" s="174">
        <v>0</v>
      </c>
      <c r="I80" s="173">
        <v>0.55000000000000004</v>
      </c>
      <c r="J80" s="173">
        <v>0</v>
      </c>
      <c r="K80" s="175" t="s">
        <v>207</v>
      </c>
      <c r="L80" s="172" t="s">
        <v>382</v>
      </c>
      <c r="M80" s="176"/>
      <c r="N80" s="118"/>
      <c r="O80" s="134">
        <f>D80</f>
        <v>2.59</v>
      </c>
      <c r="P80" s="134"/>
      <c r="Q80" s="115"/>
    </row>
    <row r="81" spans="1:17" s="113" customFormat="1" ht="16.5" customHeight="1" x14ac:dyDescent="0.35">
      <c r="A81" s="113">
        <v>2</v>
      </c>
      <c r="B81" s="135">
        <v>102</v>
      </c>
      <c r="C81" s="138" t="s">
        <v>242</v>
      </c>
      <c r="D81" s="137">
        <f>+F81+G81+I81</f>
        <v>1.33</v>
      </c>
      <c r="E81" s="137">
        <f>'[1]road inventory 2018'!C74</f>
        <v>1.3</v>
      </c>
      <c r="F81" s="177">
        <v>0.27</v>
      </c>
      <c r="G81" s="177">
        <v>0</v>
      </c>
      <c r="H81" s="177">
        <v>0</v>
      </c>
      <c r="I81" s="137">
        <f>0.043+1.02-0.003</f>
        <v>1.06</v>
      </c>
      <c r="J81" s="137">
        <v>0</v>
      </c>
      <c r="K81" s="141" t="s">
        <v>207</v>
      </c>
      <c r="L81" s="138" t="s">
        <v>383</v>
      </c>
      <c r="M81" s="139"/>
      <c r="N81" s="118"/>
      <c r="O81" s="134">
        <f t="shared" ref="O81:O86" si="5">D81</f>
        <v>1.33</v>
      </c>
      <c r="P81" s="134"/>
      <c r="Q81" s="115"/>
    </row>
    <row r="82" spans="1:17" s="113" customFormat="1" ht="16.5" customHeight="1" x14ac:dyDescent="0.35">
      <c r="A82" s="113">
        <v>3</v>
      </c>
      <c r="B82" s="135">
        <v>101</v>
      </c>
      <c r="C82" s="138" t="s">
        <v>384</v>
      </c>
      <c r="D82" s="137">
        <v>0</v>
      </c>
      <c r="E82" s="137">
        <f>'[1]road inventory 2018'!C75</f>
        <v>0.6</v>
      </c>
      <c r="F82" s="177">
        <v>0</v>
      </c>
      <c r="G82" s="177">
        <v>0</v>
      </c>
      <c r="H82" s="177">
        <v>0</v>
      </c>
      <c r="I82" s="137">
        <v>0</v>
      </c>
      <c r="J82" s="137">
        <v>0</v>
      </c>
      <c r="K82" s="141" t="s">
        <v>10</v>
      </c>
      <c r="L82" s="138" t="s">
        <v>385</v>
      </c>
      <c r="M82" s="139" t="s">
        <v>356</v>
      </c>
      <c r="N82" s="118"/>
      <c r="O82" s="134">
        <f t="shared" si="5"/>
        <v>0</v>
      </c>
      <c r="P82" s="134"/>
      <c r="Q82" s="115" t="s">
        <v>386</v>
      </c>
    </row>
    <row r="83" spans="1:17" s="113" customFormat="1" ht="16.5" customHeight="1" x14ac:dyDescent="0.35">
      <c r="A83" s="113">
        <v>4</v>
      </c>
      <c r="B83" s="135">
        <v>47</v>
      </c>
      <c r="C83" s="138" t="s">
        <v>38</v>
      </c>
      <c r="D83" s="137">
        <f t="shared" si="4"/>
        <v>17.2</v>
      </c>
      <c r="E83" s="137">
        <f>'[1]road inventory 2018'!C76</f>
        <v>17</v>
      </c>
      <c r="F83" s="137">
        <f>1.03+0.2+0.08</f>
        <v>1.31</v>
      </c>
      <c r="G83" s="177">
        <v>0</v>
      </c>
      <c r="H83" s="177">
        <v>0</v>
      </c>
      <c r="I83" s="137">
        <f>1+1.06+0.99+1+1.07+1.11+1.03+0.97+1.05+1.01+0.28+1.14+1.13+1.01+0.98+0.97+0.09</f>
        <v>15.89</v>
      </c>
      <c r="J83" s="137">
        <v>0</v>
      </c>
      <c r="K83" s="141" t="s">
        <v>210</v>
      </c>
      <c r="L83" s="138" t="s">
        <v>387</v>
      </c>
      <c r="M83" s="139"/>
      <c r="N83" s="118"/>
      <c r="O83" s="134">
        <f t="shared" si="5"/>
        <v>17.2</v>
      </c>
      <c r="P83" s="134"/>
      <c r="Q83" s="115"/>
    </row>
    <row r="84" spans="1:17" s="113" customFormat="1" ht="16.5" customHeight="1" x14ac:dyDescent="0.35">
      <c r="A84" s="113">
        <v>5</v>
      </c>
      <c r="B84" s="135">
        <v>48</v>
      </c>
      <c r="C84" s="138" t="s">
        <v>388</v>
      </c>
      <c r="D84" s="137">
        <f t="shared" si="4"/>
        <v>2.63</v>
      </c>
      <c r="E84" s="137">
        <f>'[1]road inventory 2018'!C77</f>
        <v>2.6</v>
      </c>
      <c r="F84" s="177">
        <v>0</v>
      </c>
      <c r="G84" s="177">
        <v>0</v>
      </c>
      <c r="H84" s="177">
        <v>0</v>
      </c>
      <c r="I84" s="137">
        <f>0.5+1.05+1.08</f>
        <v>2.63</v>
      </c>
      <c r="J84" s="137">
        <v>0</v>
      </c>
      <c r="K84" s="141" t="s">
        <v>207</v>
      </c>
      <c r="L84" s="138" t="s">
        <v>389</v>
      </c>
      <c r="M84" s="139"/>
      <c r="N84" s="118"/>
      <c r="O84" s="134">
        <f t="shared" si="5"/>
        <v>2.63</v>
      </c>
      <c r="P84" s="134"/>
      <c r="Q84" s="115"/>
    </row>
    <row r="85" spans="1:17" s="113" customFormat="1" ht="16.5" customHeight="1" x14ac:dyDescent="0.35">
      <c r="A85" s="113">
        <v>6</v>
      </c>
      <c r="B85" s="135">
        <v>90</v>
      </c>
      <c r="C85" s="138" t="s">
        <v>390</v>
      </c>
      <c r="D85" s="137">
        <f t="shared" si="4"/>
        <v>4.2700000000000005</v>
      </c>
      <c r="E85" s="137">
        <f>'[1]road inventory 2018'!C78</f>
        <v>4.3499999999999996</v>
      </c>
      <c r="F85" s="177">
        <v>0</v>
      </c>
      <c r="G85" s="177">
        <v>0</v>
      </c>
      <c r="H85" s="177">
        <v>0</v>
      </c>
      <c r="I85" s="137">
        <f>1.02+1.04+1.1+0.95+0.16</f>
        <v>4.2700000000000005</v>
      </c>
      <c r="J85" s="137">
        <v>0</v>
      </c>
      <c r="K85" s="141" t="s">
        <v>207</v>
      </c>
      <c r="L85" s="138" t="s">
        <v>391</v>
      </c>
      <c r="M85" s="139"/>
      <c r="N85" s="118"/>
      <c r="O85" s="134">
        <f t="shared" si="5"/>
        <v>4.2700000000000005</v>
      </c>
      <c r="P85" s="134"/>
      <c r="Q85" s="115"/>
    </row>
    <row r="86" spans="1:17" s="113" customFormat="1" ht="16.5" customHeight="1" x14ac:dyDescent="0.35">
      <c r="A86" s="113">
        <v>7</v>
      </c>
      <c r="B86" s="135">
        <v>99</v>
      </c>
      <c r="C86" s="138" t="s">
        <v>392</v>
      </c>
      <c r="D86" s="137">
        <f t="shared" si="4"/>
        <v>14.139999999999999</v>
      </c>
      <c r="E86" s="137">
        <f>'[1]road inventory 2018'!C79</f>
        <v>14.1</v>
      </c>
      <c r="F86" s="137">
        <f>1.1+1</f>
        <v>2.1</v>
      </c>
      <c r="G86" s="137">
        <v>0</v>
      </c>
      <c r="H86" s="137">
        <v>0</v>
      </c>
      <c r="I86" s="137">
        <f>1.08+1.01+1.08+1+1.01+1.1+1.07+0.94+1.02+1.05+1.04+0.64</f>
        <v>12.04</v>
      </c>
      <c r="J86" s="137">
        <v>0</v>
      </c>
      <c r="K86" s="141" t="s">
        <v>207</v>
      </c>
      <c r="L86" s="138" t="s">
        <v>393</v>
      </c>
      <c r="M86" s="139"/>
      <c r="N86" s="118"/>
      <c r="O86" s="134">
        <f t="shared" si="5"/>
        <v>14.139999999999999</v>
      </c>
      <c r="P86" s="134"/>
      <c r="Q86" s="115"/>
    </row>
    <row r="87" spans="1:17" s="113" customFormat="1" ht="16.5" customHeight="1" x14ac:dyDescent="0.35">
      <c r="B87" s="135"/>
      <c r="C87" s="138"/>
      <c r="D87" s="137">
        <f>SUM(D80:D86)</f>
        <v>42.16</v>
      </c>
      <c r="E87" s="137">
        <f>SUM(E80:E86)</f>
        <v>42.45</v>
      </c>
      <c r="F87" s="137"/>
      <c r="G87" s="137"/>
      <c r="H87" s="137"/>
      <c r="I87" s="137"/>
      <c r="J87" s="137"/>
      <c r="K87" s="141"/>
      <c r="L87" s="138"/>
      <c r="M87" s="139"/>
      <c r="N87" s="118"/>
      <c r="O87" s="118"/>
      <c r="P87" s="134">
        <f>SUM(O80:O86)</f>
        <v>42.16</v>
      </c>
      <c r="Q87" s="115"/>
    </row>
    <row r="88" spans="1:17" s="144" customFormat="1" ht="23.25" customHeight="1" thickBot="1" x14ac:dyDescent="0.4">
      <c r="B88" s="145" t="s">
        <v>341</v>
      </c>
      <c r="C88" s="178"/>
      <c r="D88" s="147">
        <f>SUM(F88:J88)</f>
        <v>42.16</v>
      </c>
      <c r="E88" s="147"/>
      <c r="F88" s="147">
        <f>SUM(F80:F86)</f>
        <v>5.7200000000000006</v>
      </c>
      <c r="G88" s="147">
        <f>SUM(G80:G86)</f>
        <v>0</v>
      </c>
      <c r="H88" s="147">
        <f>SUM(H80:H86)</f>
        <v>0</v>
      </c>
      <c r="I88" s="147">
        <f>SUM(I80:I86)</f>
        <v>36.44</v>
      </c>
      <c r="J88" s="147">
        <f>SUM(J80:J86)</f>
        <v>0</v>
      </c>
      <c r="K88" s="148"/>
      <c r="L88" s="146"/>
      <c r="M88" s="149"/>
      <c r="N88" s="150"/>
      <c r="O88" s="150"/>
      <c r="P88" s="150"/>
      <c r="Q88" s="151"/>
    </row>
    <row r="89" spans="1:17" s="113" customFormat="1" ht="9" customHeight="1" thickBot="1" x14ac:dyDescent="0.4">
      <c r="B89" s="159"/>
      <c r="C89" s="179"/>
      <c r="D89" s="180"/>
      <c r="E89" s="180"/>
      <c r="F89" s="180"/>
      <c r="G89" s="180"/>
      <c r="H89" s="180"/>
      <c r="I89" s="180"/>
      <c r="J89" s="180"/>
      <c r="K89" s="181"/>
      <c r="L89" s="163"/>
      <c r="M89" s="163"/>
      <c r="N89" s="125"/>
      <c r="O89" s="125"/>
      <c r="P89" s="125"/>
      <c r="Q89" s="115"/>
    </row>
    <row r="90" spans="1:17" s="113" customFormat="1" ht="18.5" thickBot="1" x14ac:dyDescent="0.4">
      <c r="B90" s="1156" t="s">
        <v>394</v>
      </c>
      <c r="C90" s="1157"/>
      <c r="D90" s="1157"/>
      <c r="E90" s="1157"/>
      <c r="F90" s="1157"/>
      <c r="G90" s="1157"/>
      <c r="H90" s="1157"/>
      <c r="I90" s="1157"/>
      <c r="J90" s="1157"/>
      <c r="K90" s="1157"/>
      <c r="L90" s="1157"/>
      <c r="M90" s="1158"/>
      <c r="Q90" s="115"/>
    </row>
    <row r="91" spans="1:17" s="113" customFormat="1" ht="7.5" customHeight="1" thickBot="1" x14ac:dyDescent="0.4">
      <c r="B91" s="159"/>
      <c r="C91" s="160"/>
      <c r="D91" s="161"/>
      <c r="E91" s="161"/>
      <c r="F91" s="161"/>
      <c r="G91" s="161"/>
      <c r="H91" s="161"/>
      <c r="I91" s="161"/>
      <c r="J91" s="161"/>
      <c r="K91" s="162"/>
      <c r="L91" s="163"/>
      <c r="M91" s="163"/>
      <c r="N91" s="125"/>
      <c r="O91" s="125"/>
      <c r="P91" s="125"/>
      <c r="Q91" s="115"/>
    </row>
    <row r="92" spans="1:17" s="113" customFormat="1" ht="21" customHeight="1" x14ac:dyDescent="0.35">
      <c r="B92" s="1159" t="s">
        <v>302</v>
      </c>
      <c r="C92" s="1161" t="s">
        <v>28</v>
      </c>
      <c r="D92" s="1163" t="s">
        <v>343</v>
      </c>
      <c r="E92" s="165"/>
      <c r="F92" s="1165" t="s">
        <v>305</v>
      </c>
      <c r="G92" s="1166"/>
      <c r="H92" s="1166"/>
      <c r="I92" s="1166"/>
      <c r="J92" s="1167"/>
      <c r="K92" s="1161" t="s">
        <v>29</v>
      </c>
      <c r="L92" s="1168" t="s">
        <v>306</v>
      </c>
      <c r="M92" s="1174" t="s">
        <v>307</v>
      </c>
      <c r="N92" s="125"/>
      <c r="O92" s="125"/>
      <c r="P92" s="125"/>
      <c r="Q92" s="115"/>
    </row>
    <row r="93" spans="1:17" s="113" customFormat="1" ht="21" customHeight="1" thickBot="1" x14ac:dyDescent="0.4">
      <c r="B93" s="1160"/>
      <c r="C93" s="1162"/>
      <c r="D93" s="1164"/>
      <c r="E93" s="166"/>
      <c r="F93" s="127" t="s">
        <v>308</v>
      </c>
      <c r="G93" s="127" t="s">
        <v>309</v>
      </c>
      <c r="H93" s="127" t="s">
        <v>310</v>
      </c>
      <c r="I93" s="127" t="s">
        <v>311</v>
      </c>
      <c r="J93" s="127" t="s">
        <v>312</v>
      </c>
      <c r="K93" s="1162"/>
      <c r="L93" s="1169"/>
      <c r="M93" s="1175"/>
      <c r="N93" s="125"/>
      <c r="O93" s="125"/>
      <c r="P93" s="125"/>
      <c r="Q93" s="115"/>
    </row>
    <row r="94" spans="1:17" s="125" customFormat="1" ht="36.75" customHeight="1" x14ac:dyDescent="0.35">
      <c r="A94" s="125">
        <v>1</v>
      </c>
      <c r="B94" s="182">
        <v>108</v>
      </c>
      <c r="C94" s="132" t="s">
        <v>395</v>
      </c>
      <c r="D94" s="183">
        <f>F94+G94+H94+I94+J94</f>
        <v>3.2800000000000002</v>
      </c>
      <c r="E94" s="129">
        <f>'[1]road inventory 2018'!C86</f>
        <v>3.1</v>
      </c>
      <c r="F94" s="183">
        <v>0.48</v>
      </c>
      <c r="G94" s="183">
        <v>0</v>
      </c>
      <c r="H94" s="183">
        <v>0</v>
      </c>
      <c r="I94" s="129">
        <f>0.67+0.12+1.27+0.75-0.01</f>
        <v>2.8000000000000003</v>
      </c>
      <c r="J94" s="129">
        <v>0</v>
      </c>
      <c r="K94" s="132" t="s">
        <v>207</v>
      </c>
      <c r="L94" s="132" t="s">
        <v>396</v>
      </c>
      <c r="M94" s="133"/>
      <c r="N94" s="118"/>
      <c r="O94" s="184">
        <f>D94</f>
        <v>3.2800000000000002</v>
      </c>
      <c r="P94" s="184"/>
      <c r="Q94" s="185"/>
    </row>
    <row r="95" spans="1:17" s="144" customFormat="1" ht="18.75" customHeight="1" thickBot="1" x14ac:dyDescent="0.4">
      <c r="B95" s="145" t="s">
        <v>341</v>
      </c>
      <c r="C95" s="178"/>
      <c r="D95" s="147">
        <f t="shared" ref="D95:J95" si="6">SUM(D94:D94)</f>
        <v>3.2800000000000002</v>
      </c>
      <c r="E95" s="147"/>
      <c r="F95" s="147">
        <f t="shared" si="6"/>
        <v>0.48</v>
      </c>
      <c r="G95" s="147">
        <f t="shared" si="6"/>
        <v>0</v>
      </c>
      <c r="H95" s="147">
        <f t="shared" si="6"/>
        <v>0</v>
      </c>
      <c r="I95" s="147">
        <f t="shared" si="6"/>
        <v>2.8000000000000003</v>
      </c>
      <c r="J95" s="147">
        <f t="shared" si="6"/>
        <v>0</v>
      </c>
      <c r="K95" s="186"/>
      <c r="L95" s="187"/>
      <c r="M95" s="188"/>
      <c r="N95" s="189"/>
      <c r="O95" s="189"/>
      <c r="P95" s="190">
        <f>O94</f>
        <v>3.2800000000000002</v>
      </c>
      <c r="Q95" s="151"/>
    </row>
    <row r="96" spans="1:17" s="113" customFormat="1" ht="6" customHeight="1" thickBot="1" x14ac:dyDescent="0.4">
      <c r="B96" s="191"/>
      <c r="C96" s="192"/>
      <c r="D96" s="193"/>
      <c r="E96" s="193"/>
      <c r="F96" s="193"/>
      <c r="G96" s="193"/>
      <c r="H96" s="193"/>
      <c r="I96" s="193"/>
      <c r="J96" s="193"/>
      <c r="K96" s="162"/>
      <c r="L96" s="160"/>
      <c r="M96" s="160"/>
      <c r="N96" s="118"/>
      <c r="O96" s="118"/>
      <c r="P96" s="118"/>
      <c r="Q96" s="115"/>
    </row>
    <row r="97" spans="1:17" s="113" customFormat="1" ht="18.5" thickBot="1" x14ac:dyDescent="0.4">
      <c r="B97" s="1156" t="s">
        <v>397</v>
      </c>
      <c r="C97" s="1157"/>
      <c r="D97" s="1157"/>
      <c r="E97" s="1157"/>
      <c r="F97" s="1157"/>
      <c r="G97" s="1157"/>
      <c r="H97" s="1157"/>
      <c r="I97" s="1157"/>
      <c r="J97" s="1157"/>
      <c r="K97" s="1157"/>
      <c r="L97" s="1157"/>
      <c r="M97" s="1158"/>
      <c r="Q97" s="115"/>
    </row>
    <row r="98" spans="1:17" s="113" customFormat="1" ht="7.5" customHeight="1" thickBot="1" x14ac:dyDescent="0.4">
      <c r="B98" s="159"/>
      <c r="C98" s="160"/>
      <c r="D98" s="161"/>
      <c r="E98" s="161"/>
      <c r="F98" s="161"/>
      <c r="G98" s="161"/>
      <c r="H98" s="161"/>
      <c r="I98" s="161"/>
      <c r="J98" s="161"/>
      <c r="K98" s="162"/>
      <c r="L98" s="163"/>
      <c r="M98" s="163"/>
      <c r="N98" s="125"/>
      <c r="O98" s="125"/>
      <c r="P98" s="125"/>
      <c r="Q98" s="115"/>
    </row>
    <row r="99" spans="1:17" s="113" customFormat="1" ht="15" customHeight="1" x14ac:dyDescent="0.35">
      <c r="B99" s="1159" t="s">
        <v>302</v>
      </c>
      <c r="C99" s="1161" t="s">
        <v>28</v>
      </c>
      <c r="D99" s="1163" t="s">
        <v>343</v>
      </c>
      <c r="E99" s="165"/>
      <c r="F99" s="1165" t="s">
        <v>305</v>
      </c>
      <c r="G99" s="1166"/>
      <c r="H99" s="1166"/>
      <c r="I99" s="1166"/>
      <c r="J99" s="1167"/>
      <c r="K99" s="1161" t="s">
        <v>29</v>
      </c>
      <c r="L99" s="1168" t="s">
        <v>306</v>
      </c>
      <c r="M99" s="1174" t="s">
        <v>307</v>
      </c>
      <c r="N99" s="125"/>
      <c r="O99" s="125"/>
      <c r="P99" s="125"/>
      <c r="Q99" s="115"/>
    </row>
    <row r="100" spans="1:17" s="113" customFormat="1" ht="21" customHeight="1" thickBot="1" x14ac:dyDescent="0.4">
      <c r="B100" s="1160"/>
      <c r="C100" s="1162"/>
      <c r="D100" s="1164"/>
      <c r="E100" s="166"/>
      <c r="F100" s="127" t="s">
        <v>308</v>
      </c>
      <c r="G100" s="127" t="s">
        <v>309</v>
      </c>
      <c r="H100" s="127" t="s">
        <v>310</v>
      </c>
      <c r="I100" s="127" t="s">
        <v>311</v>
      </c>
      <c r="J100" s="127" t="s">
        <v>312</v>
      </c>
      <c r="K100" s="1162"/>
      <c r="L100" s="1169"/>
      <c r="M100" s="1175"/>
      <c r="N100" s="125"/>
      <c r="O100" s="125"/>
      <c r="P100" s="125"/>
      <c r="Q100" s="115"/>
    </row>
    <row r="101" spans="1:17" s="113" customFormat="1" ht="16.5" customHeight="1" x14ac:dyDescent="0.35">
      <c r="A101" s="113">
        <v>1</v>
      </c>
      <c r="B101" s="128">
        <v>223</v>
      </c>
      <c r="C101" s="132" t="s">
        <v>42</v>
      </c>
      <c r="D101" s="130">
        <f t="shared" ref="D101:D110" si="7">+F101+G101+I101</f>
        <v>4.18</v>
      </c>
      <c r="E101" s="130">
        <f>'[1]road inventory 2018'!C93</f>
        <v>4.0999999999999996</v>
      </c>
      <c r="F101" s="130">
        <v>0</v>
      </c>
      <c r="G101" s="130">
        <v>0</v>
      </c>
      <c r="H101" s="130">
        <v>0</v>
      </c>
      <c r="I101" s="130">
        <v>4.18</v>
      </c>
      <c r="J101" s="130">
        <v>0</v>
      </c>
      <c r="K101" s="131" t="s">
        <v>207</v>
      </c>
      <c r="L101" s="132" t="s">
        <v>398</v>
      </c>
      <c r="M101" s="133"/>
      <c r="N101" s="118"/>
      <c r="O101" s="134">
        <f>D101</f>
        <v>4.18</v>
      </c>
      <c r="P101" s="134"/>
      <c r="Q101" s="115"/>
    </row>
    <row r="102" spans="1:17" s="113" customFormat="1" ht="16.5" customHeight="1" x14ac:dyDescent="0.35">
      <c r="A102" s="113">
        <v>2</v>
      </c>
      <c r="B102" s="135">
        <v>224</v>
      </c>
      <c r="C102" s="138" t="s">
        <v>44</v>
      </c>
      <c r="D102" s="137">
        <f t="shared" si="7"/>
        <v>7.1899999999999995</v>
      </c>
      <c r="E102" s="137">
        <f>'[1]road inventory 2018'!C94</f>
        <v>7.2</v>
      </c>
      <c r="F102" s="137">
        <f>2.25+0.06+0.9</f>
        <v>3.21</v>
      </c>
      <c r="G102" s="137">
        <v>0</v>
      </c>
      <c r="H102" s="137">
        <v>0</v>
      </c>
      <c r="I102" s="137">
        <f>3.19+0.79</f>
        <v>3.98</v>
      </c>
      <c r="J102" s="137">
        <v>0</v>
      </c>
      <c r="K102" s="141" t="s">
        <v>207</v>
      </c>
      <c r="L102" s="138" t="s">
        <v>399</v>
      </c>
      <c r="M102" s="139"/>
      <c r="N102" s="118"/>
      <c r="O102" s="134">
        <f t="shared" ref="O102:O110" si="8">D102</f>
        <v>7.1899999999999995</v>
      </c>
      <c r="P102" s="134"/>
      <c r="Q102" s="115"/>
    </row>
    <row r="103" spans="1:17" s="113" customFormat="1" ht="16.5" customHeight="1" x14ac:dyDescent="0.35">
      <c r="A103" s="113">
        <v>3</v>
      </c>
      <c r="B103" s="135">
        <v>45</v>
      </c>
      <c r="C103" s="138" t="s">
        <v>400</v>
      </c>
      <c r="D103" s="137">
        <f t="shared" si="7"/>
        <v>7.44</v>
      </c>
      <c r="E103" s="137">
        <f>'[1]road inventory 2018'!C95</f>
        <v>7.8999999999999995</v>
      </c>
      <c r="F103" s="137">
        <v>0.71</v>
      </c>
      <c r="G103" s="137">
        <v>0</v>
      </c>
      <c r="H103" s="137">
        <v>0</v>
      </c>
      <c r="I103" s="137">
        <v>6.73</v>
      </c>
      <c r="J103" s="137">
        <v>0</v>
      </c>
      <c r="K103" s="141" t="s">
        <v>207</v>
      </c>
      <c r="L103" s="138" t="s">
        <v>401</v>
      </c>
      <c r="M103" s="139"/>
      <c r="N103" s="118"/>
      <c r="O103" s="134">
        <f t="shared" si="8"/>
        <v>7.44</v>
      </c>
      <c r="P103" s="134"/>
      <c r="Q103" s="115"/>
    </row>
    <row r="104" spans="1:17" s="113" customFormat="1" ht="16.5" customHeight="1" x14ac:dyDescent="0.35">
      <c r="A104" s="113">
        <v>4</v>
      </c>
      <c r="B104" s="135">
        <v>217</v>
      </c>
      <c r="C104" s="138" t="s">
        <v>243</v>
      </c>
      <c r="D104" s="137">
        <f t="shared" si="7"/>
        <v>1.1399999999999999</v>
      </c>
      <c r="E104" s="137">
        <f>'[1]road inventory 2018'!C96</f>
        <v>1.1000000000000001</v>
      </c>
      <c r="F104" s="137">
        <v>1.1399999999999999</v>
      </c>
      <c r="G104" s="137">
        <v>0</v>
      </c>
      <c r="H104" s="137">
        <v>0</v>
      </c>
      <c r="I104" s="137">
        <v>0</v>
      </c>
      <c r="J104" s="137">
        <v>0</v>
      </c>
      <c r="K104" s="141" t="s">
        <v>209</v>
      </c>
      <c r="L104" s="138" t="s">
        <v>402</v>
      </c>
      <c r="M104" s="139"/>
      <c r="N104" s="118"/>
      <c r="O104" s="134">
        <f t="shared" si="8"/>
        <v>1.1399999999999999</v>
      </c>
      <c r="P104" s="134"/>
      <c r="Q104" s="115"/>
    </row>
    <row r="105" spans="1:17" s="113" customFormat="1" ht="16.5" customHeight="1" x14ac:dyDescent="0.35">
      <c r="A105" s="113">
        <v>5</v>
      </c>
      <c r="B105" s="135">
        <v>225</v>
      </c>
      <c r="C105" s="138" t="s">
        <v>403</v>
      </c>
      <c r="D105" s="137">
        <f t="shared" si="7"/>
        <v>0.36</v>
      </c>
      <c r="E105" s="137">
        <f>'[1]road inventory 2018'!C97</f>
        <v>0.4</v>
      </c>
      <c r="F105" s="137">
        <v>0</v>
      </c>
      <c r="G105" s="137">
        <v>0</v>
      </c>
      <c r="H105" s="137">
        <v>0</v>
      </c>
      <c r="I105" s="137">
        <v>0.36</v>
      </c>
      <c r="J105" s="137">
        <v>0</v>
      </c>
      <c r="K105" s="141" t="s">
        <v>207</v>
      </c>
      <c r="L105" s="138" t="s">
        <v>404</v>
      </c>
      <c r="M105" s="139"/>
      <c r="N105" s="118"/>
      <c r="O105" s="134">
        <f t="shared" si="8"/>
        <v>0.36</v>
      </c>
      <c r="P105" s="134"/>
      <c r="Q105" s="115"/>
    </row>
    <row r="106" spans="1:17" s="113" customFormat="1" ht="16.5" customHeight="1" x14ac:dyDescent="0.35">
      <c r="A106" s="113">
        <v>6</v>
      </c>
      <c r="B106" s="135">
        <v>226</v>
      </c>
      <c r="C106" s="138" t="s">
        <v>45</v>
      </c>
      <c r="D106" s="137">
        <f t="shared" si="7"/>
        <v>4.01</v>
      </c>
      <c r="E106" s="137">
        <f>'[1]road inventory 2018'!C98</f>
        <v>4.8</v>
      </c>
      <c r="F106" s="137">
        <v>0.86</v>
      </c>
      <c r="G106" s="137">
        <v>0</v>
      </c>
      <c r="H106" s="137">
        <v>0</v>
      </c>
      <c r="I106" s="137">
        <v>3.15</v>
      </c>
      <c r="J106" s="137">
        <v>0</v>
      </c>
      <c r="K106" s="141" t="s">
        <v>209</v>
      </c>
      <c r="L106" s="138" t="s">
        <v>405</v>
      </c>
      <c r="M106" s="139"/>
      <c r="N106" s="118"/>
      <c r="O106" s="134">
        <f t="shared" si="8"/>
        <v>4.01</v>
      </c>
      <c r="P106" s="134"/>
      <c r="Q106" s="115"/>
    </row>
    <row r="107" spans="1:17" s="113" customFormat="1" ht="16.5" customHeight="1" x14ac:dyDescent="0.35">
      <c r="A107" s="113">
        <v>7</v>
      </c>
      <c r="B107" s="135">
        <v>116</v>
      </c>
      <c r="C107" s="138" t="s">
        <v>47</v>
      </c>
      <c r="D107" s="137">
        <f t="shared" si="7"/>
        <v>12.3</v>
      </c>
      <c r="E107" s="137">
        <f>'[1]road inventory 2018'!C99</f>
        <v>12.3</v>
      </c>
      <c r="F107" s="137">
        <v>6.67</v>
      </c>
      <c r="G107" s="137">
        <v>0</v>
      </c>
      <c r="H107" s="137">
        <v>0</v>
      </c>
      <c r="I107" s="137">
        <v>5.63</v>
      </c>
      <c r="J107" s="137">
        <v>0</v>
      </c>
      <c r="K107" s="141" t="s">
        <v>206</v>
      </c>
      <c r="L107" s="138" t="s">
        <v>405</v>
      </c>
      <c r="M107" s="139"/>
      <c r="N107" s="118"/>
      <c r="O107" s="134">
        <f t="shared" si="8"/>
        <v>12.3</v>
      </c>
      <c r="P107" s="134"/>
      <c r="Q107" s="115"/>
    </row>
    <row r="108" spans="1:17" s="113" customFormat="1" ht="16.5" customHeight="1" x14ac:dyDescent="0.35">
      <c r="A108" s="113">
        <v>8</v>
      </c>
      <c r="B108" s="135">
        <v>46</v>
      </c>
      <c r="C108" s="138" t="s">
        <v>406</v>
      </c>
      <c r="D108" s="137">
        <f t="shared" si="7"/>
        <v>1.3</v>
      </c>
      <c r="E108" s="137">
        <f>'[1]road inventory 2018'!C100</f>
        <v>1.3</v>
      </c>
      <c r="F108" s="137">
        <v>1.3</v>
      </c>
      <c r="G108" s="137">
        <v>0</v>
      </c>
      <c r="H108" s="137">
        <v>0</v>
      </c>
      <c r="I108" s="137">
        <v>0</v>
      </c>
      <c r="J108" s="137">
        <v>0</v>
      </c>
      <c r="K108" s="141" t="s">
        <v>209</v>
      </c>
      <c r="L108" s="138" t="s">
        <v>407</v>
      </c>
      <c r="M108" s="139"/>
      <c r="N108" s="118"/>
      <c r="O108" s="134">
        <f t="shared" si="8"/>
        <v>1.3</v>
      </c>
      <c r="P108" s="134"/>
      <c r="Q108" s="115"/>
    </row>
    <row r="109" spans="1:17" s="113" customFormat="1" ht="16.5" customHeight="1" x14ac:dyDescent="0.35">
      <c r="A109" s="113">
        <v>9</v>
      </c>
      <c r="B109" s="135">
        <v>227</v>
      </c>
      <c r="C109" s="138" t="s">
        <v>408</v>
      </c>
      <c r="D109" s="137">
        <f t="shared" si="7"/>
        <v>7.43</v>
      </c>
      <c r="E109" s="137">
        <f>'[1]road inventory 2018'!C101</f>
        <v>7.2</v>
      </c>
      <c r="F109" s="137">
        <v>0</v>
      </c>
      <c r="G109" s="137">
        <v>0</v>
      </c>
      <c r="H109" s="137">
        <v>0</v>
      </c>
      <c r="I109" s="137">
        <v>7.43</v>
      </c>
      <c r="J109" s="137">
        <v>0</v>
      </c>
      <c r="K109" s="141" t="s">
        <v>207</v>
      </c>
      <c r="L109" s="138" t="s">
        <v>409</v>
      </c>
      <c r="M109" s="139"/>
      <c r="N109" s="118"/>
      <c r="O109" s="134">
        <f t="shared" si="8"/>
        <v>7.43</v>
      </c>
      <c r="P109" s="134"/>
      <c r="Q109" s="115"/>
    </row>
    <row r="110" spans="1:17" s="113" customFormat="1" ht="16.5" customHeight="1" x14ac:dyDescent="0.35">
      <c r="A110" s="113">
        <v>10</v>
      </c>
      <c r="B110" s="135">
        <v>100</v>
      </c>
      <c r="C110" s="138" t="s">
        <v>50</v>
      </c>
      <c r="D110" s="137">
        <f t="shared" si="7"/>
        <v>7.8</v>
      </c>
      <c r="E110" s="137">
        <f>'[1]road inventory 2018'!C102</f>
        <v>7.8</v>
      </c>
      <c r="F110" s="137">
        <v>0.3</v>
      </c>
      <c r="G110" s="137">
        <v>0</v>
      </c>
      <c r="H110" s="137">
        <v>0</v>
      </c>
      <c r="I110" s="137">
        <v>7.5</v>
      </c>
      <c r="J110" s="137">
        <v>0</v>
      </c>
      <c r="K110" s="141" t="s">
        <v>210</v>
      </c>
      <c r="L110" s="138" t="s">
        <v>410</v>
      </c>
      <c r="M110" s="139"/>
      <c r="N110" s="118"/>
      <c r="O110" s="134">
        <f t="shared" si="8"/>
        <v>7.8</v>
      </c>
      <c r="P110" s="134"/>
      <c r="Q110" s="115"/>
    </row>
    <row r="111" spans="1:17" s="113" customFormat="1" ht="16.5" customHeight="1" x14ac:dyDescent="0.35">
      <c r="B111" s="135"/>
      <c r="C111" s="138"/>
      <c r="D111" s="137">
        <f>SUM(D101:D110)</f>
        <v>53.15</v>
      </c>
      <c r="E111" s="137">
        <f>SUM(E101:E110)</f>
        <v>54.099999999999994</v>
      </c>
      <c r="F111" s="137"/>
      <c r="G111" s="137"/>
      <c r="H111" s="137"/>
      <c r="I111" s="137"/>
      <c r="J111" s="137"/>
      <c r="K111" s="141"/>
      <c r="L111" s="138"/>
      <c r="M111" s="139"/>
      <c r="N111" s="118"/>
      <c r="O111" s="118"/>
      <c r="P111" s="118"/>
      <c r="Q111" s="115"/>
    </row>
    <row r="112" spans="1:17" s="144" customFormat="1" ht="17.25" customHeight="1" thickBot="1" x14ac:dyDescent="0.4">
      <c r="B112" s="145" t="s">
        <v>341</v>
      </c>
      <c r="C112" s="178"/>
      <c r="D112" s="147">
        <f>F112+I112</f>
        <v>53.149999999999991</v>
      </c>
      <c r="E112" s="147"/>
      <c r="F112" s="147">
        <f>SUM(F101:F110)</f>
        <v>14.190000000000001</v>
      </c>
      <c r="G112" s="147">
        <f>SUM(G101:G110)</f>
        <v>0</v>
      </c>
      <c r="H112" s="147">
        <f>SUM(H101:H110)</f>
        <v>0</v>
      </c>
      <c r="I112" s="147">
        <f>SUM(I101:I110)</f>
        <v>38.959999999999994</v>
      </c>
      <c r="J112" s="147">
        <f>SUM(J101:J110)</f>
        <v>0</v>
      </c>
      <c r="K112" s="148"/>
      <c r="L112" s="146"/>
      <c r="M112" s="149"/>
      <c r="N112" s="150"/>
      <c r="O112" s="150"/>
      <c r="P112" s="194">
        <f>SUM(O101:O110)</f>
        <v>53.15</v>
      </c>
      <c r="Q112" s="151"/>
    </row>
    <row r="113" spans="1:17" s="113" customFormat="1" ht="7.5" customHeight="1" x14ac:dyDescent="0.35">
      <c r="B113" s="153"/>
      <c r="C113" s="195"/>
      <c r="D113" s="155"/>
      <c r="E113" s="155"/>
      <c r="F113" s="155"/>
      <c r="G113" s="155"/>
      <c r="H113" s="155"/>
      <c r="I113" s="155"/>
      <c r="J113" s="155"/>
      <c r="K113" s="156"/>
      <c r="L113" s="154"/>
      <c r="M113" s="154"/>
      <c r="N113" s="125"/>
      <c r="O113" s="125"/>
      <c r="P113" s="196"/>
      <c r="Q113" s="115"/>
    </row>
    <row r="114" spans="1:17" s="113" customFormat="1" ht="11.25" customHeight="1" thickBot="1" x14ac:dyDescent="0.4">
      <c r="B114" s="114"/>
      <c r="C114" s="196"/>
      <c r="D114" s="126"/>
      <c r="E114" s="126"/>
      <c r="F114" s="126"/>
      <c r="G114" s="126"/>
      <c r="H114" s="126"/>
      <c r="I114" s="126"/>
      <c r="J114" s="126"/>
      <c r="L114" s="125"/>
      <c r="M114" s="125"/>
      <c r="N114" s="125"/>
      <c r="O114" s="125"/>
      <c r="P114" s="196"/>
      <c r="Q114" s="115"/>
    </row>
    <row r="115" spans="1:17" s="113" customFormat="1" ht="18.5" thickBot="1" x14ac:dyDescent="0.4">
      <c r="B115" s="1156" t="s">
        <v>411</v>
      </c>
      <c r="C115" s="1157"/>
      <c r="D115" s="1157"/>
      <c r="E115" s="1157"/>
      <c r="F115" s="1157"/>
      <c r="G115" s="1157"/>
      <c r="H115" s="1157"/>
      <c r="I115" s="1157"/>
      <c r="J115" s="1157"/>
      <c r="K115" s="1157"/>
      <c r="L115" s="1157"/>
      <c r="M115" s="1158"/>
      <c r="Q115" s="115"/>
    </row>
    <row r="116" spans="1:17" s="113" customFormat="1" ht="9" customHeight="1" thickBot="1" x14ac:dyDescent="0.4">
      <c r="B116" s="159"/>
      <c r="C116" s="160"/>
      <c r="D116" s="161"/>
      <c r="E116" s="161"/>
      <c r="F116" s="161"/>
      <c r="G116" s="161"/>
      <c r="H116" s="161"/>
      <c r="I116" s="161"/>
      <c r="J116" s="161"/>
      <c r="K116" s="162"/>
      <c r="L116" s="163"/>
      <c r="M116" s="163"/>
      <c r="N116" s="125"/>
      <c r="O116" s="125"/>
      <c r="P116" s="125"/>
      <c r="Q116" s="115"/>
    </row>
    <row r="117" spans="1:17" s="113" customFormat="1" ht="21" customHeight="1" x14ac:dyDescent="0.35">
      <c r="B117" s="1159" t="s">
        <v>302</v>
      </c>
      <c r="C117" s="1161" t="s">
        <v>28</v>
      </c>
      <c r="D117" s="1163" t="s">
        <v>343</v>
      </c>
      <c r="E117" s="165"/>
      <c r="F117" s="1165" t="s">
        <v>305</v>
      </c>
      <c r="G117" s="1166"/>
      <c r="H117" s="1166"/>
      <c r="I117" s="1166"/>
      <c r="J117" s="1167"/>
      <c r="K117" s="1161" t="s">
        <v>29</v>
      </c>
      <c r="L117" s="1168" t="s">
        <v>306</v>
      </c>
      <c r="M117" s="1174" t="s">
        <v>307</v>
      </c>
      <c r="N117" s="125"/>
      <c r="O117" s="125"/>
      <c r="P117" s="125"/>
      <c r="Q117" s="115"/>
    </row>
    <row r="118" spans="1:17" s="113" customFormat="1" ht="21" customHeight="1" thickBot="1" x14ac:dyDescent="0.4">
      <c r="B118" s="1160"/>
      <c r="C118" s="1162"/>
      <c r="D118" s="1164"/>
      <c r="E118" s="166"/>
      <c r="F118" s="127" t="s">
        <v>308</v>
      </c>
      <c r="G118" s="127" t="s">
        <v>309</v>
      </c>
      <c r="H118" s="127" t="s">
        <v>310</v>
      </c>
      <c r="I118" s="127" t="s">
        <v>311</v>
      </c>
      <c r="J118" s="127" t="s">
        <v>312</v>
      </c>
      <c r="K118" s="1162"/>
      <c r="L118" s="1169"/>
      <c r="M118" s="1175"/>
      <c r="N118" s="125"/>
      <c r="O118" s="125"/>
      <c r="P118" s="125"/>
      <c r="Q118" s="115"/>
    </row>
    <row r="119" spans="1:17" s="113" customFormat="1" ht="16" customHeight="1" x14ac:dyDescent="0.35">
      <c r="A119" s="113">
        <v>1</v>
      </c>
      <c r="B119" s="128">
        <v>48</v>
      </c>
      <c r="C119" s="197" t="s">
        <v>254</v>
      </c>
      <c r="D119" s="130">
        <f t="shared" ref="D119:D143" si="9">+F119+G119+I119</f>
        <v>2.19</v>
      </c>
      <c r="E119" s="130">
        <f>'[1]road inventory 2018'!C109</f>
        <v>2.1</v>
      </c>
      <c r="F119" s="130">
        <v>0</v>
      </c>
      <c r="G119" s="130">
        <v>0</v>
      </c>
      <c r="H119" s="130">
        <v>0</v>
      </c>
      <c r="I119" s="130">
        <v>2.19</v>
      </c>
      <c r="J119" s="130">
        <v>0</v>
      </c>
      <c r="K119" s="131" t="s">
        <v>207</v>
      </c>
      <c r="L119" s="132" t="s">
        <v>412</v>
      </c>
      <c r="M119" s="133"/>
      <c r="N119" s="118"/>
      <c r="O119" s="134">
        <f>D119</f>
        <v>2.19</v>
      </c>
      <c r="P119" s="134"/>
      <c r="Q119" s="115"/>
    </row>
    <row r="120" spans="1:17" s="113" customFormat="1" ht="16" customHeight="1" x14ac:dyDescent="0.35">
      <c r="A120" s="113">
        <v>2</v>
      </c>
      <c r="B120" s="135">
        <v>50</v>
      </c>
      <c r="C120" s="198" t="s">
        <v>255</v>
      </c>
      <c r="D120" s="137">
        <f t="shared" si="9"/>
        <v>7.69</v>
      </c>
      <c r="E120" s="137">
        <f>'[1]road inventory 2018'!C110</f>
        <v>7.6</v>
      </c>
      <c r="F120" s="137">
        <v>2</v>
      </c>
      <c r="G120" s="137">
        <v>0</v>
      </c>
      <c r="H120" s="137">
        <v>0</v>
      </c>
      <c r="I120" s="137">
        <f>5.7-0.01</f>
        <v>5.69</v>
      </c>
      <c r="J120" s="137">
        <v>0</v>
      </c>
      <c r="K120" s="141" t="s">
        <v>206</v>
      </c>
      <c r="L120" s="138" t="s">
        <v>413</v>
      </c>
      <c r="M120" s="139"/>
      <c r="N120" s="118"/>
      <c r="O120" s="134">
        <f t="shared" ref="O120:O143" si="10">D120</f>
        <v>7.69</v>
      </c>
      <c r="P120" s="134"/>
      <c r="Q120" s="115"/>
    </row>
    <row r="121" spans="1:17" s="113" customFormat="1" ht="16" customHeight="1" x14ac:dyDescent="0.35">
      <c r="A121" s="113">
        <v>3</v>
      </c>
      <c r="B121" s="135">
        <v>51</v>
      </c>
      <c r="C121" s="198" t="s">
        <v>248</v>
      </c>
      <c r="D121" s="137">
        <f t="shared" si="9"/>
        <v>3.96</v>
      </c>
      <c r="E121" s="137">
        <f>'[1]road inventory 2018'!C111</f>
        <v>3</v>
      </c>
      <c r="F121" s="137">
        <v>0</v>
      </c>
      <c r="G121" s="137">
        <v>0</v>
      </c>
      <c r="H121" s="137">
        <v>0</v>
      </c>
      <c r="I121" s="137">
        <v>3.96</v>
      </c>
      <c r="J121" s="137">
        <v>0</v>
      </c>
      <c r="K121" s="141" t="s">
        <v>207</v>
      </c>
      <c r="L121" s="138" t="s">
        <v>414</v>
      </c>
      <c r="M121" s="139"/>
      <c r="N121" s="118"/>
      <c r="O121" s="134">
        <f t="shared" si="10"/>
        <v>3.96</v>
      </c>
      <c r="P121" s="134"/>
      <c r="Q121" s="115"/>
    </row>
    <row r="122" spans="1:17" s="113" customFormat="1" ht="16" customHeight="1" x14ac:dyDescent="0.35">
      <c r="A122" s="113">
        <v>4</v>
      </c>
      <c r="B122" s="135">
        <v>52</v>
      </c>
      <c r="C122" s="198" t="s">
        <v>251</v>
      </c>
      <c r="D122" s="137">
        <f t="shared" si="9"/>
        <v>6.64</v>
      </c>
      <c r="E122" s="137">
        <f>'[1]road inventory 2018'!C112</f>
        <v>6.5</v>
      </c>
      <c r="F122" s="137">
        <v>0</v>
      </c>
      <c r="G122" s="137">
        <v>0</v>
      </c>
      <c r="H122" s="137">
        <v>0</v>
      </c>
      <c r="I122" s="137">
        <v>6.64</v>
      </c>
      <c r="J122" s="137">
        <v>0</v>
      </c>
      <c r="K122" s="141" t="s">
        <v>206</v>
      </c>
      <c r="L122" s="138" t="s">
        <v>415</v>
      </c>
      <c r="M122" s="139"/>
      <c r="N122" s="118"/>
      <c r="O122" s="134">
        <f t="shared" si="10"/>
        <v>6.64</v>
      </c>
      <c r="P122" s="134"/>
      <c r="Q122" s="115"/>
    </row>
    <row r="123" spans="1:17" s="113" customFormat="1" ht="16" customHeight="1" x14ac:dyDescent="0.35">
      <c r="A123" s="113">
        <v>5</v>
      </c>
      <c r="B123" s="135">
        <v>53</v>
      </c>
      <c r="C123" s="198" t="s">
        <v>249</v>
      </c>
      <c r="D123" s="137">
        <f t="shared" si="9"/>
        <v>6.46</v>
      </c>
      <c r="E123" s="137">
        <f>'[1]road inventory 2018'!C113</f>
        <v>6.4</v>
      </c>
      <c r="F123" s="137">
        <v>5.64</v>
      </c>
      <c r="G123" s="137">
        <v>0</v>
      </c>
      <c r="H123" s="137">
        <v>0</v>
      </c>
      <c r="I123" s="137">
        <v>0.82</v>
      </c>
      <c r="J123" s="137">
        <v>0</v>
      </c>
      <c r="K123" s="141" t="s">
        <v>206</v>
      </c>
      <c r="L123" s="138" t="s">
        <v>416</v>
      </c>
      <c r="M123" s="139"/>
      <c r="N123" s="118"/>
      <c r="O123" s="134">
        <f t="shared" si="10"/>
        <v>6.46</v>
      </c>
      <c r="P123" s="134"/>
      <c r="Q123" s="115"/>
    </row>
    <row r="124" spans="1:17" s="113" customFormat="1" ht="16" customHeight="1" x14ac:dyDescent="0.35">
      <c r="A124" s="113">
        <v>6</v>
      </c>
      <c r="B124" s="135">
        <v>54</v>
      </c>
      <c r="C124" s="198" t="s">
        <v>252</v>
      </c>
      <c r="D124" s="137">
        <f t="shared" si="9"/>
        <v>1.69</v>
      </c>
      <c r="E124" s="137">
        <f>'[1]road inventory 2018'!C114</f>
        <v>1.6</v>
      </c>
      <c r="F124" s="137">
        <v>1.18</v>
      </c>
      <c r="G124" s="137">
        <v>0</v>
      </c>
      <c r="H124" s="137">
        <v>0</v>
      </c>
      <c r="I124" s="137">
        <v>0.51</v>
      </c>
      <c r="J124" s="137">
        <v>0</v>
      </c>
      <c r="K124" s="141" t="s">
        <v>209</v>
      </c>
      <c r="L124" s="138" t="s">
        <v>417</v>
      </c>
      <c r="M124" s="139"/>
      <c r="N124" s="118"/>
      <c r="O124" s="134">
        <f t="shared" si="10"/>
        <v>1.69</v>
      </c>
      <c r="P124" s="134"/>
      <c r="Q124" s="115"/>
    </row>
    <row r="125" spans="1:17" s="113" customFormat="1" ht="16" customHeight="1" x14ac:dyDescent="0.35">
      <c r="A125" s="113">
        <v>7</v>
      </c>
      <c r="B125" s="135">
        <v>103</v>
      </c>
      <c r="C125" s="198" t="s">
        <v>245</v>
      </c>
      <c r="D125" s="137">
        <f t="shared" si="9"/>
        <v>1.24</v>
      </c>
      <c r="E125" s="137">
        <f>'[1]road inventory 2018'!C115</f>
        <v>1.2</v>
      </c>
      <c r="F125" s="137">
        <v>0.19</v>
      </c>
      <c r="G125" s="137">
        <v>0</v>
      </c>
      <c r="H125" s="137">
        <v>0</v>
      </c>
      <c r="I125" s="137">
        <v>1.05</v>
      </c>
      <c r="J125" s="137">
        <v>0</v>
      </c>
      <c r="K125" s="141" t="s">
        <v>206</v>
      </c>
      <c r="L125" s="138" t="s">
        <v>418</v>
      </c>
      <c r="M125" s="139"/>
      <c r="N125" s="118"/>
      <c r="O125" s="134">
        <f t="shared" si="10"/>
        <v>1.24</v>
      </c>
      <c r="P125" s="134"/>
      <c r="Q125" s="115"/>
    </row>
    <row r="126" spans="1:17" s="113" customFormat="1" ht="16" customHeight="1" x14ac:dyDescent="0.35">
      <c r="A126" s="113">
        <v>8</v>
      </c>
      <c r="B126" s="135">
        <v>55</v>
      </c>
      <c r="C126" s="198" t="s">
        <v>244</v>
      </c>
      <c r="D126" s="137">
        <f t="shared" si="9"/>
        <v>4.18</v>
      </c>
      <c r="E126" s="137">
        <f>'[1]road inventory 2018'!C116</f>
        <v>4.0999999999999996</v>
      </c>
      <c r="F126" s="137">
        <v>0</v>
      </c>
      <c r="G126" s="137">
        <v>0</v>
      </c>
      <c r="H126" s="137">
        <v>0</v>
      </c>
      <c r="I126" s="137">
        <v>4.18</v>
      </c>
      <c r="J126" s="137">
        <v>0</v>
      </c>
      <c r="K126" s="141" t="s">
        <v>207</v>
      </c>
      <c r="L126" s="138" t="s">
        <v>419</v>
      </c>
      <c r="M126" s="139"/>
      <c r="N126" s="118"/>
      <c r="O126" s="134">
        <f t="shared" si="10"/>
        <v>4.18</v>
      </c>
      <c r="P126" s="134"/>
      <c r="Q126" s="115"/>
    </row>
    <row r="127" spans="1:17" s="113" customFormat="1" ht="16" customHeight="1" x14ac:dyDescent="0.35">
      <c r="A127" s="113">
        <v>9</v>
      </c>
      <c r="B127" s="135">
        <v>57</v>
      </c>
      <c r="C127" s="198" t="s">
        <v>268</v>
      </c>
      <c r="D127" s="137">
        <f t="shared" si="9"/>
        <v>1.36</v>
      </c>
      <c r="E127" s="137">
        <f>'[1]road inventory 2018'!C117</f>
        <v>1.3</v>
      </c>
      <c r="F127" s="137">
        <v>0.3</v>
      </c>
      <c r="G127" s="137">
        <v>0</v>
      </c>
      <c r="H127" s="137">
        <v>0</v>
      </c>
      <c r="I127" s="137">
        <v>1.06</v>
      </c>
      <c r="J127" s="137">
        <v>0</v>
      </c>
      <c r="K127" s="141" t="s">
        <v>206</v>
      </c>
      <c r="L127" s="138" t="s">
        <v>420</v>
      </c>
      <c r="M127" s="139"/>
      <c r="N127" s="118"/>
      <c r="O127" s="134">
        <f t="shared" si="10"/>
        <v>1.36</v>
      </c>
      <c r="P127" s="134"/>
      <c r="Q127" s="115"/>
    </row>
    <row r="128" spans="1:17" s="113" customFormat="1" ht="16" customHeight="1" x14ac:dyDescent="0.35">
      <c r="A128" s="113">
        <v>10</v>
      </c>
      <c r="B128" s="135">
        <v>58</v>
      </c>
      <c r="C128" s="198" t="s">
        <v>421</v>
      </c>
      <c r="D128" s="137">
        <f t="shared" si="9"/>
        <v>0.36</v>
      </c>
      <c r="E128" s="137">
        <f>'[1]road inventory 2018'!C118</f>
        <v>0.3</v>
      </c>
      <c r="F128" s="137">
        <v>0</v>
      </c>
      <c r="G128" s="137">
        <v>0</v>
      </c>
      <c r="H128" s="137">
        <v>0</v>
      </c>
      <c r="I128" s="137">
        <v>0.36</v>
      </c>
      <c r="J128" s="137">
        <v>0</v>
      </c>
      <c r="K128" s="141" t="s">
        <v>206</v>
      </c>
      <c r="L128" s="138" t="s">
        <v>422</v>
      </c>
      <c r="M128" s="139"/>
      <c r="N128" s="118"/>
      <c r="O128" s="134">
        <f t="shared" si="10"/>
        <v>0.36</v>
      </c>
      <c r="P128" s="134"/>
      <c r="Q128" s="115"/>
    </row>
    <row r="129" spans="1:17" s="113" customFormat="1" ht="16" customHeight="1" x14ac:dyDescent="0.35">
      <c r="A129" s="113">
        <v>11</v>
      </c>
      <c r="B129" s="135">
        <v>59</v>
      </c>
      <c r="C129" s="198" t="s">
        <v>262</v>
      </c>
      <c r="D129" s="137">
        <f t="shared" si="9"/>
        <v>0.8</v>
      </c>
      <c r="E129" s="137">
        <f>'[1]road inventory 2018'!C119</f>
        <v>0.8</v>
      </c>
      <c r="F129" s="137">
        <v>0</v>
      </c>
      <c r="G129" s="137">
        <v>0</v>
      </c>
      <c r="H129" s="137">
        <v>0</v>
      </c>
      <c r="I129" s="137">
        <v>0.8</v>
      </c>
      <c r="J129" s="137">
        <v>0</v>
      </c>
      <c r="K129" s="141" t="s">
        <v>206</v>
      </c>
      <c r="L129" s="138" t="s">
        <v>422</v>
      </c>
      <c r="M129" s="139"/>
      <c r="N129" s="118"/>
      <c r="O129" s="134">
        <f t="shared" si="10"/>
        <v>0.8</v>
      </c>
      <c r="P129" s="134"/>
      <c r="Q129" s="115"/>
    </row>
    <row r="130" spans="1:17" s="113" customFormat="1" ht="16" customHeight="1" x14ac:dyDescent="0.35">
      <c r="A130" s="113">
        <v>12</v>
      </c>
      <c r="B130" s="135">
        <v>97</v>
      </c>
      <c r="C130" s="198" t="s">
        <v>51</v>
      </c>
      <c r="D130" s="137">
        <f t="shared" si="9"/>
        <v>8.4499999999999993</v>
      </c>
      <c r="E130" s="137">
        <f>'[1]road inventory 2018'!C120</f>
        <v>8.3000000000000007</v>
      </c>
      <c r="F130" s="137">
        <v>8.4499999999999993</v>
      </c>
      <c r="G130" s="137">
        <v>0</v>
      </c>
      <c r="H130" s="137">
        <v>0</v>
      </c>
      <c r="I130" s="137">
        <v>0</v>
      </c>
      <c r="J130" s="137">
        <v>0</v>
      </c>
      <c r="K130" s="141" t="s">
        <v>206</v>
      </c>
      <c r="L130" s="138" t="s">
        <v>423</v>
      </c>
      <c r="M130" s="139"/>
      <c r="N130" s="118"/>
      <c r="O130" s="134">
        <f t="shared" si="10"/>
        <v>8.4499999999999993</v>
      </c>
      <c r="P130" s="134"/>
      <c r="Q130" s="115"/>
    </row>
    <row r="131" spans="1:17" s="113" customFormat="1" ht="16" customHeight="1" x14ac:dyDescent="0.35">
      <c r="A131" s="113">
        <v>13</v>
      </c>
      <c r="B131" s="135">
        <v>56</v>
      </c>
      <c r="C131" s="198" t="s">
        <v>250</v>
      </c>
      <c r="D131" s="137">
        <f t="shared" si="9"/>
        <v>5.72</v>
      </c>
      <c r="E131" s="137">
        <f>'[1]road inventory 2018'!C121</f>
        <v>5.7</v>
      </c>
      <c r="F131" s="137">
        <f>1.73-0.01</f>
        <v>1.72</v>
      </c>
      <c r="G131" s="137">
        <v>0</v>
      </c>
      <c r="H131" s="137">
        <v>0</v>
      </c>
      <c r="I131" s="137">
        <v>4</v>
      </c>
      <c r="J131" s="137">
        <v>0</v>
      </c>
      <c r="K131" s="141" t="s">
        <v>206</v>
      </c>
      <c r="L131" s="138" t="s">
        <v>414</v>
      </c>
      <c r="M131" s="139"/>
      <c r="N131" s="118"/>
      <c r="O131" s="134">
        <f t="shared" si="10"/>
        <v>5.72</v>
      </c>
      <c r="P131" s="134"/>
      <c r="Q131" s="115"/>
    </row>
    <row r="132" spans="1:17" s="113" customFormat="1" ht="16" customHeight="1" x14ac:dyDescent="0.35">
      <c r="A132" s="113">
        <v>14</v>
      </c>
      <c r="B132" s="135">
        <v>60</v>
      </c>
      <c r="C132" s="198" t="s">
        <v>253</v>
      </c>
      <c r="D132" s="137">
        <f t="shared" si="9"/>
        <v>9.1999999999999993</v>
      </c>
      <c r="E132" s="137">
        <f>'[1]road inventory 2018'!C122</f>
        <v>9.1999999999999993</v>
      </c>
      <c r="F132" s="137">
        <v>7.1</v>
      </c>
      <c r="G132" s="137">
        <v>0</v>
      </c>
      <c r="H132" s="137">
        <v>0</v>
      </c>
      <c r="I132" s="137">
        <v>2.1</v>
      </c>
      <c r="J132" s="137">
        <v>0</v>
      </c>
      <c r="K132" s="141" t="s">
        <v>209</v>
      </c>
      <c r="L132" s="138" t="s">
        <v>424</v>
      </c>
      <c r="M132" s="139"/>
      <c r="N132" s="118"/>
      <c r="O132" s="134">
        <f t="shared" si="10"/>
        <v>9.1999999999999993</v>
      </c>
      <c r="P132" s="134"/>
      <c r="Q132" s="115"/>
    </row>
    <row r="133" spans="1:17" s="113" customFormat="1" ht="16" customHeight="1" x14ac:dyDescent="0.35">
      <c r="A133" s="113">
        <v>15</v>
      </c>
      <c r="B133" s="135">
        <v>61</v>
      </c>
      <c r="C133" s="198" t="s">
        <v>260</v>
      </c>
      <c r="D133" s="137">
        <f t="shared" si="9"/>
        <v>4.5</v>
      </c>
      <c r="E133" s="137">
        <f>'[1]road inventory 2018'!C123</f>
        <v>4.5</v>
      </c>
      <c r="F133" s="137">
        <v>1.63</v>
      </c>
      <c r="G133" s="137">
        <v>0</v>
      </c>
      <c r="H133" s="137">
        <v>0</v>
      </c>
      <c r="I133" s="137">
        <f>2.88-0.01</f>
        <v>2.87</v>
      </c>
      <c r="J133" s="137">
        <v>0</v>
      </c>
      <c r="K133" s="141" t="s">
        <v>206</v>
      </c>
      <c r="L133" s="138" t="s">
        <v>425</v>
      </c>
      <c r="M133" s="139"/>
      <c r="N133" s="118"/>
      <c r="O133" s="134">
        <f t="shared" si="10"/>
        <v>4.5</v>
      </c>
      <c r="P133" s="134"/>
      <c r="Q133" s="115"/>
    </row>
    <row r="134" spans="1:17" s="113" customFormat="1" ht="16" customHeight="1" x14ac:dyDescent="0.35">
      <c r="A134" s="113">
        <v>16</v>
      </c>
      <c r="B134" s="135">
        <v>62</v>
      </c>
      <c r="C134" s="198" t="s">
        <v>269</v>
      </c>
      <c r="D134" s="137">
        <f t="shared" si="9"/>
        <v>3.03</v>
      </c>
      <c r="E134" s="137">
        <f>'[1]road inventory 2018'!C124</f>
        <v>2</v>
      </c>
      <c r="F134" s="137">
        <v>0</v>
      </c>
      <c r="G134" s="137">
        <v>0</v>
      </c>
      <c r="H134" s="137">
        <v>0</v>
      </c>
      <c r="I134" s="137">
        <v>3.03</v>
      </c>
      <c r="J134" s="137">
        <v>0</v>
      </c>
      <c r="K134" s="141" t="s">
        <v>206</v>
      </c>
      <c r="L134" s="138" t="s">
        <v>426</v>
      </c>
      <c r="M134" s="139"/>
      <c r="N134" s="118"/>
      <c r="O134" s="134">
        <f t="shared" si="10"/>
        <v>3.03</v>
      </c>
      <c r="P134" s="134"/>
      <c r="Q134" s="115"/>
    </row>
    <row r="135" spans="1:17" s="113" customFormat="1" ht="16" customHeight="1" x14ac:dyDescent="0.35">
      <c r="A135" s="113">
        <v>17</v>
      </c>
      <c r="B135" s="135">
        <v>63</v>
      </c>
      <c r="C135" s="198" t="s">
        <v>265</v>
      </c>
      <c r="D135" s="137">
        <f t="shared" si="9"/>
        <v>3.04</v>
      </c>
      <c r="E135" s="137">
        <f>'[1]road inventory 2018'!C125</f>
        <v>3</v>
      </c>
      <c r="F135" s="137">
        <v>1.1100000000000001</v>
      </c>
      <c r="G135" s="137">
        <v>0</v>
      </c>
      <c r="H135" s="137">
        <v>0</v>
      </c>
      <c r="I135" s="137">
        <v>1.93</v>
      </c>
      <c r="J135" s="137">
        <v>0</v>
      </c>
      <c r="K135" s="141" t="s">
        <v>206</v>
      </c>
      <c r="L135" s="138" t="s">
        <v>427</v>
      </c>
      <c r="M135" s="139"/>
      <c r="N135" s="118"/>
      <c r="O135" s="134">
        <f t="shared" si="10"/>
        <v>3.04</v>
      </c>
      <c r="P135" s="134"/>
      <c r="Q135" s="115"/>
    </row>
    <row r="136" spans="1:17" s="113" customFormat="1" ht="16" customHeight="1" x14ac:dyDescent="0.35">
      <c r="A136" s="113">
        <v>18</v>
      </c>
      <c r="B136" s="135">
        <v>98</v>
      </c>
      <c r="C136" s="198" t="s">
        <v>247</v>
      </c>
      <c r="D136" s="137">
        <f t="shared" si="9"/>
        <v>4.9800000000000004</v>
      </c>
      <c r="E136" s="137">
        <f>'[1]road inventory 2018'!C126</f>
        <v>5.1000000000000005</v>
      </c>
      <c r="F136" s="137">
        <v>4.9800000000000004</v>
      </c>
      <c r="G136" s="137">
        <v>0</v>
      </c>
      <c r="H136" s="137">
        <v>0</v>
      </c>
      <c r="I136" s="137">
        <v>0</v>
      </c>
      <c r="J136" s="137">
        <v>0</v>
      </c>
      <c r="K136" s="141" t="s">
        <v>209</v>
      </c>
      <c r="L136" s="138" t="s">
        <v>428</v>
      </c>
      <c r="M136" s="139"/>
      <c r="N136" s="118"/>
      <c r="O136" s="134">
        <f t="shared" si="10"/>
        <v>4.9800000000000004</v>
      </c>
      <c r="P136" s="134"/>
      <c r="Q136" s="115"/>
    </row>
    <row r="137" spans="1:17" s="113" customFormat="1" ht="16" customHeight="1" x14ac:dyDescent="0.35">
      <c r="A137" s="113">
        <v>19</v>
      </c>
      <c r="B137" s="135">
        <v>64</v>
      </c>
      <c r="C137" s="198" t="s">
        <v>246</v>
      </c>
      <c r="D137" s="137">
        <f t="shared" si="9"/>
        <v>3.6399999999999997</v>
      </c>
      <c r="E137" s="137">
        <f>'[1]road inventory 2018'!C127</f>
        <v>3.6</v>
      </c>
      <c r="F137" s="137">
        <f>3.76-0.12</f>
        <v>3.6399999999999997</v>
      </c>
      <c r="G137" s="137">
        <v>0</v>
      </c>
      <c r="H137" s="137">
        <v>0</v>
      </c>
      <c r="I137" s="137">
        <v>0</v>
      </c>
      <c r="J137" s="137">
        <v>0</v>
      </c>
      <c r="K137" s="141" t="s">
        <v>209</v>
      </c>
      <c r="L137" s="138" t="s">
        <v>429</v>
      </c>
      <c r="M137" s="139"/>
      <c r="N137" s="118"/>
      <c r="O137" s="134">
        <f t="shared" si="10"/>
        <v>3.6399999999999997</v>
      </c>
      <c r="P137" s="134"/>
      <c r="Q137" s="115"/>
    </row>
    <row r="138" spans="1:17" s="113" customFormat="1" ht="16" customHeight="1" x14ac:dyDescent="0.35">
      <c r="A138" s="113">
        <v>20</v>
      </c>
      <c r="B138" s="135">
        <v>96</v>
      </c>
      <c r="C138" s="198" t="s">
        <v>270</v>
      </c>
      <c r="D138" s="137">
        <f t="shared" si="9"/>
        <v>5.73</v>
      </c>
      <c r="E138" s="137">
        <f>'[1]road inventory 2018'!C128</f>
        <v>5.6999999999999993</v>
      </c>
      <c r="F138" s="137">
        <v>3.47</v>
      </c>
      <c r="G138" s="137">
        <v>0</v>
      </c>
      <c r="H138" s="137">
        <v>0</v>
      </c>
      <c r="I138" s="137">
        <f>2.36-0.1</f>
        <v>2.2599999999999998</v>
      </c>
      <c r="J138" s="137">
        <v>0</v>
      </c>
      <c r="K138" s="141" t="s">
        <v>206</v>
      </c>
      <c r="L138" s="138" t="s">
        <v>430</v>
      </c>
      <c r="M138" s="139"/>
      <c r="N138" s="118"/>
      <c r="O138" s="134">
        <f t="shared" si="10"/>
        <v>5.73</v>
      </c>
      <c r="P138" s="134"/>
      <c r="Q138" s="115"/>
    </row>
    <row r="139" spans="1:17" s="113" customFormat="1" ht="16" customHeight="1" x14ac:dyDescent="0.35">
      <c r="A139" s="113">
        <v>21</v>
      </c>
      <c r="B139" s="135">
        <v>65</v>
      </c>
      <c r="C139" s="198" t="s">
        <v>261</v>
      </c>
      <c r="D139" s="137">
        <f t="shared" si="9"/>
        <v>2.7</v>
      </c>
      <c r="E139" s="137">
        <f>'[1]road inventory 2018'!C129</f>
        <v>1.65</v>
      </c>
      <c r="F139" s="137">
        <v>0</v>
      </c>
      <c r="G139" s="137">
        <v>0</v>
      </c>
      <c r="H139" s="137">
        <v>0</v>
      </c>
      <c r="I139" s="137">
        <v>2.7</v>
      </c>
      <c r="J139" s="137">
        <v>0</v>
      </c>
      <c r="K139" s="141" t="s">
        <v>206</v>
      </c>
      <c r="L139" s="138" t="s">
        <v>431</v>
      </c>
      <c r="M139" s="139"/>
      <c r="N139" s="118"/>
      <c r="O139" s="134">
        <f t="shared" si="10"/>
        <v>2.7</v>
      </c>
      <c r="P139" s="134"/>
      <c r="Q139" s="115"/>
    </row>
    <row r="140" spans="1:17" s="113" customFormat="1" ht="16" customHeight="1" x14ac:dyDescent="0.35">
      <c r="A140" s="113">
        <v>22</v>
      </c>
      <c r="B140" s="135">
        <v>66</v>
      </c>
      <c r="C140" s="198" t="s">
        <v>432</v>
      </c>
      <c r="D140" s="137">
        <f t="shared" si="9"/>
        <v>4.2</v>
      </c>
      <c r="E140" s="137">
        <f>'[1]road inventory 2018'!C130</f>
        <v>3.8000000000000003</v>
      </c>
      <c r="F140" s="137">
        <v>0</v>
      </c>
      <c r="G140" s="137">
        <v>0</v>
      </c>
      <c r="H140" s="137">
        <v>0</v>
      </c>
      <c r="I140" s="137">
        <v>4.2</v>
      </c>
      <c r="J140" s="137">
        <v>0</v>
      </c>
      <c r="K140" s="141" t="s">
        <v>206</v>
      </c>
      <c r="L140" s="138" t="s">
        <v>433</v>
      </c>
      <c r="M140" s="139"/>
      <c r="N140" s="118"/>
      <c r="O140" s="134">
        <f t="shared" si="10"/>
        <v>4.2</v>
      </c>
      <c r="P140" s="134"/>
      <c r="Q140" s="115"/>
    </row>
    <row r="141" spans="1:17" s="113" customFormat="1" ht="16" customHeight="1" x14ac:dyDescent="0.35">
      <c r="A141" s="113">
        <v>23</v>
      </c>
      <c r="B141" s="135">
        <v>67</v>
      </c>
      <c r="C141" s="198" t="s">
        <v>267</v>
      </c>
      <c r="D141" s="137">
        <f t="shared" si="9"/>
        <v>2.1</v>
      </c>
      <c r="E141" s="137">
        <f>'[1]road inventory 2018'!C131</f>
        <v>1.9</v>
      </c>
      <c r="F141" s="137">
        <v>0.5</v>
      </c>
      <c r="G141" s="137">
        <v>0</v>
      </c>
      <c r="H141" s="137">
        <v>0</v>
      </c>
      <c r="I141" s="137">
        <v>1.6</v>
      </c>
      <c r="J141" s="137">
        <v>0</v>
      </c>
      <c r="K141" s="141" t="s">
        <v>207</v>
      </c>
      <c r="L141" s="138" t="s">
        <v>434</v>
      </c>
      <c r="M141" s="139"/>
      <c r="N141" s="118"/>
      <c r="O141" s="134">
        <f t="shared" si="10"/>
        <v>2.1</v>
      </c>
      <c r="P141" s="134"/>
      <c r="Q141" s="115"/>
    </row>
    <row r="142" spans="1:17" s="113" customFormat="1" ht="16" customHeight="1" x14ac:dyDescent="0.35">
      <c r="A142" s="113">
        <v>24</v>
      </c>
      <c r="B142" s="135">
        <v>68</v>
      </c>
      <c r="C142" s="198" t="s">
        <v>266</v>
      </c>
      <c r="D142" s="137">
        <f t="shared" si="9"/>
        <v>1.65</v>
      </c>
      <c r="E142" s="137">
        <f>'[1]road inventory 2018'!C132</f>
        <v>1.5999999999999999</v>
      </c>
      <c r="F142" s="137">
        <v>0.25</v>
      </c>
      <c r="G142" s="137">
        <v>0</v>
      </c>
      <c r="H142" s="137">
        <v>0</v>
      </c>
      <c r="I142" s="137">
        <v>1.4</v>
      </c>
      <c r="J142" s="137">
        <v>0</v>
      </c>
      <c r="K142" s="141" t="s">
        <v>207</v>
      </c>
      <c r="L142" s="138" t="s">
        <v>434</v>
      </c>
      <c r="M142" s="139"/>
      <c r="N142" s="118"/>
      <c r="O142" s="134">
        <f t="shared" si="10"/>
        <v>1.65</v>
      </c>
      <c r="P142" s="134"/>
      <c r="Q142" s="115"/>
    </row>
    <row r="143" spans="1:17" s="113" customFormat="1" ht="16" customHeight="1" x14ac:dyDescent="0.35">
      <c r="A143" s="113">
        <v>25</v>
      </c>
      <c r="B143" s="135">
        <v>69</v>
      </c>
      <c r="C143" s="198" t="s">
        <v>264</v>
      </c>
      <c r="D143" s="137">
        <f t="shared" si="9"/>
        <v>1.68</v>
      </c>
      <c r="E143" s="137">
        <f>'[1]road inventory 2018'!C133</f>
        <v>1.6</v>
      </c>
      <c r="F143" s="137">
        <v>0</v>
      </c>
      <c r="G143" s="137">
        <v>0</v>
      </c>
      <c r="H143" s="137">
        <v>0</v>
      </c>
      <c r="I143" s="137">
        <v>1.68</v>
      </c>
      <c r="J143" s="137">
        <v>0</v>
      </c>
      <c r="K143" s="141" t="s">
        <v>207</v>
      </c>
      <c r="L143" s="138" t="s">
        <v>435</v>
      </c>
      <c r="M143" s="139"/>
      <c r="N143" s="118"/>
      <c r="O143" s="134">
        <f t="shared" si="10"/>
        <v>1.68</v>
      </c>
      <c r="P143" s="134"/>
      <c r="Q143" s="115"/>
    </row>
    <row r="144" spans="1:17" s="113" customFormat="1" ht="21" customHeight="1" x14ac:dyDescent="0.35">
      <c r="B144" s="1170" t="s">
        <v>302</v>
      </c>
      <c r="C144" s="1171" t="s">
        <v>28</v>
      </c>
      <c r="D144" s="1172" t="s">
        <v>343</v>
      </c>
      <c r="E144" s="199"/>
      <c r="F144" s="1173" t="s">
        <v>305</v>
      </c>
      <c r="G144" s="1173"/>
      <c r="H144" s="1173"/>
      <c r="I144" s="1173"/>
      <c r="J144" s="1173"/>
      <c r="K144" s="1171" t="s">
        <v>29</v>
      </c>
      <c r="L144" s="1171" t="s">
        <v>306</v>
      </c>
      <c r="M144" s="1155" t="s">
        <v>307</v>
      </c>
      <c r="N144" s="125"/>
      <c r="O144" s="125"/>
      <c r="P144" s="125"/>
      <c r="Q144" s="115"/>
    </row>
    <row r="145" spans="1:17" s="113" customFormat="1" ht="21" customHeight="1" x14ac:dyDescent="0.35">
      <c r="B145" s="1170"/>
      <c r="C145" s="1171"/>
      <c r="D145" s="1172"/>
      <c r="E145" s="199"/>
      <c r="F145" s="200" t="s">
        <v>308</v>
      </c>
      <c r="G145" s="200" t="s">
        <v>309</v>
      </c>
      <c r="H145" s="200" t="s">
        <v>310</v>
      </c>
      <c r="I145" s="200" t="s">
        <v>311</v>
      </c>
      <c r="J145" s="200" t="s">
        <v>312</v>
      </c>
      <c r="K145" s="1171"/>
      <c r="L145" s="1171"/>
      <c r="M145" s="1155"/>
      <c r="N145" s="125"/>
      <c r="O145" s="125"/>
      <c r="P145" s="125"/>
      <c r="Q145" s="115"/>
    </row>
    <row r="146" spans="1:17" s="113" customFormat="1" ht="16" customHeight="1" x14ac:dyDescent="0.35">
      <c r="A146" s="113">
        <v>26</v>
      </c>
      <c r="B146" s="135">
        <v>70</v>
      </c>
      <c r="C146" s="198" t="s">
        <v>263</v>
      </c>
      <c r="D146" s="137">
        <f t="shared" ref="D146:D152" si="11">+F146+G146+I146</f>
        <v>2.77</v>
      </c>
      <c r="E146" s="137">
        <f>'[1]road inventory 2018'!C136</f>
        <v>2.6</v>
      </c>
      <c r="F146" s="137">
        <v>0</v>
      </c>
      <c r="G146" s="137">
        <v>0</v>
      </c>
      <c r="H146" s="137">
        <v>0</v>
      </c>
      <c r="I146" s="137">
        <v>2.77</v>
      </c>
      <c r="J146" s="137">
        <v>0</v>
      </c>
      <c r="K146" s="141" t="s">
        <v>207</v>
      </c>
      <c r="L146" s="138" t="s">
        <v>436</v>
      </c>
      <c r="M146" s="139"/>
      <c r="N146" s="118"/>
      <c r="O146" s="134">
        <f>D146</f>
        <v>2.77</v>
      </c>
      <c r="P146" s="134"/>
      <c r="Q146" s="115"/>
    </row>
    <row r="147" spans="1:17" s="113" customFormat="1" ht="16" customHeight="1" x14ac:dyDescent="0.35">
      <c r="A147" s="113">
        <v>27</v>
      </c>
      <c r="B147" s="135">
        <v>71</v>
      </c>
      <c r="C147" s="198" t="s">
        <v>54</v>
      </c>
      <c r="D147" s="137">
        <f t="shared" si="11"/>
        <v>2.68</v>
      </c>
      <c r="E147" s="137">
        <f>'[1]road inventory 2018'!C137</f>
        <v>2.7</v>
      </c>
      <c r="F147" s="137">
        <v>0</v>
      </c>
      <c r="G147" s="137">
        <v>0</v>
      </c>
      <c r="H147" s="137">
        <v>0</v>
      </c>
      <c r="I147" s="137">
        <v>2.68</v>
      </c>
      <c r="J147" s="137">
        <v>0</v>
      </c>
      <c r="K147" s="141" t="s">
        <v>206</v>
      </c>
      <c r="L147" s="138" t="s">
        <v>437</v>
      </c>
      <c r="M147" s="139"/>
      <c r="N147" s="118"/>
      <c r="O147" s="134">
        <f t="shared" ref="O147:O152" si="12">D147</f>
        <v>2.68</v>
      </c>
      <c r="P147" s="134"/>
      <c r="Q147" s="115"/>
    </row>
    <row r="148" spans="1:17" s="113" customFormat="1" ht="16" customHeight="1" x14ac:dyDescent="0.35">
      <c r="A148" s="113">
        <v>28</v>
      </c>
      <c r="B148" s="135">
        <v>72</v>
      </c>
      <c r="C148" s="198" t="s">
        <v>56</v>
      </c>
      <c r="D148" s="137">
        <f t="shared" si="11"/>
        <v>1.8900000000000001</v>
      </c>
      <c r="E148" s="137">
        <f>'[1]road inventory 2018'!C138</f>
        <v>1.7</v>
      </c>
      <c r="F148" s="137">
        <v>0.83</v>
      </c>
      <c r="G148" s="137">
        <v>0</v>
      </c>
      <c r="H148" s="137">
        <v>0</v>
      </c>
      <c r="I148" s="137">
        <f>1.07-0.01</f>
        <v>1.06</v>
      </c>
      <c r="J148" s="137">
        <v>0</v>
      </c>
      <c r="K148" s="141" t="s">
        <v>206</v>
      </c>
      <c r="L148" s="138" t="s">
        <v>438</v>
      </c>
      <c r="M148" s="139"/>
      <c r="N148" s="118"/>
      <c r="O148" s="134">
        <f t="shared" si="12"/>
        <v>1.8900000000000001</v>
      </c>
      <c r="P148" s="134"/>
      <c r="Q148" s="115"/>
    </row>
    <row r="149" spans="1:17" s="113" customFormat="1" ht="16" customHeight="1" x14ac:dyDescent="0.35">
      <c r="A149" s="113">
        <v>29</v>
      </c>
      <c r="B149" s="135">
        <v>73</v>
      </c>
      <c r="C149" s="138" t="s">
        <v>258</v>
      </c>
      <c r="D149" s="137">
        <f t="shared" si="11"/>
        <v>4.5599999999999996</v>
      </c>
      <c r="E149" s="137">
        <f>'[1]road inventory 2018'!C139</f>
        <v>5.5</v>
      </c>
      <c r="F149" s="137">
        <v>0</v>
      </c>
      <c r="G149" s="137">
        <v>0</v>
      </c>
      <c r="H149" s="137">
        <v>0</v>
      </c>
      <c r="I149" s="137">
        <v>4.5599999999999996</v>
      </c>
      <c r="J149" s="137">
        <v>0</v>
      </c>
      <c r="K149" s="141" t="s">
        <v>206</v>
      </c>
      <c r="L149" s="138" t="s">
        <v>439</v>
      </c>
      <c r="M149" s="139"/>
      <c r="N149" s="118"/>
      <c r="O149" s="134">
        <f t="shared" si="12"/>
        <v>4.5599999999999996</v>
      </c>
      <c r="P149" s="134"/>
      <c r="Q149" s="115"/>
    </row>
    <row r="150" spans="1:17" s="113" customFormat="1" ht="16" customHeight="1" x14ac:dyDescent="0.35">
      <c r="A150" s="113">
        <v>30</v>
      </c>
      <c r="B150" s="135">
        <v>74</v>
      </c>
      <c r="C150" s="138" t="s">
        <v>257</v>
      </c>
      <c r="D150" s="137">
        <f t="shared" si="11"/>
        <v>0.53</v>
      </c>
      <c r="E150" s="137">
        <f>'[1]road inventory 2018'!C140</f>
        <v>0.5</v>
      </c>
      <c r="F150" s="137">
        <v>0</v>
      </c>
      <c r="G150" s="137">
        <v>0</v>
      </c>
      <c r="H150" s="137">
        <v>0</v>
      </c>
      <c r="I150" s="137">
        <v>0.53</v>
      </c>
      <c r="J150" s="137">
        <v>0</v>
      </c>
      <c r="K150" s="141" t="s">
        <v>207</v>
      </c>
      <c r="L150" s="138" t="s">
        <v>439</v>
      </c>
      <c r="M150" s="139"/>
      <c r="N150" s="118"/>
      <c r="O150" s="134">
        <f t="shared" si="12"/>
        <v>0.53</v>
      </c>
      <c r="P150" s="134"/>
      <c r="Q150" s="115"/>
    </row>
    <row r="151" spans="1:17" s="113" customFormat="1" ht="16" customHeight="1" x14ac:dyDescent="0.35">
      <c r="A151" s="113">
        <v>31</v>
      </c>
      <c r="B151" s="135">
        <v>75</v>
      </c>
      <c r="C151" s="138" t="s">
        <v>259</v>
      </c>
      <c r="D151" s="137">
        <f t="shared" si="11"/>
        <v>3.1</v>
      </c>
      <c r="E151" s="137">
        <f>'[1]road inventory 2018'!C141</f>
        <v>2.1</v>
      </c>
      <c r="F151" s="137">
        <v>0</v>
      </c>
      <c r="G151" s="137">
        <v>0</v>
      </c>
      <c r="H151" s="137">
        <v>0</v>
      </c>
      <c r="I151" s="137">
        <v>3.1</v>
      </c>
      <c r="J151" s="137">
        <v>0</v>
      </c>
      <c r="K151" s="141" t="s">
        <v>207</v>
      </c>
      <c r="L151" s="138" t="s">
        <v>440</v>
      </c>
      <c r="M151" s="139"/>
      <c r="N151" s="118"/>
      <c r="O151" s="134">
        <f t="shared" si="12"/>
        <v>3.1</v>
      </c>
      <c r="P151" s="134"/>
      <c r="Q151" s="115"/>
    </row>
    <row r="152" spans="1:17" s="113" customFormat="1" ht="16" customHeight="1" x14ac:dyDescent="0.35">
      <c r="A152" s="113">
        <v>32</v>
      </c>
      <c r="B152" s="135">
        <v>76</v>
      </c>
      <c r="C152" s="138" t="s">
        <v>256</v>
      </c>
      <c r="D152" s="137">
        <f t="shared" si="11"/>
        <v>0.2</v>
      </c>
      <c r="E152" s="137">
        <f>'[1]road inventory 2018'!C142</f>
        <v>0.2</v>
      </c>
      <c r="F152" s="137">
        <v>0.2</v>
      </c>
      <c r="G152" s="137">
        <v>0</v>
      </c>
      <c r="H152" s="137">
        <v>0</v>
      </c>
      <c r="I152" s="137">
        <v>0</v>
      </c>
      <c r="J152" s="137">
        <v>0</v>
      </c>
      <c r="K152" s="141" t="s">
        <v>206</v>
      </c>
      <c r="L152" s="138" t="s">
        <v>425</v>
      </c>
      <c r="M152" s="139"/>
      <c r="N152" s="118"/>
      <c r="O152" s="134">
        <f t="shared" si="12"/>
        <v>0.2</v>
      </c>
      <c r="P152" s="134"/>
      <c r="Q152" s="115"/>
    </row>
    <row r="153" spans="1:17" s="113" customFormat="1" ht="16" customHeight="1" x14ac:dyDescent="0.35">
      <c r="B153" s="135"/>
      <c r="C153" s="138"/>
      <c r="D153" s="137">
        <f>D152+D151+D150+D149+D148+D147+D146+D143+D142+D141+D140+D139+D138+D137+D136+D135+D134+D133+D132+D131+D130+D129+D128+D127+D126+D125+D124+D123+D122+D121+D120+D119</f>
        <v>112.91999999999996</v>
      </c>
      <c r="E153" s="137">
        <f>SUM(E119:E152)</f>
        <v>107.84999999999998</v>
      </c>
      <c r="F153" s="137"/>
      <c r="G153" s="137"/>
      <c r="H153" s="137"/>
      <c r="I153" s="137"/>
      <c r="J153" s="137"/>
      <c r="K153" s="141"/>
      <c r="L153" s="138"/>
      <c r="M153" s="139"/>
      <c r="N153" s="118"/>
      <c r="O153" s="118"/>
      <c r="P153" s="134">
        <f>SUM(O119:O152)</f>
        <v>112.92000000000003</v>
      </c>
      <c r="Q153" s="115"/>
    </row>
    <row r="154" spans="1:17" s="144" customFormat="1" ht="18" customHeight="1" thickBot="1" x14ac:dyDescent="0.4">
      <c r="B154" s="145" t="s">
        <v>341</v>
      </c>
      <c r="C154" s="178"/>
      <c r="D154" s="147">
        <f>F154+I154</f>
        <v>112.92</v>
      </c>
      <c r="E154" s="147"/>
      <c r="F154" s="147">
        <f>SUM(F119:F152)</f>
        <v>43.19</v>
      </c>
      <c r="G154" s="147">
        <f>SUM(G119:G152)</f>
        <v>0</v>
      </c>
      <c r="H154" s="147">
        <f>SUM(H119:H152)</f>
        <v>0</v>
      </c>
      <c r="I154" s="147">
        <f>SUM(I119:I152)</f>
        <v>69.73</v>
      </c>
      <c r="J154" s="147">
        <f>SUM(J119:J152)</f>
        <v>0</v>
      </c>
      <c r="K154" s="148"/>
      <c r="L154" s="146"/>
      <c r="M154" s="149"/>
      <c r="N154" s="150"/>
      <c r="O154" s="150"/>
      <c r="P154" s="150"/>
      <c r="Q154" s="151"/>
    </row>
    <row r="155" spans="1:17" s="144" customFormat="1" ht="6" customHeight="1" x14ac:dyDescent="0.35">
      <c r="B155" s="201"/>
      <c r="C155" s="202"/>
      <c r="D155" s="203"/>
      <c r="E155" s="203"/>
      <c r="F155" s="203"/>
      <c r="G155" s="203"/>
      <c r="H155" s="203"/>
      <c r="I155" s="203"/>
      <c r="J155" s="203"/>
      <c r="K155" s="204"/>
      <c r="L155" s="205"/>
      <c r="M155" s="205"/>
      <c r="N155" s="150"/>
      <c r="O155" s="150"/>
      <c r="P155" s="150"/>
      <c r="Q155" s="151"/>
    </row>
    <row r="156" spans="1:17" s="113" customFormat="1" ht="8.25" customHeight="1" thickBot="1" x14ac:dyDescent="0.4">
      <c r="B156" s="120"/>
      <c r="C156" s="206"/>
      <c r="D156" s="157"/>
      <c r="E156" s="157"/>
      <c r="F156" s="157"/>
      <c r="G156" s="157"/>
      <c r="H156" s="157"/>
      <c r="I156" s="157"/>
      <c r="J156" s="157"/>
      <c r="K156" s="158"/>
      <c r="L156" s="124"/>
      <c r="M156" s="124"/>
      <c r="N156" s="125"/>
      <c r="O156" s="125"/>
      <c r="P156" s="125"/>
      <c r="Q156" s="115"/>
    </row>
    <row r="157" spans="1:17" s="113" customFormat="1" ht="18.5" thickBot="1" x14ac:dyDescent="0.4">
      <c r="B157" s="1156" t="s">
        <v>441</v>
      </c>
      <c r="C157" s="1157"/>
      <c r="D157" s="1157"/>
      <c r="E157" s="1157"/>
      <c r="F157" s="1157"/>
      <c r="G157" s="1157"/>
      <c r="H157" s="1157"/>
      <c r="I157" s="1157"/>
      <c r="J157" s="1157"/>
      <c r="K157" s="1157"/>
      <c r="L157" s="1157"/>
      <c r="M157" s="1158"/>
      <c r="Q157" s="115"/>
    </row>
    <row r="158" spans="1:17" s="113" customFormat="1" ht="11.25" customHeight="1" thickBot="1" x14ac:dyDescent="0.4">
      <c r="B158" s="159"/>
      <c r="C158" s="160"/>
      <c r="D158" s="161"/>
      <c r="E158" s="161"/>
      <c r="F158" s="161"/>
      <c r="G158" s="161"/>
      <c r="H158" s="161"/>
      <c r="I158" s="161"/>
      <c r="J158" s="161"/>
      <c r="K158" s="162"/>
      <c r="L158" s="163"/>
      <c r="M158" s="163"/>
      <c r="N158" s="125"/>
      <c r="O158" s="125"/>
      <c r="P158" s="125"/>
      <c r="Q158" s="115"/>
    </row>
    <row r="159" spans="1:17" s="113" customFormat="1" ht="21" customHeight="1" x14ac:dyDescent="0.35">
      <c r="B159" s="1159" t="s">
        <v>302</v>
      </c>
      <c r="C159" s="1161" t="s">
        <v>28</v>
      </c>
      <c r="D159" s="1163" t="s">
        <v>343</v>
      </c>
      <c r="E159" s="165"/>
      <c r="F159" s="1165" t="s">
        <v>305</v>
      </c>
      <c r="G159" s="1166"/>
      <c r="H159" s="1166"/>
      <c r="I159" s="1166"/>
      <c r="J159" s="1167"/>
      <c r="K159" s="1161" t="s">
        <v>29</v>
      </c>
      <c r="L159" s="1168" t="s">
        <v>306</v>
      </c>
      <c r="M159" s="1174" t="s">
        <v>307</v>
      </c>
      <c r="N159" s="125"/>
      <c r="O159" s="125"/>
      <c r="P159" s="125"/>
      <c r="Q159" s="115"/>
    </row>
    <row r="160" spans="1:17" s="113" customFormat="1" ht="21" customHeight="1" thickBot="1" x14ac:dyDescent="0.4">
      <c r="B160" s="1160"/>
      <c r="C160" s="1162"/>
      <c r="D160" s="1164"/>
      <c r="E160" s="166"/>
      <c r="F160" s="127" t="s">
        <v>308</v>
      </c>
      <c r="G160" s="127" t="s">
        <v>309</v>
      </c>
      <c r="H160" s="127" t="s">
        <v>310</v>
      </c>
      <c r="I160" s="127" t="s">
        <v>311</v>
      </c>
      <c r="J160" s="127" t="s">
        <v>312</v>
      </c>
      <c r="K160" s="1162"/>
      <c r="L160" s="1169"/>
      <c r="M160" s="1175"/>
      <c r="N160" s="125"/>
      <c r="O160" s="125"/>
      <c r="P160" s="125"/>
      <c r="Q160" s="115"/>
    </row>
    <row r="161" spans="1:17" s="113" customFormat="1" ht="16.5" customHeight="1" x14ac:dyDescent="0.35">
      <c r="A161" s="113">
        <v>1</v>
      </c>
      <c r="B161" s="128">
        <v>95</v>
      </c>
      <c r="C161" s="197" t="s">
        <v>276</v>
      </c>
      <c r="D161" s="130">
        <f>+I161+F161</f>
        <v>2.3200000000000003</v>
      </c>
      <c r="E161" s="130">
        <f>'[1]road inventory 2018'!C149</f>
        <v>3</v>
      </c>
      <c r="F161" s="130">
        <v>1.02</v>
      </c>
      <c r="G161" s="130">
        <v>0</v>
      </c>
      <c r="H161" s="130">
        <v>0</v>
      </c>
      <c r="I161" s="130">
        <v>1.3</v>
      </c>
      <c r="J161" s="130">
        <v>0</v>
      </c>
      <c r="K161" s="131" t="s">
        <v>207</v>
      </c>
      <c r="L161" s="132" t="s">
        <v>442</v>
      </c>
      <c r="M161" s="133"/>
      <c r="N161" s="118"/>
      <c r="O161" s="134">
        <f>D161</f>
        <v>2.3200000000000003</v>
      </c>
      <c r="P161" s="134"/>
      <c r="Q161" s="115"/>
    </row>
    <row r="162" spans="1:17" s="113" customFormat="1" ht="15" customHeight="1" x14ac:dyDescent="0.35">
      <c r="A162" s="113">
        <v>2</v>
      </c>
      <c r="B162" s="135">
        <v>77</v>
      </c>
      <c r="C162" s="198" t="s">
        <v>271</v>
      </c>
      <c r="D162" s="137">
        <f t="shared" ref="D162:D174" si="13">+F162+G162+I162</f>
        <v>0.76</v>
      </c>
      <c r="E162" s="137">
        <f>'[1]road inventory 2018'!C150</f>
        <v>0.7</v>
      </c>
      <c r="F162" s="137">
        <v>0</v>
      </c>
      <c r="G162" s="137">
        <v>0</v>
      </c>
      <c r="H162" s="137">
        <v>0</v>
      </c>
      <c r="I162" s="137">
        <v>0.76</v>
      </c>
      <c r="J162" s="137">
        <v>0</v>
      </c>
      <c r="K162" s="141" t="s">
        <v>209</v>
      </c>
      <c r="L162" s="138" t="s">
        <v>443</v>
      </c>
      <c r="M162" s="139"/>
      <c r="N162" s="118"/>
      <c r="O162" s="134">
        <f t="shared" ref="O162:O174" si="14">D162</f>
        <v>0.76</v>
      </c>
      <c r="P162" s="134"/>
      <c r="Q162" s="115"/>
    </row>
    <row r="163" spans="1:17" s="113" customFormat="1" ht="15" customHeight="1" x14ac:dyDescent="0.35">
      <c r="A163" s="113">
        <v>3</v>
      </c>
      <c r="B163" s="135">
        <v>94</v>
      </c>
      <c r="C163" s="198" t="s">
        <v>278</v>
      </c>
      <c r="D163" s="137">
        <f t="shared" si="13"/>
        <v>0.6</v>
      </c>
      <c r="E163" s="137">
        <f>'[1]road inventory 2018'!C151</f>
        <v>0.6</v>
      </c>
      <c r="F163" s="137">
        <v>0</v>
      </c>
      <c r="G163" s="137">
        <v>0</v>
      </c>
      <c r="H163" s="137">
        <v>0</v>
      </c>
      <c r="I163" s="137">
        <v>0.6</v>
      </c>
      <c r="J163" s="137">
        <v>0</v>
      </c>
      <c r="K163" s="141" t="s">
        <v>209</v>
      </c>
      <c r="L163" s="138" t="s">
        <v>444</v>
      </c>
      <c r="M163" s="139"/>
      <c r="N163" s="118"/>
      <c r="O163" s="134">
        <f t="shared" si="14"/>
        <v>0.6</v>
      </c>
      <c r="P163" s="134"/>
      <c r="Q163" s="115"/>
    </row>
    <row r="164" spans="1:17" s="113" customFormat="1" x14ac:dyDescent="0.35">
      <c r="A164" s="113">
        <v>4</v>
      </c>
      <c r="B164" s="135">
        <v>78</v>
      </c>
      <c r="C164" s="198" t="s">
        <v>277</v>
      </c>
      <c r="D164" s="137">
        <f t="shared" si="13"/>
        <v>3.81</v>
      </c>
      <c r="E164" s="137">
        <f>'[1]road inventory 2018'!C152</f>
        <v>3.8</v>
      </c>
      <c r="F164" s="137">
        <v>0.69</v>
      </c>
      <c r="G164" s="137">
        <v>0</v>
      </c>
      <c r="H164" s="137">
        <v>0</v>
      </c>
      <c r="I164" s="137">
        <v>3.12</v>
      </c>
      <c r="J164" s="137">
        <v>0</v>
      </c>
      <c r="K164" s="141" t="s">
        <v>207</v>
      </c>
      <c r="L164" s="138" t="s">
        <v>445</v>
      </c>
      <c r="M164" s="139"/>
      <c r="N164" s="118"/>
      <c r="O164" s="134">
        <f t="shared" si="14"/>
        <v>3.81</v>
      </c>
      <c r="P164" s="134"/>
      <c r="Q164" s="115"/>
    </row>
    <row r="165" spans="1:17" s="113" customFormat="1" ht="16.5" customHeight="1" x14ac:dyDescent="0.35">
      <c r="A165" s="113">
        <v>5</v>
      </c>
      <c r="B165" s="135">
        <v>79</v>
      </c>
      <c r="C165" s="198" t="s">
        <v>272</v>
      </c>
      <c r="D165" s="137">
        <f t="shared" si="13"/>
        <v>1.81</v>
      </c>
      <c r="E165" s="137">
        <f>'[1]road inventory 2018'!C153</f>
        <v>1.9000000000000001</v>
      </c>
      <c r="F165" s="137">
        <v>0.12</v>
      </c>
      <c r="G165" s="137">
        <v>0</v>
      </c>
      <c r="H165" s="137">
        <v>0</v>
      </c>
      <c r="I165" s="137">
        <f>0.43+1.26</f>
        <v>1.69</v>
      </c>
      <c r="J165" s="137">
        <v>0</v>
      </c>
      <c r="K165" s="141" t="s">
        <v>210</v>
      </c>
      <c r="L165" s="138" t="s">
        <v>446</v>
      </c>
      <c r="M165" s="139"/>
      <c r="N165" s="118"/>
      <c r="O165" s="134">
        <f t="shared" si="14"/>
        <v>1.81</v>
      </c>
      <c r="P165" s="134"/>
      <c r="Q165" s="115"/>
    </row>
    <row r="166" spans="1:17" s="113" customFormat="1" ht="36" x14ac:dyDescent="0.35">
      <c r="A166" s="113">
        <v>6</v>
      </c>
      <c r="B166" s="135">
        <v>80</v>
      </c>
      <c r="C166" s="198" t="s">
        <v>282</v>
      </c>
      <c r="D166" s="137">
        <f>+F166+G166+I166</f>
        <v>15.75</v>
      </c>
      <c r="E166" s="137">
        <f>'[1]road inventory 2018'!C154</f>
        <v>15.7</v>
      </c>
      <c r="F166" s="137">
        <f>0.25+0.26+0.19</f>
        <v>0.7</v>
      </c>
      <c r="G166" s="137">
        <v>0</v>
      </c>
      <c r="H166" s="137">
        <v>0</v>
      </c>
      <c r="I166" s="137">
        <f>1.04+0.93+0.41+0.47+1.01+0.98+1.16+0.65+0.91+1.09+0.96+1.05+0.67+1.03+1.08+0.92+0.71-0.02</f>
        <v>15.05</v>
      </c>
      <c r="J166" s="137">
        <v>0</v>
      </c>
      <c r="K166" s="141" t="s">
        <v>210</v>
      </c>
      <c r="L166" s="138" t="s">
        <v>447</v>
      </c>
      <c r="M166" s="139"/>
      <c r="N166" s="118"/>
      <c r="O166" s="134">
        <f t="shared" si="14"/>
        <v>15.75</v>
      </c>
      <c r="P166" s="134"/>
      <c r="Q166" s="115"/>
    </row>
    <row r="167" spans="1:17" s="113" customFormat="1" ht="16.5" customHeight="1" x14ac:dyDescent="0.35">
      <c r="A167" s="113">
        <v>7</v>
      </c>
      <c r="B167" s="135">
        <v>81</v>
      </c>
      <c r="C167" s="198" t="s">
        <v>279</v>
      </c>
      <c r="D167" s="137">
        <f t="shared" si="13"/>
        <v>3.89</v>
      </c>
      <c r="E167" s="137">
        <f>'[1]road inventory 2018'!C155</f>
        <v>3.8</v>
      </c>
      <c r="F167" s="137">
        <f>0.2+0.27</f>
        <v>0.47000000000000003</v>
      </c>
      <c r="G167" s="137">
        <v>0</v>
      </c>
      <c r="H167" s="137">
        <v>0</v>
      </c>
      <c r="I167" s="137">
        <f>1.01+1.62+0.23+0.57-0.01</f>
        <v>3.42</v>
      </c>
      <c r="J167" s="137">
        <v>0</v>
      </c>
      <c r="K167" s="141" t="s">
        <v>206</v>
      </c>
      <c r="L167" s="138" t="s">
        <v>448</v>
      </c>
      <c r="M167" s="139"/>
      <c r="N167" s="118"/>
      <c r="O167" s="134">
        <f t="shared" si="14"/>
        <v>3.89</v>
      </c>
      <c r="P167" s="134"/>
      <c r="Q167" s="115"/>
    </row>
    <row r="168" spans="1:17" s="113" customFormat="1" ht="22.15" customHeight="1" x14ac:dyDescent="0.35">
      <c r="A168" s="113">
        <v>8</v>
      </c>
      <c r="B168" s="135">
        <v>82</v>
      </c>
      <c r="C168" s="198" t="s">
        <v>283</v>
      </c>
      <c r="D168" s="137">
        <f t="shared" si="13"/>
        <v>5.6</v>
      </c>
      <c r="E168" s="137">
        <f>'[1]road inventory 2018'!C156</f>
        <v>5.4</v>
      </c>
      <c r="F168" s="137">
        <f>0.42+0.8</f>
        <v>1.22</v>
      </c>
      <c r="G168" s="137">
        <v>0</v>
      </c>
      <c r="H168" s="137">
        <v>0</v>
      </c>
      <c r="I168" s="137">
        <f>0.62+1.25+1.06+0.92+0.53</f>
        <v>4.38</v>
      </c>
      <c r="J168" s="137">
        <v>0</v>
      </c>
      <c r="K168" s="141" t="s">
        <v>207</v>
      </c>
      <c r="L168" s="138" t="s">
        <v>449</v>
      </c>
      <c r="M168" s="139"/>
      <c r="N168" s="118"/>
      <c r="O168" s="134">
        <f t="shared" si="14"/>
        <v>5.6</v>
      </c>
      <c r="P168" s="134"/>
      <c r="Q168" s="115"/>
    </row>
    <row r="169" spans="1:17" s="113" customFormat="1" ht="36" x14ac:dyDescent="0.35">
      <c r="A169" s="113">
        <v>9</v>
      </c>
      <c r="B169" s="135">
        <v>83</v>
      </c>
      <c r="C169" s="198" t="s">
        <v>58</v>
      </c>
      <c r="D169" s="137">
        <f t="shared" si="13"/>
        <v>4.12</v>
      </c>
      <c r="E169" s="137">
        <f>'[1]road inventory 2018'!C157</f>
        <v>4.2</v>
      </c>
      <c r="F169" s="137">
        <f>0.12+0.22</f>
        <v>0.33999999999999997</v>
      </c>
      <c r="G169" s="137">
        <v>0</v>
      </c>
      <c r="H169" s="137">
        <v>0</v>
      </c>
      <c r="I169" s="137">
        <f>0.21+0.71+1.03+0.05+1.66+0.12</f>
        <v>3.7800000000000002</v>
      </c>
      <c r="J169" s="137">
        <v>0</v>
      </c>
      <c r="K169" s="141" t="s">
        <v>206</v>
      </c>
      <c r="L169" s="138" t="s">
        <v>447</v>
      </c>
      <c r="M169" s="139"/>
      <c r="N169" s="118"/>
      <c r="O169" s="134">
        <f t="shared" si="14"/>
        <v>4.12</v>
      </c>
      <c r="P169" s="134"/>
      <c r="Q169" s="115"/>
    </row>
    <row r="170" spans="1:17" s="113" customFormat="1" ht="36" x14ac:dyDescent="0.35">
      <c r="A170" s="113">
        <v>10</v>
      </c>
      <c r="B170" s="135">
        <v>84</v>
      </c>
      <c r="C170" s="198" t="s">
        <v>274</v>
      </c>
      <c r="D170" s="137">
        <f t="shared" si="13"/>
        <v>1.1599999999999999</v>
      </c>
      <c r="E170" s="137">
        <f>'[1]road inventory 2018'!C158</f>
        <v>1.2</v>
      </c>
      <c r="F170" s="137">
        <v>0</v>
      </c>
      <c r="G170" s="137">
        <v>0</v>
      </c>
      <c r="H170" s="137">
        <v>0</v>
      </c>
      <c r="I170" s="137">
        <v>1.1599999999999999</v>
      </c>
      <c r="J170" s="137">
        <v>0</v>
      </c>
      <c r="K170" s="141" t="s">
        <v>210</v>
      </c>
      <c r="L170" s="138" t="s">
        <v>450</v>
      </c>
      <c r="M170" s="139"/>
      <c r="N170" s="118"/>
      <c r="O170" s="134">
        <f t="shared" si="14"/>
        <v>1.1599999999999999</v>
      </c>
      <c r="P170" s="134"/>
      <c r="Q170" s="115"/>
    </row>
    <row r="171" spans="1:17" s="113" customFormat="1" ht="13.15" customHeight="1" x14ac:dyDescent="0.35">
      <c r="A171" s="113">
        <v>11</v>
      </c>
      <c r="B171" s="135">
        <v>85</v>
      </c>
      <c r="C171" s="198" t="s">
        <v>281</v>
      </c>
      <c r="D171" s="137">
        <f t="shared" si="13"/>
        <v>2.86</v>
      </c>
      <c r="E171" s="137">
        <f>'[1]road inventory 2018'!C159</f>
        <v>2.8</v>
      </c>
      <c r="F171" s="137">
        <v>0</v>
      </c>
      <c r="G171" s="137">
        <v>0</v>
      </c>
      <c r="H171" s="137">
        <v>0</v>
      </c>
      <c r="I171" s="137">
        <v>2.86</v>
      </c>
      <c r="J171" s="137">
        <v>0</v>
      </c>
      <c r="K171" s="141" t="s">
        <v>206</v>
      </c>
      <c r="L171" s="138" t="s">
        <v>451</v>
      </c>
      <c r="M171" s="139"/>
      <c r="N171" s="118"/>
      <c r="O171" s="134">
        <f t="shared" si="14"/>
        <v>2.86</v>
      </c>
      <c r="P171" s="134"/>
      <c r="Q171" s="115"/>
    </row>
    <row r="172" spans="1:17" x14ac:dyDescent="0.35">
      <c r="A172" s="113">
        <v>12</v>
      </c>
      <c r="B172" s="135">
        <v>86</v>
      </c>
      <c r="C172" s="198" t="s">
        <v>275</v>
      </c>
      <c r="D172" s="137">
        <f t="shared" si="13"/>
        <v>0.2</v>
      </c>
      <c r="E172" s="137">
        <f>'[1]road inventory 2018'!C160</f>
        <v>2.5</v>
      </c>
      <c r="F172" s="137">
        <v>0</v>
      </c>
      <c r="G172" s="137">
        <v>0</v>
      </c>
      <c r="H172" s="137">
        <v>0</v>
      </c>
      <c r="I172" s="137">
        <v>0.2</v>
      </c>
      <c r="J172" s="137">
        <v>0</v>
      </c>
      <c r="K172" s="141" t="s">
        <v>210</v>
      </c>
      <c r="L172" s="138" t="s">
        <v>452</v>
      </c>
      <c r="M172" s="139"/>
      <c r="O172" s="134">
        <f t="shared" si="14"/>
        <v>0.2</v>
      </c>
      <c r="P172" s="134"/>
      <c r="Q172" s="119" t="s">
        <v>453</v>
      </c>
    </row>
    <row r="173" spans="1:17" ht="36" x14ac:dyDescent="0.35">
      <c r="A173" s="113">
        <v>13</v>
      </c>
      <c r="B173" s="135">
        <v>87</v>
      </c>
      <c r="C173" s="198" t="s">
        <v>273</v>
      </c>
      <c r="D173" s="137">
        <f t="shared" si="13"/>
        <v>0.85</v>
      </c>
      <c r="E173" s="137">
        <f>'[1]road inventory 2018'!C161</f>
        <v>0.5</v>
      </c>
      <c r="F173" s="137">
        <v>0</v>
      </c>
      <c r="G173" s="137">
        <v>0</v>
      </c>
      <c r="H173" s="137">
        <v>0</v>
      </c>
      <c r="I173" s="137">
        <v>0.85</v>
      </c>
      <c r="J173" s="137">
        <v>0</v>
      </c>
      <c r="K173" s="141" t="s">
        <v>206</v>
      </c>
      <c r="L173" s="138" t="s">
        <v>450</v>
      </c>
      <c r="M173" s="139"/>
      <c r="O173" s="134">
        <f t="shared" si="14"/>
        <v>0.85</v>
      </c>
      <c r="P173" s="134"/>
    </row>
    <row r="174" spans="1:17" x14ac:dyDescent="0.35">
      <c r="A174" s="113">
        <v>14</v>
      </c>
      <c r="B174" s="135">
        <v>88</v>
      </c>
      <c r="C174" s="198" t="s">
        <v>280</v>
      </c>
      <c r="D174" s="137">
        <f t="shared" si="13"/>
        <v>3.19</v>
      </c>
      <c r="E174" s="137">
        <f>'[1]road inventory 2018'!C162</f>
        <v>3.2</v>
      </c>
      <c r="F174" s="137">
        <v>0</v>
      </c>
      <c r="G174" s="137">
        <v>0</v>
      </c>
      <c r="H174" s="137">
        <v>0</v>
      </c>
      <c r="I174" s="137">
        <f>1.03+1.06+0.98+0.12</f>
        <v>3.19</v>
      </c>
      <c r="J174" s="137">
        <v>0</v>
      </c>
      <c r="K174" s="141" t="s">
        <v>210</v>
      </c>
      <c r="L174" s="138" t="s">
        <v>454</v>
      </c>
      <c r="M174" s="139"/>
      <c r="O174" s="134">
        <f t="shared" si="14"/>
        <v>3.19</v>
      </c>
      <c r="P174" s="134"/>
    </row>
    <row r="175" spans="1:17" x14ac:dyDescent="0.35">
      <c r="B175" s="135"/>
      <c r="C175" s="198"/>
      <c r="D175" s="137">
        <f>SUM(D161:D174)</f>
        <v>46.919999999999995</v>
      </c>
      <c r="E175" s="137">
        <f>SUM(E161:E174)</f>
        <v>49.300000000000004</v>
      </c>
      <c r="F175" s="137"/>
      <c r="G175" s="137"/>
      <c r="H175" s="137"/>
      <c r="I175" s="137"/>
      <c r="J175" s="137"/>
      <c r="K175" s="141"/>
      <c r="L175" s="138"/>
      <c r="M175" s="139"/>
      <c r="P175" s="134">
        <f>SUM(O161:O174)</f>
        <v>46.919999999999995</v>
      </c>
    </row>
    <row r="176" spans="1:17" s="207" customFormat="1" ht="18" customHeight="1" thickBot="1" x14ac:dyDescent="0.4">
      <c r="B176" s="145" t="s">
        <v>341</v>
      </c>
      <c r="C176" s="178"/>
      <c r="D176" s="147">
        <f>F176+I176</f>
        <v>46.92</v>
      </c>
      <c r="E176" s="147"/>
      <c r="F176" s="147">
        <f>SUM(F161:F174)</f>
        <v>4.5600000000000005</v>
      </c>
      <c r="G176" s="147">
        <f>SUM(G161:G174)</f>
        <v>0</v>
      </c>
      <c r="H176" s="147">
        <f>SUM(H161:H174)</f>
        <v>0</v>
      </c>
      <c r="I176" s="147">
        <f>SUM(I161:I174)</f>
        <v>42.36</v>
      </c>
      <c r="J176" s="147">
        <f>SUM(J161:J174)</f>
        <v>0</v>
      </c>
      <c r="K176" s="148"/>
      <c r="L176" s="146"/>
      <c r="M176" s="149"/>
      <c r="N176" s="150"/>
      <c r="O176" s="150"/>
      <c r="P176" s="150"/>
      <c r="Q176" s="208"/>
    </row>
    <row r="177" spans="1:17" ht="10.5" customHeight="1" thickBot="1" x14ac:dyDescent="0.4">
      <c r="B177" s="159"/>
      <c r="C177" s="179"/>
      <c r="D177" s="180"/>
      <c r="E177" s="180"/>
      <c r="F177" s="180"/>
      <c r="G177" s="180"/>
      <c r="H177" s="180"/>
      <c r="I177" s="180"/>
      <c r="J177" s="180"/>
      <c r="K177" s="181"/>
      <c r="L177" s="163"/>
      <c r="M177" s="163"/>
      <c r="N177" s="125"/>
      <c r="O177" s="125"/>
      <c r="P177" s="125"/>
    </row>
    <row r="178" spans="1:17" s="113" customFormat="1" ht="18.5" thickBot="1" x14ac:dyDescent="0.4">
      <c r="B178" s="1156" t="s">
        <v>455</v>
      </c>
      <c r="C178" s="1157"/>
      <c r="D178" s="1157"/>
      <c r="E178" s="1157"/>
      <c r="F178" s="1157"/>
      <c r="G178" s="1157"/>
      <c r="H178" s="1157"/>
      <c r="I178" s="1157"/>
      <c r="J178" s="1157"/>
      <c r="K178" s="1157"/>
      <c r="L178" s="1157"/>
      <c r="M178" s="1158"/>
      <c r="Q178" s="115"/>
    </row>
    <row r="179" spans="1:17" s="113" customFormat="1" ht="8.25" customHeight="1" thickBot="1" x14ac:dyDescent="0.4">
      <c r="B179" s="159"/>
      <c r="C179" s="160"/>
      <c r="D179" s="161"/>
      <c r="E179" s="161"/>
      <c r="F179" s="161"/>
      <c r="G179" s="161"/>
      <c r="H179" s="161"/>
      <c r="I179" s="161"/>
      <c r="J179" s="161"/>
      <c r="K179" s="162"/>
      <c r="L179" s="163"/>
      <c r="M179" s="163"/>
      <c r="N179" s="125"/>
      <c r="O179" s="125"/>
      <c r="P179" s="125"/>
      <c r="Q179" s="115"/>
    </row>
    <row r="180" spans="1:17" s="113" customFormat="1" ht="21" customHeight="1" x14ac:dyDescent="0.35">
      <c r="B180" s="1159" t="s">
        <v>302</v>
      </c>
      <c r="C180" s="1161" t="s">
        <v>28</v>
      </c>
      <c r="D180" s="1163" t="s">
        <v>343</v>
      </c>
      <c r="E180" s="165"/>
      <c r="F180" s="1165" t="s">
        <v>305</v>
      </c>
      <c r="G180" s="1166"/>
      <c r="H180" s="1166"/>
      <c r="I180" s="1166"/>
      <c r="J180" s="1167"/>
      <c r="K180" s="1161" t="s">
        <v>29</v>
      </c>
      <c r="L180" s="1168" t="s">
        <v>306</v>
      </c>
      <c r="M180" s="1174" t="s">
        <v>307</v>
      </c>
      <c r="N180" s="125"/>
      <c r="O180" s="125"/>
      <c r="P180" s="125"/>
      <c r="Q180" s="115"/>
    </row>
    <row r="181" spans="1:17" s="113" customFormat="1" ht="21" customHeight="1" thickBot="1" x14ac:dyDescent="0.4">
      <c r="B181" s="1160"/>
      <c r="C181" s="1162"/>
      <c r="D181" s="1164"/>
      <c r="E181" s="166"/>
      <c r="F181" s="127" t="s">
        <v>308</v>
      </c>
      <c r="G181" s="127" t="s">
        <v>309</v>
      </c>
      <c r="H181" s="127" t="s">
        <v>310</v>
      </c>
      <c r="I181" s="127" t="s">
        <v>311</v>
      </c>
      <c r="J181" s="127" t="s">
        <v>312</v>
      </c>
      <c r="K181" s="1162"/>
      <c r="L181" s="1169"/>
      <c r="M181" s="1175"/>
      <c r="N181" s="125"/>
      <c r="O181" s="125"/>
      <c r="P181" s="125"/>
      <c r="Q181" s="115"/>
    </row>
    <row r="182" spans="1:17" x14ac:dyDescent="0.35">
      <c r="A182" s="116">
        <v>1</v>
      </c>
      <c r="B182" s="128">
        <v>91</v>
      </c>
      <c r="C182" s="197" t="s">
        <v>62</v>
      </c>
      <c r="D182" s="130">
        <f>SUM(F182:J182)</f>
        <v>12.889999999999999</v>
      </c>
      <c r="E182" s="130">
        <f>'[1]road inventory 2018'!C169</f>
        <v>12.9</v>
      </c>
      <c r="F182" s="130">
        <f>0.04+0.29+0.12+1.23+1+3+1+1.23+0.77+1+0.77+0.86 +0.9</f>
        <v>12.209999999999999</v>
      </c>
      <c r="G182" s="130">
        <v>0</v>
      </c>
      <c r="H182" s="130">
        <v>0</v>
      </c>
      <c r="I182" s="130">
        <f>0.06+0.26+0.36</f>
        <v>0.67999999999999994</v>
      </c>
      <c r="J182" s="130">
        <v>0</v>
      </c>
      <c r="K182" s="131" t="s">
        <v>209</v>
      </c>
      <c r="L182" s="132" t="s">
        <v>456</v>
      </c>
      <c r="M182" s="133"/>
      <c r="O182" s="134">
        <f>D182</f>
        <v>12.889999999999999</v>
      </c>
      <c r="P182" s="134"/>
    </row>
    <row r="183" spans="1:17" ht="21" customHeight="1" x14ac:dyDescent="0.35">
      <c r="A183" s="116">
        <v>2</v>
      </c>
      <c r="B183" s="135">
        <v>92</v>
      </c>
      <c r="C183" s="198" t="s">
        <v>457</v>
      </c>
      <c r="D183" s="137">
        <v>5.6</v>
      </c>
      <c r="E183" s="137">
        <f>'[1]road inventory 2018'!C170</f>
        <v>5.6</v>
      </c>
      <c r="F183" s="137">
        <v>5.6</v>
      </c>
      <c r="G183" s="137">
        <v>0</v>
      </c>
      <c r="H183" s="137">
        <v>0</v>
      </c>
      <c r="I183" s="137" t="s">
        <v>458</v>
      </c>
      <c r="J183" s="137">
        <v>0</v>
      </c>
      <c r="K183" s="141" t="s">
        <v>206</v>
      </c>
      <c r="L183" s="28" t="s">
        <v>459</v>
      </c>
      <c r="M183" s="139"/>
      <c r="O183" s="134">
        <f>D183</f>
        <v>5.6</v>
      </c>
      <c r="P183" s="134"/>
    </row>
    <row r="184" spans="1:17" s="207" customFormat="1" ht="18.5" thickBot="1" x14ac:dyDescent="0.4">
      <c r="B184" s="145" t="s">
        <v>341</v>
      </c>
      <c r="C184" s="178"/>
      <c r="D184" s="147">
        <f t="shared" ref="D184:J184" si="15">SUM(D182:D183)</f>
        <v>18.489999999999998</v>
      </c>
      <c r="E184" s="147">
        <f>SUM(E182:E183)</f>
        <v>18.5</v>
      </c>
      <c r="F184" s="147">
        <f t="shared" si="15"/>
        <v>17.809999999999999</v>
      </c>
      <c r="G184" s="147">
        <f t="shared" si="15"/>
        <v>0</v>
      </c>
      <c r="H184" s="147">
        <f t="shared" si="15"/>
        <v>0</v>
      </c>
      <c r="I184" s="147">
        <f t="shared" si="15"/>
        <v>0.67999999999999994</v>
      </c>
      <c r="J184" s="147">
        <f t="shared" si="15"/>
        <v>0</v>
      </c>
      <c r="K184" s="148"/>
      <c r="L184" s="146"/>
      <c r="M184" s="149"/>
      <c r="N184" s="150"/>
      <c r="O184" s="150"/>
      <c r="P184" s="194">
        <f>SUM(O182:O183)</f>
        <v>18.489999999999998</v>
      </c>
      <c r="Q184" s="208"/>
    </row>
    <row r="185" spans="1:17" ht="9.75" customHeight="1" x14ac:dyDescent="0.35">
      <c r="B185" s="209"/>
      <c r="C185" s="210"/>
      <c r="D185" s="211"/>
      <c r="E185" s="211"/>
      <c r="F185" s="211"/>
      <c r="G185" s="211"/>
      <c r="H185" s="211"/>
      <c r="I185" s="211"/>
      <c r="J185" s="211"/>
      <c r="K185" s="212"/>
      <c r="L185" s="213"/>
      <c r="M185" s="214"/>
    </row>
    <row r="186" spans="1:17" ht="18" customHeight="1" thickBot="1" x14ac:dyDescent="0.4">
      <c r="B186" s="1177" t="s">
        <v>460</v>
      </c>
      <c r="C186" s="1178"/>
      <c r="D186" s="215">
        <f>D184+D176+D154+D112+D95+D88+D70+D35</f>
        <v>468.4799999999999</v>
      </c>
      <c r="E186" s="215">
        <f>E184+E175+E153+E111+E94+E87+E70+E34</f>
        <v>472.75</v>
      </c>
      <c r="F186" s="215">
        <f>+F184+F176+F154+F112+F95+F88+F71+F35</f>
        <v>175.6</v>
      </c>
      <c r="G186" s="215">
        <f>+G184+G176+G154+G112+G95+G88+G71+G35</f>
        <v>0</v>
      </c>
      <c r="H186" s="215">
        <f>+H184+H176+H154+H112+H95+H88+H71+H35</f>
        <v>0</v>
      </c>
      <c r="I186" s="215">
        <f>+I184+I176+I154+I112+I95+I88+I71+I35</f>
        <v>288.35000000000002</v>
      </c>
      <c r="J186" s="215">
        <f>+J184+J176+J154+J112+J95+J88+J71+J35</f>
        <v>4.53</v>
      </c>
      <c r="K186" s="216"/>
      <c r="L186" s="217"/>
      <c r="M186" s="218"/>
      <c r="N186" s="125"/>
      <c r="O186" s="125"/>
      <c r="P186" s="125"/>
    </row>
    <row r="187" spans="1:17" ht="10.5" customHeight="1" x14ac:dyDescent="0.35">
      <c r="B187" s="153"/>
      <c r="C187" s="153"/>
      <c r="D187" s="155"/>
      <c r="E187" s="155"/>
      <c r="F187" s="155"/>
      <c r="G187" s="155"/>
      <c r="H187" s="155"/>
      <c r="I187" s="155"/>
      <c r="J187" s="155"/>
      <c r="K187" s="156"/>
      <c r="L187" s="154"/>
      <c r="M187" s="154"/>
      <c r="N187" s="125"/>
      <c r="O187" s="125"/>
      <c r="P187" s="125"/>
    </row>
    <row r="188" spans="1:17" ht="9.75" customHeight="1" thickBot="1" x14ac:dyDescent="0.4">
      <c r="B188" s="120"/>
      <c r="C188" s="120"/>
      <c r="D188" s="157"/>
      <c r="E188" s="157"/>
      <c r="F188" s="157"/>
      <c r="G188" s="157"/>
      <c r="H188" s="157"/>
      <c r="I188" s="157"/>
      <c r="J188" s="157"/>
      <c r="K188" s="158"/>
      <c r="L188" s="124"/>
      <c r="M188" s="124"/>
      <c r="N188" s="125"/>
      <c r="O188" s="125"/>
      <c r="P188" s="125"/>
    </row>
    <row r="189" spans="1:17" s="113" customFormat="1" ht="18.5" thickBot="1" x14ac:dyDescent="0.4">
      <c r="B189" s="1156" t="s">
        <v>461</v>
      </c>
      <c r="C189" s="1157"/>
      <c r="D189" s="1157"/>
      <c r="E189" s="1157"/>
      <c r="F189" s="1157"/>
      <c r="G189" s="1157"/>
      <c r="H189" s="1157"/>
      <c r="I189" s="1157"/>
      <c r="J189" s="1157"/>
      <c r="K189" s="1157"/>
      <c r="L189" s="1157"/>
      <c r="M189" s="1158"/>
      <c r="Q189" s="115"/>
    </row>
    <row r="190" spans="1:17" s="113" customFormat="1" ht="18.5" thickBot="1" x14ac:dyDescent="0.4">
      <c r="B190" s="159"/>
      <c r="C190" s="160"/>
      <c r="D190" s="161"/>
      <c r="E190" s="161"/>
      <c r="F190" s="161"/>
      <c r="G190" s="161"/>
      <c r="H190" s="161"/>
      <c r="I190" s="161"/>
      <c r="J190" s="161"/>
      <c r="K190" s="162"/>
      <c r="L190" s="163"/>
      <c r="M190" s="163"/>
      <c r="N190" s="125"/>
      <c r="O190" s="125"/>
      <c r="P190" s="125"/>
      <c r="Q190" s="115"/>
    </row>
    <row r="191" spans="1:17" s="113" customFormat="1" ht="21" customHeight="1" x14ac:dyDescent="0.35">
      <c r="B191" s="1159" t="s">
        <v>302</v>
      </c>
      <c r="C191" s="1161" t="s">
        <v>28</v>
      </c>
      <c r="D191" s="1163" t="s">
        <v>343</v>
      </c>
      <c r="E191" s="165"/>
      <c r="F191" s="1165" t="s">
        <v>305</v>
      </c>
      <c r="G191" s="1166"/>
      <c r="H191" s="1166"/>
      <c r="I191" s="1166"/>
      <c r="J191" s="1167"/>
      <c r="K191" s="1161" t="s">
        <v>29</v>
      </c>
      <c r="L191" s="1168" t="s">
        <v>306</v>
      </c>
      <c r="M191" s="1174" t="s">
        <v>307</v>
      </c>
      <c r="N191" s="125"/>
      <c r="O191" s="125"/>
      <c r="P191" s="125"/>
      <c r="Q191" s="115"/>
    </row>
    <row r="192" spans="1:17" s="113" customFormat="1" ht="21" customHeight="1" thickBot="1" x14ac:dyDescent="0.4">
      <c r="B192" s="1160"/>
      <c r="C192" s="1162"/>
      <c r="D192" s="1164"/>
      <c r="E192" s="166"/>
      <c r="F192" s="127" t="s">
        <v>308</v>
      </c>
      <c r="G192" s="127" t="s">
        <v>309</v>
      </c>
      <c r="H192" s="127" t="s">
        <v>310</v>
      </c>
      <c r="I192" s="127" t="s">
        <v>311</v>
      </c>
      <c r="J192" s="127" t="s">
        <v>312</v>
      </c>
      <c r="K192" s="1162"/>
      <c r="L192" s="1169"/>
      <c r="M192" s="1175"/>
      <c r="N192" s="125"/>
      <c r="O192" s="125"/>
      <c r="P192" s="125"/>
      <c r="Q192" s="115"/>
    </row>
    <row r="193" spans="1:17" ht="18" customHeight="1" x14ac:dyDescent="0.35">
      <c r="A193" s="116">
        <v>1</v>
      </c>
      <c r="B193" s="128">
        <v>89</v>
      </c>
      <c r="C193" s="132" t="s">
        <v>462</v>
      </c>
      <c r="D193" s="130">
        <f t="shared" ref="D193:D204" si="16">+F193+G193+I193</f>
        <v>0.63</v>
      </c>
      <c r="E193" s="130">
        <f>'[1]road inventory 2018'!C179</f>
        <v>0.63</v>
      </c>
      <c r="F193" s="130">
        <v>0.3</v>
      </c>
      <c r="G193" s="130">
        <v>0</v>
      </c>
      <c r="H193" s="130">
        <v>0</v>
      </c>
      <c r="I193" s="130">
        <v>0.33</v>
      </c>
      <c r="J193" s="130">
        <v>0</v>
      </c>
      <c r="K193" s="132" t="s">
        <v>209</v>
      </c>
      <c r="L193" s="132" t="s">
        <v>360</v>
      </c>
      <c r="M193" s="133"/>
      <c r="O193" s="134">
        <f>D193</f>
        <v>0.63</v>
      </c>
      <c r="P193" s="134"/>
    </row>
    <row r="194" spans="1:17" ht="36" x14ac:dyDescent="0.35">
      <c r="A194" s="116">
        <v>2</v>
      </c>
      <c r="B194" s="135">
        <v>109</v>
      </c>
      <c r="C194" s="138" t="s">
        <v>285</v>
      </c>
      <c r="D194" s="137">
        <f t="shared" si="16"/>
        <v>2.5</v>
      </c>
      <c r="E194" s="137">
        <f>'[1]road inventory 2018'!C180</f>
        <v>2.5</v>
      </c>
      <c r="F194" s="137">
        <v>0.25700000000000001</v>
      </c>
      <c r="G194" s="137">
        <v>0</v>
      </c>
      <c r="H194" s="137">
        <v>0</v>
      </c>
      <c r="I194" s="137">
        <v>2.2429999999999999</v>
      </c>
      <c r="J194" s="137">
        <v>0</v>
      </c>
      <c r="K194" s="138" t="s">
        <v>209</v>
      </c>
      <c r="L194" s="138" t="s">
        <v>463</v>
      </c>
      <c r="M194" s="139"/>
      <c r="O194" s="134">
        <f t="shared" ref="O194:O204" si="17">D194</f>
        <v>2.5</v>
      </c>
      <c r="P194" s="134"/>
    </row>
    <row r="195" spans="1:17" ht="36" x14ac:dyDescent="0.35">
      <c r="A195" s="116">
        <v>3</v>
      </c>
      <c r="B195" s="135">
        <v>110</v>
      </c>
      <c r="C195" s="138" t="s">
        <v>65</v>
      </c>
      <c r="D195" s="137">
        <f t="shared" si="16"/>
        <v>7.3</v>
      </c>
      <c r="E195" s="137">
        <f>'[1]road inventory 2018'!C181</f>
        <v>7.3</v>
      </c>
      <c r="F195" s="137">
        <v>0</v>
      </c>
      <c r="G195" s="137">
        <v>0</v>
      </c>
      <c r="H195" s="137">
        <v>0</v>
      </c>
      <c r="I195" s="137">
        <v>7.3</v>
      </c>
      <c r="J195" s="137">
        <v>0</v>
      </c>
      <c r="K195" s="138" t="s">
        <v>206</v>
      </c>
      <c r="L195" s="138" t="s">
        <v>464</v>
      </c>
      <c r="M195" s="139"/>
      <c r="N195" s="118" t="s">
        <v>319</v>
      </c>
      <c r="O195" s="134">
        <f t="shared" si="17"/>
        <v>7.3</v>
      </c>
      <c r="P195" s="134"/>
    </row>
    <row r="196" spans="1:17" ht="36" x14ac:dyDescent="0.35">
      <c r="A196" s="116">
        <v>4</v>
      </c>
      <c r="B196" s="135">
        <v>111</v>
      </c>
      <c r="C196" s="138" t="s">
        <v>66</v>
      </c>
      <c r="D196" s="137">
        <f t="shared" si="16"/>
        <v>15.379999999999999</v>
      </c>
      <c r="E196" s="137">
        <f>'[1]road inventory 2018'!C182</f>
        <v>15.4</v>
      </c>
      <c r="F196" s="137">
        <v>1.38</v>
      </c>
      <c r="G196" s="137">
        <v>0</v>
      </c>
      <c r="H196" s="137">
        <v>0</v>
      </c>
      <c r="I196" s="137">
        <v>14</v>
      </c>
      <c r="J196" s="137">
        <v>0</v>
      </c>
      <c r="K196" s="138" t="s">
        <v>206</v>
      </c>
      <c r="L196" s="138" t="s">
        <v>465</v>
      </c>
      <c r="M196" s="139"/>
      <c r="N196" s="118" t="s">
        <v>319</v>
      </c>
      <c r="O196" s="134">
        <f t="shared" si="17"/>
        <v>15.379999999999999</v>
      </c>
      <c r="P196" s="134"/>
    </row>
    <row r="197" spans="1:17" ht="36" x14ac:dyDescent="0.35">
      <c r="A197" s="116">
        <v>5</v>
      </c>
      <c r="B197" s="135">
        <v>112</v>
      </c>
      <c r="C197" s="138" t="s">
        <v>73</v>
      </c>
      <c r="D197" s="137">
        <f t="shared" si="16"/>
        <v>8.5100000000000016</v>
      </c>
      <c r="E197" s="137">
        <f>'[1]road inventory 2018'!C183</f>
        <v>8.4</v>
      </c>
      <c r="F197" s="137">
        <v>0.21</v>
      </c>
      <c r="G197" s="137">
        <v>0</v>
      </c>
      <c r="H197" s="137">
        <v>0</v>
      </c>
      <c r="I197" s="137">
        <v>8.3000000000000007</v>
      </c>
      <c r="J197" s="137">
        <v>0</v>
      </c>
      <c r="K197" s="138" t="s">
        <v>206</v>
      </c>
      <c r="L197" s="138" t="s">
        <v>466</v>
      </c>
      <c r="M197" s="139"/>
      <c r="O197" s="134">
        <f t="shared" si="17"/>
        <v>8.5100000000000016</v>
      </c>
      <c r="P197" s="134"/>
    </row>
    <row r="198" spans="1:17" x14ac:dyDescent="0.35">
      <c r="A198" s="116">
        <v>6</v>
      </c>
      <c r="B198" s="135">
        <v>113</v>
      </c>
      <c r="C198" s="138" t="s">
        <v>75</v>
      </c>
      <c r="D198" s="137">
        <f t="shared" si="16"/>
        <v>1.52</v>
      </c>
      <c r="E198" s="137">
        <f>'[1]road inventory 2018'!C184</f>
        <v>1.5</v>
      </c>
      <c r="F198" s="137">
        <v>0.1</v>
      </c>
      <c r="G198" s="137">
        <v>0</v>
      </c>
      <c r="H198" s="137">
        <v>0</v>
      </c>
      <c r="I198" s="137">
        <v>1.42</v>
      </c>
      <c r="J198" s="137">
        <v>0</v>
      </c>
      <c r="K198" s="138" t="s">
        <v>206</v>
      </c>
      <c r="L198" s="138" t="s">
        <v>467</v>
      </c>
      <c r="M198" s="139"/>
      <c r="N198" s="118" t="s">
        <v>319</v>
      </c>
      <c r="O198" s="134">
        <f t="shared" si="17"/>
        <v>1.52</v>
      </c>
      <c r="P198" s="134"/>
    </row>
    <row r="199" spans="1:17" ht="36" x14ac:dyDescent="0.35">
      <c r="A199" s="116">
        <v>7</v>
      </c>
      <c r="B199" s="135">
        <v>114</v>
      </c>
      <c r="C199" s="138" t="s">
        <v>468</v>
      </c>
      <c r="D199" s="137">
        <f t="shared" si="16"/>
        <v>9.5500000000000007</v>
      </c>
      <c r="E199" s="137">
        <f>'[1]road inventory 2018'!C185</f>
        <v>9.5</v>
      </c>
      <c r="F199" s="137">
        <v>0</v>
      </c>
      <c r="G199" s="137">
        <v>0</v>
      </c>
      <c r="H199" s="137">
        <v>0</v>
      </c>
      <c r="I199" s="137">
        <v>9.5500000000000007</v>
      </c>
      <c r="J199" s="137">
        <v>0</v>
      </c>
      <c r="K199" s="141" t="s">
        <v>206</v>
      </c>
      <c r="L199" s="138" t="s">
        <v>469</v>
      </c>
      <c r="M199" s="139"/>
      <c r="O199" s="134">
        <f t="shared" si="17"/>
        <v>9.5500000000000007</v>
      </c>
      <c r="P199" s="134"/>
    </row>
    <row r="200" spans="1:17" ht="18" customHeight="1" x14ac:dyDescent="0.35">
      <c r="A200" s="116">
        <v>8</v>
      </c>
      <c r="B200" s="135">
        <v>115</v>
      </c>
      <c r="C200" s="138" t="s">
        <v>77</v>
      </c>
      <c r="D200" s="137">
        <f t="shared" si="16"/>
        <v>10.71</v>
      </c>
      <c r="E200" s="137">
        <f>'[1]road inventory 2018'!C186</f>
        <v>10.700000000000001</v>
      </c>
      <c r="F200" s="137">
        <v>10.71</v>
      </c>
      <c r="G200" s="137">
        <v>0</v>
      </c>
      <c r="H200" s="137">
        <v>0</v>
      </c>
      <c r="I200" s="137">
        <v>0</v>
      </c>
      <c r="J200" s="137">
        <v>0</v>
      </c>
      <c r="K200" s="138" t="s">
        <v>209</v>
      </c>
      <c r="L200" s="138" t="s">
        <v>470</v>
      </c>
      <c r="M200" s="139"/>
      <c r="O200" s="134">
        <f t="shared" si="17"/>
        <v>10.71</v>
      </c>
      <c r="P200" s="134"/>
    </row>
    <row r="201" spans="1:17" ht="18" customHeight="1" x14ac:dyDescent="0.35">
      <c r="A201" s="116">
        <v>9</v>
      </c>
      <c r="B201" s="135">
        <v>117</v>
      </c>
      <c r="C201" s="138" t="s">
        <v>79</v>
      </c>
      <c r="D201" s="137">
        <f t="shared" si="16"/>
        <v>9.51</v>
      </c>
      <c r="E201" s="137">
        <f>'[1]road inventory 2018'!C187</f>
        <v>8.6</v>
      </c>
      <c r="F201" s="137">
        <v>1.7</v>
      </c>
      <c r="G201" s="137">
        <v>0</v>
      </c>
      <c r="H201" s="137">
        <v>0</v>
      </c>
      <c r="I201" s="137">
        <v>7.81</v>
      </c>
      <c r="J201" s="137">
        <v>0</v>
      </c>
      <c r="K201" s="141" t="s">
        <v>206</v>
      </c>
      <c r="L201" s="138" t="s">
        <v>471</v>
      </c>
      <c r="M201" s="139"/>
      <c r="O201" s="134">
        <f t="shared" si="17"/>
        <v>9.51</v>
      </c>
      <c r="P201" s="134"/>
    </row>
    <row r="202" spans="1:17" ht="36" x14ac:dyDescent="0.35">
      <c r="A202" s="116">
        <v>10</v>
      </c>
      <c r="B202" s="135">
        <v>118</v>
      </c>
      <c r="C202" s="138" t="s">
        <v>83</v>
      </c>
      <c r="D202" s="137">
        <f t="shared" si="16"/>
        <v>3.51</v>
      </c>
      <c r="E202" s="137">
        <f>'[1]road inventory 2018'!C188</f>
        <v>3.4</v>
      </c>
      <c r="F202" s="137">
        <v>0</v>
      </c>
      <c r="G202" s="137">
        <v>0</v>
      </c>
      <c r="H202" s="137">
        <v>0</v>
      </c>
      <c r="I202" s="137">
        <v>3.51</v>
      </c>
      <c r="J202" s="137">
        <v>0</v>
      </c>
      <c r="K202" s="141" t="s">
        <v>210</v>
      </c>
      <c r="L202" s="138" t="s">
        <v>472</v>
      </c>
      <c r="M202" s="139"/>
      <c r="O202" s="134">
        <f t="shared" si="17"/>
        <v>3.51</v>
      </c>
      <c r="P202" s="134"/>
    </row>
    <row r="203" spans="1:17" ht="36" x14ac:dyDescent="0.35">
      <c r="A203" s="116">
        <v>11</v>
      </c>
      <c r="B203" s="135">
        <v>132</v>
      </c>
      <c r="C203" s="138" t="s">
        <v>85</v>
      </c>
      <c r="D203" s="137">
        <f t="shared" si="16"/>
        <v>13.5</v>
      </c>
      <c r="E203" s="137">
        <f>'[1]road inventory 2018'!C189</f>
        <v>13.5</v>
      </c>
      <c r="F203" s="137">
        <v>8.82</v>
      </c>
      <c r="G203" s="137">
        <v>0</v>
      </c>
      <c r="H203" s="137">
        <v>0</v>
      </c>
      <c r="I203" s="137">
        <v>4.68</v>
      </c>
      <c r="J203" s="137">
        <v>0</v>
      </c>
      <c r="K203" s="141" t="s">
        <v>209</v>
      </c>
      <c r="L203" s="138" t="s">
        <v>473</v>
      </c>
      <c r="M203" s="139"/>
      <c r="O203" s="134">
        <f t="shared" si="17"/>
        <v>13.5</v>
      </c>
      <c r="P203" s="134"/>
    </row>
    <row r="204" spans="1:17" ht="18" customHeight="1" x14ac:dyDescent="0.35">
      <c r="A204" s="116">
        <v>12</v>
      </c>
      <c r="B204" s="135">
        <v>139</v>
      </c>
      <c r="C204" s="138" t="s">
        <v>474</v>
      </c>
      <c r="D204" s="137">
        <f t="shared" si="16"/>
        <v>9.1</v>
      </c>
      <c r="E204" s="137">
        <f>'[1]road inventory 2018'!C190</f>
        <v>8.9</v>
      </c>
      <c r="F204" s="137">
        <v>0</v>
      </c>
      <c r="G204" s="137">
        <v>0</v>
      </c>
      <c r="H204" s="137">
        <v>0</v>
      </c>
      <c r="I204" s="137">
        <v>9.1</v>
      </c>
      <c r="J204" s="137">
        <v>0</v>
      </c>
      <c r="K204" s="141" t="s">
        <v>206</v>
      </c>
      <c r="L204" s="138" t="s">
        <v>475</v>
      </c>
      <c r="M204" s="139"/>
      <c r="O204" s="134">
        <f t="shared" si="17"/>
        <v>9.1</v>
      </c>
      <c r="P204" s="134"/>
    </row>
    <row r="205" spans="1:17" s="113" customFormat="1" ht="21" customHeight="1" x14ac:dyDescent="0.35">
      <c r="B205" s="1170" t="s">
        <v>302</v>
      </c>
      <c r="C205" s="1171" t="s">
        <v>28</v>
      </c>
      <c r="D205" s="1172" t="s">
        <v>343</v>
      </c>
      <c r="E205" s="199"/>
      <c r="F205" s="1173" t="s">
        <v>305</v>
      </c>
      <c r="G205" s="1173"/>
      <c r="H205" s="1173"/>
      <c r="I205" s="1173"/>
      <c r="J205" s="1173"/>
      <c r="K205" s="1171" t="s">
        <v>29</v>
      </c>
      <c r="L205" s="1171" t="s">
        <v>306</v>
      </c>
      <c r="M205" s="1155" t="s">
        <v>307</v>
      </c>
      <c r="N205" s="125"/>
      <c r="O205" s="125"/>
      <c r="P205" s="125"/>
      <c r="Q205" s="115"/>
    </row>
    <row r="206" spans="1:17" s="113" customFormat="1" ht="21" customHeight="1" x14ac:dyDescent="0.35">
      <c r="B206" s="1170"/>
      <c r="C206" s="1171"/>
      <c r="D206" s="1172"/>
      <c r="E206" s="199"/>
      <c r="F206" s="200" t="s">
        <v>308</v>
      </c>
      <c r="G206" s="200" t="s">
        <v>309</v>
      </c>
      <c r="H206" s="200" t="s">
        <v>310</v>
      </c>
      <c r="I206" s="200" t="s">
        <v>311</v>
      </c>
      <c r="J206" s="200" t="s">
        <v>312</v>
      </c>
      <c r="K206" s="1171"/>
      <c r="L206" s="1171"/>
      <c r="M206" s="1155"/>
      <c r="N206" s="125"/>
      <c r="O206" s="125"/>
      <c r="P206" s="125"/>
      <c r="Q206" s="115"/>
    </row>
    <row r="207" spans="1:17" ht="18" customHeight="1" x14ac:dyDescent="0.35">
      <c r="A207" s="116">
        <v>13</v>
      </c>
      <c r="B207" s="135">
        <v>122</v>
      </c>
      <c r="C207" s="138" t="s">
        <v>476</v>
      </c>
      <c r="D207" s="137">
        <f>+F207+G207+I207</f>
        <v>3.44</v>
      </c>
      <c r="E207" s="137">
        <f>'[1]road inventory 2018'!C193</f>
        <v>3.25</v>
      </c>
      <c r="F207" s="137">
        <v>0</v>
      </c>
      <c r="G207" s="137">
        <v>0</v>
      </c>
      <c r="H207" s="137">
        <v>0</v>
      </c>
      <c r="I207" s="137">
        <v>3.44</v>
      </c>
      <c r="J207" s="137">
        <v>0</v>
      </c>
      <c r="K207" s="141" t="s">
        <v>206</v>
      </c>
      <c r="L207" s="138" t="s">
        <v>477</v>
      </c>
      <c r="M207" s="139"/>
      <c r="O207" s="134">
        <f>D207</f>
        <v>3.44</v>
      </c>
      <c r="P207" s="134"/>
    </row>
    <row r="208" spans="1:17" ht="18" customHeight="1" x14ac:dyDescent="0.35">
      <c r="A208" s="116">
        <v>14</v>
      </c>
      <c r="B208" s="135">
        <v>216</v>
      </c>
      <c r="C208" s="138" t="s">
        <v>87</v>
      </c>
      <c r="D208" s="137">
        <f>+F208+G208+I208</f>
        <v>6.32</v>
      </c>
      <c r="E208" s="137">
        <f>'[1]road inventory 2018'!C194</f>
        <v>6.1</v>
      </c>
      <c r="F208" s="137">
        <v>0</v>
      </c>
      <c r="G208" s="137">
        <v>0</v>
      </c>
      <c r="H208" s="137">
        <v>0</v>
      </c>
      <c r="I208" s="137">
        <v>6.32</v>
      </c>
      <c r="J208" s="137">
        <v>0</v>
      </c>
      <c r="K208" s="141" t="s">
        <v>206</v>
      </c>
      <c r="L208" s="138" t="s">
        <v>478</v>
      </c>
      <c r="M208" s="139"/>
      <c r="O208" s="134">
        <f>D208</f>
        <v>6.32</v>
      </c>
      <c r="P208" s="134"/>
    </row>
    <row r="209" spans="1:17" ht="18" customHeight="1" x14ac:dyDescent="0.35">
      <c r="A209" s="116">
        <v>15</v>
      </c>
      <c r="B209" s="135">
        <v>133</v>
      </c>
      <c r="C209" s="138" t="s">
        <v>90</v>
      </c>
      <c r="D209" s="137">
        <f>+F209+G209+I209</f>
        <v>4.47</v>
      </c>
      <c r="E209" s="137">
        <f>'[1]road inventory 2018'!C195</f>
        <v>4.4000000000000004</v>
      </c>
      <c r="F209" s="137">
        <v>0</v>
      </c>
      <c r="G209" s="137">
        <v>0</v>
      </c>
      <c r="H209" s="137">
        <v>0</v>
      </c>
      <c r="I209" s="137">
        <v>4.47</v>
      </c>
      <c r="J209" s="137">
        <v>0</v>
      </c>
      <c r="K209" s="141" t="s">
        <v>206</v>
      </c>
      <c r="L209" s="138" t="s">
        <v>478</v>
      </c>
      <c r="M209" s="139"/>
      <c r="O209" s="134">
        <f>D209</f>
        <v>4.47</v>
      </c>
      <c r="P209" s="134"/>
    </row>
    <row r="210" spans="1:17" ht="18" customHeight="1" x14ac:dyDescent="0.35">
      <c r="A210" s="116">
        <v>16</v>
      </c>
      <c r="B210" s="135">
        <v>123</v>
      </c>
      <c r="C210" s="138" t="s">
        <v>91</v>
      </c>
      <c r="D210" s="137">
        <f>+F210+G210+I210</f>
        <v>21.82</v>
      </c>
      <c r="E210" s="137">
        <f>'[1]road inventory 2018'!C196</f>
        <v>17</v>
      </c>
      <c r="F210" s="137">
        <v>12.19</v>
      </c>
      <c r="G210" s="137">
        <v>0</v>
      </c>
      <c r="H210" s="137">
        <v>0</v>
      </c>
      <c r="I210" s="137">
        <v>9.6300000000000008</v>
      </c>
      <c r="J210" s="137">
        <v>0</v>
      </c>
      <c r="K210" s="141" t="s">
        <v>206</v>
      </c>
      <c r="L210" s="138" t="s">
        <v>475</v>
      </c>
      <c r="M210" s="139"/>
      <c r="O210" s="134">
        <f>D210</f>
        <v>21.82</v>
      </c>
      <c r="P210" s="134"/>
    </row>
    <row r="211" spans="1:17" ht="18" customHeight="1" x14ac:dyDescent="0.35">
      <c r="A211" s="116">
        <v>17</v>
      </c>
      <c r="B211" s="135">
        <v>134</v>
      </c>
      <c r="C211" s="198" t="s">
        <v>284</v>
      </c>
      <c r="D211" s="137">
        <f>+F211+G211+I211</f>
        <v>8.23</v>
      </c>
      <c r="E211" s="137">
        <f>'[1]road inventory 2018'!C197</f>
        <v>8.3000000000000007</v>
      </c>
      <c r="F211" s="137">
        <v>0</v>
      </c>
      <c r="G211" s="137">
        <v>0</v>
      </c>
      <c r="H211" s="137">
        <v>0</v>
      </c>
      <c r="I211" s="137">
        <v>8.23</v>
      </c>
      <c r="J211" s="137">
        <v>0</v>
      </c>
      <c r="K211" s="141" t="s">
        <v>206</v>
      </c>
      <c r="L211" s="138"/>
      <c r="M211" s="139"/>
      <c r="O211" s="134">
        <f>D211</f>
        <v>8.23</v>
      </c>
      <c r="P211" s="134"/>
    </row>
    <row r="212" spans="1:17" ht="18" customHeight="1" x14ac:dyDescent="0.35">
      <c r="B212" s="135"/>
      <c r="C212" s="198"/>
      <c r="D212" s="137">
        <f>SUM(D193:D211)</f>
        <v>135.99999999999997</v>
      </c>
      <c r="E212" s="137">
        <f>SUM(E193:E211)</f>
        <v>129.38000000000002</v>
      </c>
      <c r="F212" s="137"/>
      <c r="G212" s="137"/>
      <c r="H212" s="137"/>
      <c r="I212" s="137"/>
      <c r="J212" s="137"/>
      <c r="K212" s="141"/>
      <c r="L212" s="138"/>
      <c r="M212" s="139"/>
    </row>
    <row r="213" spans="1:17" s="207" customFormat="1" ht="18" customHeight="1" thickBot="1" x14ac:dyDescent="0.4">
      <c r="B213" s="145" t="s">
        <v>341</v>
      </c>
      <c r="C213" s="178"/>
      <c r="D213" s="147">
        <f>F213+I213</f>
        <v>136</v>
      </c>
      <c r="E213" s="147"/>
      <c r="F213" s="147">
        <f>SUM(F193:F211)</f>
        <v>35.667000000000002</v>
      </c>
      <c r="G213" s="147">
        <f>SUM(G193:G211)</f>
        <v>0</v>
      </c>
      <c r="H213" s="147">
        <f>SUM(H193:H211)</f>
        <v>0</v>
      </c>
      <c r="I213" s="147">
        <f>SUM(I193:I211)</f>
        <v>100.33299999999998</v>
      </c>
      <c r="J213" s="147">
        <f>SUM(J193:J211)</f>
        <v>0</v>
      </c>
      <c r="K213" s="148"/>
      <c r="L213" s="146"/>
      <c r="M213" s="149"/>
      <c r="N213" s="150"/>
      <c r="O213" s="150"/>
      <c r="P213" s="150"/>
      <c r="Q213" s="208"/>
    </row>
    <row r="214" spans="1:17" ht="18" customHeight="1" x14ac:dyDescent="0.35">
      <c r="B214" s="219"/>
      <c r="C214" s="220"/>
      <c r="D214" s="221"/>
      <c r="E214" s="221"/>
      <c r="F214" s="221"/>
      <c r="G214" s="221"/>
      <c r="H214" s="221"/>
      <c r="I214" s="221"/>
      <c r="J214" s="221"/>
      <c r="K214" s="221"/>
      <c r="L214" s="220"/>
      <c r="M214" s="220"/>
      <c r="P214" s="134">
        <f>SUM(O193:O213)</f>
        <v>135.99999999999997</v>
      </c>
    </row>
    <row r="215" spans="1:17" ht="18" customHeight="1" x14ac:dyDescent="0.35">
      <c r="P215" s="134"/>
    </row>
    <row r="216" spans="1:17" ht="18" customHeight="1" x14ac:dyDescent="0.35">
      <c r="P216" s="134"/>
    </row>
    <row r="217" spans="1:17" ht="18" customHeight="1" x14ac:dyDescent="0.35">
      <c r="P217" s="134"/>
    </row>
    <row r="218" spans="1:17" ht="3.75" customHeight="1" thickBot="1" x14ac:dyDescent="0.4">
      <c r="B218" s="222"/>
      <c r="C218" s="121"/>
      <c r="D218" s="123"/>
      <c r="E218" s="123"/>
      <c r="F218" s="123"/>
      <c r="G218" s="123"/>
      <c r="H218" s="123"/>
      <c r="I218" s="123"/>
      <c r="J218" s="123"/>
      <c r="K218" s="123"/>
      <c r="L218" s="121"/>
      <c r="M218" s="121"/>
      <c r="P218" s="134"/>
    </row>
    <row r="219" spans="1:17" s="113" customFormat="1" ht="15.75" customHeight="1" thickBot="1" x14ac:dyDescent="0.4">
      <c r="B219" s="1156" t="s">
        <v>479</v>
      </c>
      <c r="C219" s="1157"/>
      <c r="D219" s="1157"/>
      <c r="E219" s="1157"/>
      <c r="F219" s="1157"/>
      <c r="G219" s="1157"/>
      <c r="H219" s="1157"/>
      <c r="I219" s="1157"/>
      <c r="J219" s="1157"/>
      <c r="K219" s="1157"/>
      <c r="L219" s="1157"/>
      <c r="M219" s="1158"/>
      <c r="Q219" s="115"/>
    </row>
    <row r="220" spans="1:17" s="113" customFormat="1" ht="6" customHeight="1" thickBot="1" x14ac:dyDescent="0.4">
      <c r="B220" s="159"/>
      <c r="C220" s="160"/>
      <c r="D220" s="161"/>
      <c r="E220" s="161"/>
      <c r="F220" s="161"/>
      <c r="G220" s="161"/>
      <c r="H220" s="161"/>
      <c r="I220" s="161"/>
      <c r="J220" s="161"/>
      <c r="K220" s="162"/>
      <c r="L220" s="163"/>
      <c r="M220" s="163"/>
      <c r="N220" s="125"/>
      <c r="O220" s="125"/>
      <c r="P220" s="125"/>
      <c r="Q220" s="115"/>
    </row>
    <row r="221" spans="1:17" s="113" customFormat="1" ht="14.25" customHeight="1" x14ac:dyDescent="0.35">
      <c r="B221" s="1159" t="s">
        <v>302</v>
      </c>
      <c r="C221" s="1161" t="s">
        <v>28</v>
      </c>
      <c r="D221" s="1163" t="s">
        <v>343</v>
      </c>
      <c r="E221" s="165"/>
      <c r="F221" s="1165" t="s">
        <v>305</v>
      </c>
      <c r="G221" s="1166"/>
      <c r="H221" s="1166"/>
      <c r="I221" s="1166"/>
      <c r="J221" s="1167"/>
      <c r="K221" s="1161" t="s">
        <v>29</v>
      </c>
      <c r="L221" s="1161" t="s">
        <v>306</v>
      </c>
      <c r="M221" s="1168" t="s">
        <v>307</v>
      </c>
      <c r="N221" s="125"/>
      <c r="O221" s="125"/>
      <c r="P221" s="125"/>
      <c r="Q221" s="115"/>
    </row>
    <row r="222" spans="1:17" s="113" customFormat="1" ht="21" customHeight="1" thickBot="1" x14ac:dyDescent="0.4">
      <c r="B222" s="1160"/>
      <c r="C222" s="1162"/>
      <c r="D222" s="1164"/>
      <c r="E222" s="166"/>
      <c r="F222" s="127" t="s">
        <v>308</v>
      </c>
      <c r="G222" s="127" t="s">
        <v>309</v>
      </c>
      <c r="H222" s="127" t="s">
        <v>310</v>
      </c>
      <c r="I222" s="127" t="s">
        <v>311</v>
      </c>
      <c r="J222" s="127" t="s">
        <v>312</v>
      </c>
      <c r="K222" s="1162"/>
      <c r="L222" s="1162"/>
      <c r="M222" s="1169"/>
      <c r="N222" s="125"/>
      <c r="O222" s="125"/>
      <c r="P222" s="125"/>
      <c r="Q222" s="115"/>
    </row>
    <row r="223" spans="1:17" ht="18" customHeight="1" x14ac:dyDescent="0.35">
      <c r="A223" s="116">
        <v>1</v>
      </c>
      <c r="B223" s="128">
        <v>136</v>
      </c>
      <c r="C223" s="132" t="s">
        <v>93</v>
      </c>
      <c r="D223" s="130">
        <f t="shared" ref="D223:D230" si="18">+I223+F223</f>
        <v>11.309999999999999</v>
      </c>
      <c r="E223" s="130">
        <f>'[1]road inventory 2018'!C204</f>
        <v>11.3</v>
      </c>
      <c r="F223" s="130">
        <v>8.6999999999999993</v>
      </c>
      <c r="G223" s="130">
        <v>0</v>
      </c>
      <c r="H223" s="130">
        <v>0</v>
      </c>
      <c r="I223" s="130">
        <v>2.61</v>
      </c>
      <c r="J223" s="130">
        <v>0</v>
      </c>
      <c r="K223" s="132" t="s">
        <v>209</v>
      </c>
      <c r="L223" s="132" t="s">
        <v>480</v>
      </c>
      <c r="M223" s="133"/>
      <c r="O223" s="134">
        <f>D223</f>
        <v>11.309999999999999</v>
      </c>
      <c r="P223" s="134"/>
    </row>
    <row r="224" spans="1:17" ht="18" customHeight="1" x14ac:dyDescent="0.35">
      <c r="A224" s="116">
        <v>2</v>
      </c>
      <c r="B224" s="135">
        <v>137</v>
      </c>
      <c r="C224" s="138" t="s">
        <v>95</v>
      </c>
      <c r="D224" s="137">
        <f t="shared" si="18"/>
        <v>12.59</v>
      </c>
      <c r="E224" s="137">
        <f>'[1]road inventory 2018'!C205</f>
        <v>12.5</v>
      </c>
      <c r="F224" s="137">
        <v>8.74</v>
      </c>
      <c r="G224" s="137">
        <v>0</v>
      </c>
      <c r="H224" s="137">
        <v>0</v>
      </c>
      <c r="I224" s="137">
        <v>3.85</v>
      </c>
      <c r="J224" s="137">
        <v>0</v>
      </c>
      <c r="K224" s="138" t="s">
        <v>209</v>
      </c>
      <c r="L224" s="138" t="s">
        <v>481</v>
      </c>
      <c r="M224" s="139"/>
      <c r="O224" s="134">
        <f t="shared" ref="O224:O230" si="19">D224</f>
        <v>12.59</v>
      </c>
      <c r="P224" s="134"/>
    </row>
    <row r="225" spans="1:18" ht="18" customHeight="1" x14ac:dyDescent="0.35">
      <c r="A225" s="116">
        <v>3</v>
      </c>
      <c r="B225" s="135">
        <v>119</v>
      </c>
      <c r="C225" s="138" t="s">
        <v>97</v>
      </c>
      <c r="D225" s="137">
        <f t="shared" si="18"/>
        <v>5.51</v>
      </c>
      <c r="E225" s="137">
        <f>'[1]road inventory 2018'!C206</f>
        <v>5.5</v>
      </c>
      <c r="F225" s="137">
        <v>0</v>
      </c>
      <c r="G225" s="137">
        <v>0</v>
      </c>
      <c r="H225" s="137">
        <v>0</v>
      </c>
      <c r="I225" s="137">
        <v>5.51</v>
      </c>
      <c r="J225" s="137">
        <v>0</v>
      </c>
      <c r="K225" s="138" t="s">
        <v>207</v>
      </c>
      <c r="L225" s="138" t="s">
        <v>482</v>
      </c>
      <c r="M225" s="139"/>
      <c r="O225" s="134">
        <f t="shared" si="19"/>
        <v>5.51</v>
      </c>
      <c r="P225" s="134"/>
    </row>
    <row r="226" spans="1:18" x14ac:dyDescent="0.35">
      <c r="A226" s="116">
        <v>4</v>
      </c>
      <c r="B226" s="135">
        <v>120</v>
      </c>
      <c r="C226" s="28" t="s">
        <v>99</v>
      </c>
      <c r="D226" s="137">
        <f t="shared" si="18"/>
        <v>10.85</v>
      </c>
      <c r="E226" s="137">
        <f>'[1]road inventory 2018'!C207</f>
        <v>10.75</v>
      </c>
      <c r="F226" s="137">
        <v>10.24</v>
      </c>
      <c r="G226" s="137">
        <v>0</v>
      </c>
      <c r="H226" s="137">
        <v>0</v>
      </c>
      <c r="I226" s="137">
        <v>0.61</v>
      </c>
      <c r="J226" s="137">
        <v>0</v>
      </c>
      <c r="K226" s="138" t="s">
        <v>209</v>
      </c>
      <c r="L226" s="138" t="s">
        <v>483</v>
      </c>
      <c r="M226" s="139"/>
      <c r="O226" s="134">
        <f t="shared" si="19"/>
        <v>10.85</v>
      </c>
      <c r="P226" s="134"/>
    </row>
    <row r="227" spans="1:18" ht="36" x14ac:dyDescent="0.35">
      <c r="A227" s="116">
        <v>5</v>
      </c>
      <c r="B227" s="135">
        <v>140</v>
      </c>
      <c r="C227" s="138" t="s">
        <v>101</v>
      </c>
      <c r="D227" s="137">
        <f t="shared" si="18"/>
        <v>19.52</v>
      </c>
      <c r="E227" s="137">
        <f>'[1]road inventory 2018'!C208</f>
        <v>19.52</v>
      </c>
      <c r="F227" s="137">
        <v>2.41</v>
      </c>
      <c r="G227" s="137">
        <v>0</v>
      </c>
      <c r="H227" s="137">
        <v>0</v>
      </c>
      <c r="I227" s="137">
        <v>17.11</v>
      </c>
      <c r="J227" s="137">
        <v>0</v>
      </c>
      <c r="K227" s="138" t="s">
        <v>206</v>
      </c>
      <c r="L227" s="138"/>
      <c r="M227" s="139"/>
      <c r="O227" s="134">
        <f t="shared" si="19"/>
        <v>19.52</v>
      </c>
      <c r="P227" s="134"/>
    </row>
    <row r="228" spans="1:18" ht="36" x14ac:dyDescent="0.35">
      <c r="A228" s="116">
        <v>6</v>
      </c>
      <c r="B228" s="135">
        <v>138</v>
      </c>
      <c r="C228" s="138" t="s">
        <v>103</v>
      </c>
      <c r="D228" s="137">
        <f t="shared" si="18"/>
        <v>5.98</v>
      </c>
      <c r="E228" s="137">
        <f>'[1]road inventory 2018'!C209</f>
        <v>5.0999999999999996</v>
      </c>
      <c r="F228" s="137">
        <v>0</v>
      </c>
      <c r="G228" s="137">
        <v>0</v>
      </c>
      <c r="H228" s="137">
        <v>0</v>
      </c>
      <c r="I228" s="137">
        <v>5.98</v>
      </c>
      <c r="J228" s="137">
        <v>0</v>
      </c>
      <c r="K228" s="141" t="s">
        <v>206</v>
      </c>
      <c r="L228" s="138" t="s">
        <v>484</v>
      </c>
      <c r="M228" s="139"/>
      <c r="N228" s="118" t="s">
        <v>319</v>
      </c>
      <c r="O228" s="134">
        <f t="shared" si="19"/>
        <v>5.98</v>
      </c>
      <c r="P228" s="134"/>
    </row>
    <row r="229" spans="1:18" ht="36" x14ac:dyDescent="0.35">
      <c r="A229" s="116">
        <v>7</v>
      </c>
      <c r="B229" s="135">
        <v>124</v>
      </c>
      <c r="C229" s="138" t="s">
        <v>485</v>
      </c>
      <c r="D229" s="137">
        <f t="shared" si="18"/>
        <v>17</v>
      </c>
      <c r="E229" s="137">
        <f>'[1]road inventory 2018'!C210</f>
        <v>17</v>
      </c>
      <c r="F229" s="137">
        <v>3.52</v>
      </c>
      <c r="G229" s="137">
        <v>0</v>
      </c>
      <c r="H229" s="137">
        <v>0</v>
      </c>
      <c r="I229" s="137">
        <f>8.98+4.5</f>
        <v>13.48</v>
      </c>
      <c r="J229" s="137">
        <v>0</v>
      </c>
      <c r="K229" s="141" t="s">
        <v>206</v>
      </c>
      <c r="L229" s="138"/>
      <c r="M229" s="139"/>
      <c r="O229" s="134">
        <f t="shared" si="19"/>
        <v>17</v>
      </c>
      <c r="P229" s="134"/>
    </row>
    <row r="230" spans="1:18" ht="18" customHeight="1" x14ac:dyDescent="0.35">
      <c r="A230" s="116">
        <v>8</v>
      </c>
      <c r="B230" s="135">
        <v>141</v>
      </c>
      <c r="C230" s="138" t="s">
        <v>486</v>
      </c>
      <c r="D230" s="137">
        <f t="shared" si="18"/>
        <v>6</v>
      </c>
      <c r="E230" s="137">
        <f>'[1]road inventory 2018'!C211</f>
        <v>6</v>
      </c>
      <c r="F230" s="137">
        <v>0</v>
      </c>
      <c r="G230" s="137">
        <v>0</v>
      </c>
      <c r="H230" s="137">
        <v>0</v>
      </c>
      <c r="I230" s="137">
        <v>6</v>
      </c>
      <c r="J230" s="137">
        <v>0</v>
      </c>
      <c r="K230" s="141" t="s">
        <v>206</v>
      </c>
      <c r="L230" s="138" t="s">
        <v>487</v>
      </c>
      <c r="M230" s="139"/>
      <c r="O230" s="134">
        <f t="shared" si="19"/>
        <v>6</v>
      </c>
      <c r="P230" s="134"/>
    </row>
    <row r="231" spans="1:18" ht="18" customHeight="1" x14ac:dyDescent="0.35">
      <c r="B231" s="135"/>
      <c r="C231" s="138"/>
      <c r="D231" s="137">
        <f>SUM(D223:D230)</f>
        <v>88.76</v>
      </c>
      <c r="E231" s="137">
        <f>SUM(E223:E230)</f>
        <v>87.669999999999987</v>
      </c>
      <c r="F231" s="137"/>
      <c r="G231" s="137"/>
      <c r="H231" s="137"/>
      <c r="I231" s="137"/>
      <c r="J231" s="137"/>
      <c r="K231" s="141"/>
      <c r="L231" s="138"/>
      <c r="M231" s="139"/>
      <c r="O231" s="134"/>
      <c r="P231" s="134"/>
    </row>
    <row r="232" spans="1:18" s="207" customFormat="1" ht="18" customHeight="1" thickBot="1" x14ac:dyDescent="0.4">
      <c r="B232" s="145" t="s">
        <v>341</v>
      </c>
      <c r="C232" s="178"/>
      <c r="D232" s="147">
        <f>SUM(D223:D230)</f>
        <v>88.76</v>
      </c>
      <c r="E232" s="147"/>
      <c r="F232" s="147">
        <f>SUM(F223:F230)</f>
        <v>33.61</v>
      </c>
      <c r="G232" s="147">
        <f>SUM(G223:G230)</f>
        <v>0</v>
      </c>
      <c r="H232" s="147">
        <f>SUM(H223:H230)</f>
        <v>0</v>
      </c>
      <c r="I232" s="147">
        <f>SUM(I223:I230)</f>
        <v>55.150000000000006</v>
      </c>
      <c r="J232" s="147">
        <f>SUM(J223:J230)</f>
        <v>0</v>
      </c>
      <c r="K232" s="148"/>
      <c r="L232" s="146"/>
      <c r="M232" s="149"/>
      <c r="N232" s="150"/>
      <c r="O232" s="150"/>
      <c r="P232" s="194">
        <f>SUM(O223:O230)</f>
        <v>88.76</v>
      </c>
      <c r="Q232" s="208"/>
    </row>
    <row r="233" spans="1:18" ht="8.25" customHeight="1" thickBot="1" x14ac:dyDescent="0.4">
      <c r="B233" s="191"/>
      <c r="C233" s="160"/>
      <c r="D233" s="162"/>
      <c r="E233" s="162"/>
      <c r="F233" s="162"/>
      <c r="G233" s="162"/>
      <c r="H233" s="162"/>
      <c r="I233" s="162"/>
      <c r="J233" s="162"/>
      <c r="K233" s="162"/>
      <c r="L233" s="160"/>
      <c r="M233" s="160"/>
    </row>
    <row r="234" spans="1:18" s="113" customFormat="1" ht="14.25" customHeight="1" thickBot="1" x14ac:dyDescent="0.4">
      <c r="B234" s="1156" t="s">
        <v>488</v>
      </c>
      <c r="C234" s="1157"/>
      <c r="D234" s="1157"/>
      <c r="E234" s="1157"/>
      <c r="F234" s="1157"/>
      <c r="G234" s="1157"/>
      <c r="H234" s="1157"/>
      <c r="I234" s="1157"/>
      <c r="J234" s="1157"/>
      <c r="K234" s="1157"/>
      <c r="L234" s="1157"/>
      <c r="M234" s="1158"/>
      <c r="Q234" s="115"/>
    </row>
    <row r="235" spans="1:18" s="113" customFormat="1" ht="9" customHeight="1" thickBot="1" x14ac:dyDescent="0.4">
      <c r="B235" s="159"/>
      <c r="C235" s="160"/>
      <c r="D235" s="161"/>
      <c r="E235" s="161"/>
      <c r="F235" s="161"/>
      <c r="G235" s="161"/>
      <c r="H235" s="161"/>
      <c r="I235" s="161"/>
      <c r="J235" s="161"/>
      <c r="K235" s="162"/>
      <c r="L235" s="163"/>
      <c r="M235" s="163"/>
      <c r="N235" s="125"/>
      <c r="O235" s="125"/>
      <c r="P235" s="125"/>
      <c r="Q235" s="115"/>
    </row>
    <row r="236" spans="1:18" s="113" customFormat="1" ht="21" customHeight="1" x14ac:dyDescent="0.35">
      <c r="B236" s="1159" t="s">
        <v>302</v>
      </c>
      <c r="C236" s="1161" t="s">
        <v>28</v>
      </c>
      <c r="D236" s="1163" t="s">
        <v>343</v>
      </c>
      <c r="E236" s="165"/>
      <c r="F236" s="1165" t="s">
        <v>305</v>
      </c>
      <c r="G236" s="1166"/>
      <c r="H236" s="1166"/>
      <c r="I236" s="1166"/>
      <c r="J236" s="1167"/>
      <c r="K236" s="1161" t="s">
        <v>29</v>
      </c>
      <c r="L236" s="1161" t="s">
        <v>306</v>
      </c>
      <c r="M236" s="1168" t="str">
        <f>M221</f>
        <v>REMARKS</v>
      </c>
      <c r="N236" s="125"/>
      <c r="O236" s="125"/>
      <c r="P236" s="125"/>
      <c r="Q236" s="115"/>
    </row>
    <row r="237" spans="1:18" s="113" customFormat="1" ht="21" customHeight="1" thickBot="1" x14ac:dyDescent="0.4">
      <c r="B237" s="1160"/>
      <c r="C237" s="1162"/>
      <c r="D237" s="1164"/>
      <c r="E237" s="166"/>
      <c r="F237" s="127" t="s">
        <v>308</v>
      </c>
      <c r="G237" s="127" t="s">
        <v>309</v>
      </c>
      <c r="H237" s="127" t="s">
        <v>310</v>
      </c>
      <c r="I237" s="127" t="s">
        <v>311</v>
      </c>
      <c r="J237" s="127" t="s">
        <v>312</v>
      </c>
      <c r="K237" s="1162"/>
      <c r="L237" s="1162"/>
      <c r="M237" s="1169"/>
      <c r="N237" s="125"/>
      <c r="O237" s="125"/>
      <c r="P237" s="125"/>
      <c r="Q237" s="115"/>
    </row>
    <row r="238" spans="1:18" ht="36" x14ac:dyDescent="0.35">
      <c r="A238" s="116">
        <v>1</v>
      </c>
      <c r="B238" s="128">
        <v>142</v>
      </c>
      <c r="C238" s="132" t="s">
        <v>286</v>
      </c>
      <c r="D238" s="130">
        <f t="shared" ref="D238:D245" si="20">+I238+F238</f>
        <v>21.69</v>
      </c>
      <c r="E238" s="130">
        <f>'[1]road inventory 2018'!C218</f>
        <v>19.299999999999997</v>
      </c>
      <c r="F238" s="130">
        <v>0.8</v>
      </c>
      <c r="G238" s="130">
        <v>0</v>
      </c>
      <c r="H238" s="130">
        <v>0</v>
      </c>
      <c r="I238" s="130">
        <v>20.89</v>
      </c>
      <c r="J238" s="130">
        <v>0</v>
      </c>
      <c r="K238" s="131" t="s">
        <v>206</v>
      </c>
      <c r="L238" s="132" t="s">
        <v>489</v>
      </c>
      <c r="M238" s="133"/>
      <c r="O238" s="134">
        <f>D238</f>
        <v>21.69</v>
      </c>
      <c r="P238" s="134"/>
    </row>
    <row r="239" spans="1:18" ht="36" x14ac:dyDescent="0.35">
      <c r="A239" s="116">
        <v>2</v>
      </c>
      <c r="B239" s="135">
        <v>143</v>
      </c>
      <c r="C239" s="138" t="s">
        <v>287</v>
      </c>
      <c r="D239" s="137">
        <f t="shared" si="20"/>
        <v>8.91</v>
      </c>
      <c r="E239" s="137">
        <f>'[1]road inventory 2018'!C219</f>
        <v>8.7999999999999989</v>
      </c>
      <c r="F239" s="137">
        <v>0.2</v>
      </c>
      <c r="G239" s="137">
        <v>0</v>
      </c>
      <c r="H239" s="137">
        <v>0</v>
      </c>
      <c r="I239" s="137">
        <v>8.7100000000000009</v>
      </c>
      <c r="J239" s="137">
        <v>0</v>
      </c>
      <c r="K239" s="141" t="s">
        <v>206</v>
      </c>
      <c r="L239" s="138" t="s">
        <v>490</v>
      </c>
      <c r="M239" s="139"/>
      <c r="O239" s="134">
        <f t="shared" ref="O239:O245" si="21">D239</f>
        <v>8.91</v>
      </c>
      <c r="P239" s="134"/>
      <c r="R239" s="116">
        <f>3750*4</f>
        <v>15000</v>
      </c>
    </row>
    <row r="240" spans="1:18" ht="36" x14ac:dyDescent="0.35">
      <c r="A240" s="116">
        <v>3</v>
      </c>
      <c r="B240" s="135">
        <v>144</v>
      </c>
      <c r="C240" s="138" t="s">
        <v>288</v>
      </c>
      <c r="D240" s="137">
        <f t="shared" si="20"/>
        <v>7.88</v>
      </c>
      <c r="E240" s="137">
        <f>'[1]road inventory 2018'!C220</f>
        <v>7.8999999999999995</v>
      </c>
      <c r="F240" s="137">
        <v>1.75</v>
      </c>
      <c r="G240" s="137">
        <v>0</v>
      </c>
      <c r="H240" s="137">
        <v>0</v>
      </c>
      <c r="I240" s="137">
        <v>6.13</v>
      </c>
      <c r="J240" s="137">
        <v>0</v>
      </c>
      <c r="K240" s="141" t="s">
        <v>206</v>
      </c>
      <c r="L240" s="138" t="s">
        <v>491</v>
      </c>
      <c r="M240" s="139"/>
      <c r="O240" s="134">
        <f t="shared" si="21"/>
        <v>7.88</v>
      </c>
      <c r="P240" s="134"/>
    </row>
    <row r="241" spans="1:17" x14ac:dyDescent="0.35">
      <c r="A241" s="116">
        <v>4</v>
      </c>
      <c r="B241" s="135">
        <v>121</v>
      </c>
      <c r="C241" s="138" t="s">
        <v>104</v>
      </c>
      <c r="D241" s="137">
        <f>+I241+F241+H241</f>
        <v>23.3</v>
      </c>
      <c r="E241" s="137">
        <f>'[1]road inventory 2018'!C221</f>
        <v>23.2</v>
      </c>
      <c r="F241" s="137">
        <v>1.3</v>
      </c>
      <c r="G241" s="137">
        <v>0</v>
      </c>
      <c r="H241" s="137">
        <v>1.72</v>
      </c>
      <c r="I241" s="137">
        <v>20.28</v>
      </c>
      <c r="J241" s="137">
        <v>0</v>
      </c>
      <c r="K241" s="141" t="s">
        <v>206</v>
      </c>
      <c r="L241" s="138" t="s">
        <v>492</v>
      </c>
      <c r="M241" s="139"/>
      <c r="O241" s="134">
        <f t="shared" si="21"/>
        <v>23.3</v>
      </c>
      <c r="P241" s="134"/>
    </row>
    <row r="242" spans="1:17" ht="18" customHeight="1" x14ac:dyDescent="0.35">
      <c r="A242" s="116">
        <v>5</v>
      </c>
      <c r="B242" s="135">
        <v>145</v>
      </c>
      <c r="C242" s="138" t="s">
        <v>109</v>
      </c>
      <c r="D242" s="137">
        <f t="shared" si="20"/>
        <v>3.6</v>
      </c>
      <c r="E242" s="137">
        <f>'[1]road inventory 2018'!C222</f>
        <v>3.3</v>
      </c>
      <c r="F242" s="137">
        <v>0</v>
      </c>
      <c r="G242" s="137">
        <v>0</v>
      </c>
      <c r="H242" s="137">
        <v>0</v>
      </c>
      <c r="I242" s="137">
        <v>3.6</v>
      </c>
      <c r="J242" s="137">
        <v>0</v>
      </c>
      <c r="K242" s="141" t="s">
        <v>210</v>
      </c>
      <c r="L242" s="138"/>
      <c r="M242" s="139"/>
      <c r="O242" s="134">
        <f t="shared" si="21"/>
        <v>3.6</v>
      </c>
      <c r="P242" s="134"/>
    </row>
    <row r="243" spans="1:17" ht="18" customHeight="1" x14ac:dyDescent="0.35">
      <c r="A243" s="116">
        <v>6</v>
      </c>
      <c r="B243" s="135">
        <v>126</v>
      </c>
      <c r="C243" s="138" t="s">
        <v>110</v>
      </c>
      <c r="D243" s="137">
        <f t="shared" si="20"/>
        <v>9.9499999999999993</v>
      </c>
      <c r="E243" s="137">
        <f>'[1]road inventory 2018'!C223</f>
        <v>9.6</v>
      </c>
      <c r="F243" s="137">
        <v>9.9499999999999993</v>
      </c>
      <c r="G243" s="137">
        <v>0</v>
      </c>
      <c r="H243" s="137">
        <v>0</v>
      </c>
      <c r="I243" s="137">
        <v>0</v>
      </c>
      <c r="J243" s="137">
        <v>0</v>
      </c>
      <c r="K243" s="141" t="s">
        <v>209</v>
      </c>
      <c r="L243" s="138" t="s">
        <v>493</v>
      </c>
      <c r="M243" s="139"/>
      <c r="O243" s="134">
        <f t="shared" si="21"/>
        <v>9.9499999999999993</v>
      </c>
      <c r="P243" s="134"/>
    </row>
    <row r="244" spans="1:17" ht="36" x14ac:dyDescent="0.35">
      <c r="A244" s="116">
        <v>7</v>
      </c>
      <c r="B244" s="135">
        <v>146</v>
      </c>
      <c r="C244" s="138" t="s">
        <v>115</v>
      </c>
      <c r="D244" s="137">
        <f t="shared" si="20"/>
        <v>12.15</v>
      </c>
      <c r="E244" s="137">
        <f>'[1]road inventory 2018'!C224</f>
        <v>8.3000000000000007</v>
      </c>
      <c r="F244" s="137">
        <v>0</v>
      </c>
      <c r="G244" s="137">
        <v>0</v>
      </c>
      <c r="H244" s="137">
        <v>0</v>
      </c>
      <c r="I244" s="137">
        <v>12.15</v>
      </c>
      <c r="J244" s="137">
        <v>0</v>
      </c>
      <c r="K244" s="141" t="s">
        <v>206</v>
      </c>
      <c r="L244" s="138"/>
      <c r="M244" s="139"/>
      <c r="O244" s="134">
        <f t="shared" si="21"/>
        <v>12.15</v>
      </c>
      <c r="P244" s="134"/>
    </row>
    <row r="245" spans="1:17" ht="18" customHeight="1" x14ac:dyDescent="0.35">
      <c r="A245" s="116">
        <v>8</v>
      </c>
      <c r="B245" s="135">
        <v>147</v>
      </c>
      <c r="C245" s="138" t="s">
        <v>289</v>
      </c>
      <c r="D245" s="137">
        <f t="shared" si="20"/>
        <v>4.59</v>
      </c>
      <c r="E245" s="137">
        <f>'[1]road inventory 2018'!C225</f>
        <v>4.2</v>
      </c>
      <c r="F245" s="137">
        <v>0.2</v>
      </c>
      <c r="G245" s="137">
        <v>0</v>
      </c>
      <c r="H245" s="137">
        <v>0</v>
      </c>
      <c r="I245" s="137">
        <v>4.3899999999999997</v>
      </c>
      <c r="J245" s="137">
        <v>0</v>
      </c>
      <c r="K245" s="141" t="s">
        <v>209</v>
      </c>
      <c r="L245" s="138"/>
      <c r="M245" s="139"/>
      <c r="O245" s="134">
        <f t="shared" si="21"/>
        <v>4.59</v>
      </c>
      <c r="P245" s="134"/>
    </row>
    <row r="246" spans="1:17" ht="18" customHeight="1" x14ac:dyDescent="0.35">
      <c r="B246" s="135"/>
      <c r="C246" s="138"/>
      <c r="D246" s="137">
        <f>SUM(D238:D245)</f>
        <v>92.070000000000007</v>
      </c>
      <c r="E246" s="137">
        <f>SUM(E238:E245)</f>
        <v>84.59999999999998</v>
      </c>
      <c r="F246" s="137"/>
      <c r="G246" s="137"/>
      <c r="H246" s="137"/>
      <c r="I246" s="137"/>
      <c r="J246" s="137"/>
      <c r="K246" s="141"/>
      <c r="L246" s="138"/>
      <c r="M246" s="139"/>
      <c r="O246" s="134"/>
      <c r="P246" s="134">
        <f>SUM(O238:O245)</f>
        <v>92.070000000000007</v>
      </c>
    </row>
    <row r="247" spans="1:17" s="207" customFormat="1" ht="18" customHeight="1" thickBot="1" x14ac:dyDescent="0.4">
      <c r="B247" s="145" t="s">
        <v>341</v>
      </c>
      <c r="C247" s="178"/>
      <c r="D247" s="147">
        <f>SUM(D238:D245)</f>
        <v>92.070000000000007</v>
      </c>
      <c r="E247" s="147"/>
      <c r="F247" s="147">
        <f>SUM(F238:F245)</f>
        <v>14.2</v>
      </c>
      <c r="G247" s="147">
        <f>SUM(G238:G245)</f>
        <v>0</v>
      </c>
      <c r="H247" s="147">
        <f>SUM(H238:H245)</f>
        <v>1.72</v>
      </c>
      <c r="I247" s="147">
        <f>SUM(I238:I245)</f>
        <v>76.150000000000006</v>
      </c>
      <c r="J247" s="147">
        <f>SUM(J238:J245)</f>
        <v>0</v>
      </c>
      <c r="K247" s="148"/>
      <c r="L247" s="146"/>
      <c r="M247" s="149"/>
      <c r="N247" s="150"/>
      <c r="O247" s="150"/>
      <c r="P247" s="150"/>
      <c r="Q247" s="208"/>
    </row>
    <row r="248" spans="1:17" s="207" customFormat="1" ht="7.5" customHeight="1" x14ac:dyDescent="0.35">
      <c r="B248" s="201"/>
      <c r="C248" s="202"/>
      <c r="D248" s="203"/>
      <c r="E248" s="203"/>
      <c r="F248" s="203"/>
      <c r="G248" s="203"/>
      <c r="H248" s="203"/>
      <c r="I248" s="203"/>
      <c r="J248" s="203"/>
      <c r="K248" s="204"/>
      <c r="L248" s="205"/>
      <c r="M248" s="205"/>
      <c r="N248" s="150"/>
      <c r="O248" s="150"/>
      <c r="P248" s="150"/>
      <c r="Q248" s="208"/>
    </row>
    <row r="249" spans="1:17" ht="8.25" customHeight="1" thickBot="1" x14ac:dyDescent="0.4">
      <c r="B249" s="120"/>
      <c r="C249" s="206"/>
      <c r="D249" s="157"/>
      <c r="E249" s="157"/>
      <c r="F249" s="157"/>
      <c r="G249" s="157"/>
      <c r="H249" s="157"/>
      <c r="I249" s="157"/>
      <c r="J249" s="157"/>
      <c r="K249" s="158"/>
      <c r="L249" s="124"/>
      <c r="M249" s="124"/>
      <c r="N249" s="125"/>
      <c r="O249" s="125"/>
      <c r="P249" s="125"/>
    </row>
    <row r="250" spans="1:17" s="113" customFormat="1" ht="18.5" thickBot="1" x14ac:dyDescent="0.4">
      <c r="B250" s="1156" t="s">
        <v>494</v>
      </c>
      <c r="C250" s="1157"/>
      <c r="D250" s="1157"/>
      <c r="E250" s="1157"/>
      <c r="F250" s="1157"/>
      <c r="G250" s="1157"/>
      <c r="H250" s="1157"/>
      <c r="I250" s="1157"/>
      <c r="J250" s="1157"/>
      <c r="K250" s="1157"/>
      <c r="L250" s="1157"/>
      <c r="M250" s="1158"/>
      <c r="Q250" s="115"/>
    </row>
    <row r="251" spans="1:17" s="113" customFormat="1" ht="9" customHeight="1" thickBot="1" x14ac:dyDescent="0.4">
      <c r="B251" s="159"/>
      <c r="C251" s="160"/>
      <c r="D251" s="161"/>
      <c r="E251" s="161"/>
      <c r="F251" s="161"/>
      <c r="G251" s="161"/>
      <c r="H251" s="161"/>
      <c r="I251" s="161"/>
      <c r="J251" s="161"/>
      <c r="K251" s="162"/>
      <c r="L251" s="163"/>
      <c r="M251" s="163"/>
      <c r="N251" s="125"/>
      <c r="O251" s="125"/>
      <c r="P251" s="125"/>
      <c r="Q251" s="115"/>
    </row>
    <row r="252" spans="1:17" s="113" customFormat="1" ht="21" customHeight="1" x14ac:dyDescent="0.35">
      <c r="B252" s="1159" t="s">
        <v>302</v>
      </c>
      <c r="C252" s="1161" t="s">
        <v>28</v>
      </c>
      <c r="D252" s="1163" t="s">
        <v>343</v>
      </c>
      <c r="E252" s="165"/>
      <c r="F252" s="1165" t="s">
        <v>305</v>
      </c>
      <c r="G252" s="1166"/>
      <c r="H252" s="1166"/>
      <c r="I252" s="1166"/>
      <c r="J252" s="1167"/>
      <c r="K252" s="1161" t="s">
        <v>29</v>
      </c>
      <c r="L252" s="1161" t="s">
        <v>306</v>
      </c>
      <c r="M252" s="1168" t="str">
        <f>M236</f>
        <v>REMARKS</v>
      </c>
      <c r="N252" s="125"/>
      <c r="O252" s="125"/>
      <c r="P252" s="125"/>
      <c r="Q252" s="115"/>
    </row>
    <row r="253" spans="1:17" s="113" customFormat="1" ht="21" customHeight="1" thickBot="1" x14ac:dyDescent="0.4">
      <c r="B253" s="1160"/>
      <c r="C253" s="1162"/>
      <c r="D253" s="1164"/>
      <c r="E253" s="166"/>
      <c r="F253" s="127" t="s">
        <v>308</v>
      </c>
      <c r="G253" s="127" t="s">
        <v>309</v>
      </c>
      <c r="H253" s="127" t="s">
        <v>310</v>
      </c>
      <c r="I253" s="127" t="s">
        <v>311</v>
      </c>
      <c r="J253" s="127" t="s">
        <v>312</v>
      </c>
      <c r="K253" s="1162"/>
      <c r="L253" s="1162"/>
      <c r="M253" s="1169"/>
      <c r="N253" s="125"/>
      <c r="O253" s="125"/>
      <c r="P253" s="125"/>
      <c r="Q253" s="115"/>
    </row>
    <row r="254" spans="1:17" ht="18" customHeight="1" x14ac:dyDescent="0.35">
      <c r="A254" s="116">
        <v>1</v>
      </c>
      <c r="B254" s="128">
        <v>148</v>
      </c>
      <c r="C254" s="132" t="s">
        <v>290</v>
      </c>
      <c r="D254" s="130">
        <f>+F254+G4275+I254</f>
        <v>2.9999999999999996</v>
      </c>
      <c r="E254" s="130">
        <f>'[1]road inventory 2018'!C232</f>
        <v>3</v>
      </c>
      <c r="F254" s="130">
        <v>0.32</v>
      </c>
      <c r="G254" s="130">
        <v>0</v>
      </c>
      <c r="H254" s="130">
        <v>0</v>
      </c>
      <c r="I254" s="130">
        <f>1.98+0.7</f>
        <v>2.6799999999999997</v>
      </c>
      <c r="J254" s="130">
        <v>0</v>
      </c>
      <c r="K254" s="131" t="s">
        <v>210</v>
      </c>
      <c r="L254" s="132" t="s">
        <v>495</v>
      </c>
      <c r="M254" s="133"/>
      <c r="O254" s="134">
        <f>D254</f>
        <v>2.9999999999999996</v>
      </c>
      <c r="P254" s="134"/>
    </row>
    <row r="255" spans="1:17" ht="36" x14ac:dyDescent="0.35">
      <c r="A255" s="116">
        <v>2</v>
      </c>
      <c r="B255" s="135">
        <v>149</v>
      </c>
      <c r="C255" s="138" t="s">
        <v>496</v>
      </c>
      <c r="D255" s="137">
        <f>+F255+G4276+I255</f>
        <v>5.0999999999999996</v>
      </c>
      <c r="E255" s="137">
        <f>'[1]road inventory 2018'!C233</f>
        <v>5</v>
      </c>
      <c r="F255" s="137">
        <v>2.2999999999999998</v>
      </c>
      <c r="G255" s="137">
        <v>0</v>
      </c>
      <c r="H255" s="137">
        <v>0</v>
      </c>
      <c r="I255" s="137">
        <v>2.8</v>
      </c>
      <c r="J255" s="137">
        <v>0</v>
      </c>
      <c r="K255" s="141" t="s">
        <v>206</v>
      </c>
      <c r="L255" s="138" t="s">
        <v>497</v>
      </c>
      <c r="M255" s="139"/>
      <c r="O255" s="134">
        <f>D255</f>
        <v>5.0999999999999996</v>
      </c>
      <c r="P255" s="134"/>
    </row>
    <row r="256" spans="1:17" ht="18" customHeight="1" x14ac:dyDescent="0.35">
      <c r="A256" s="116">
        <v>3</v>
      </c>
      <c r="B256" s="135">
        <v>150</v>
      </c>
      <c r="C256" s="138" t="s">
        <v>116</v>
      </c>
      <c r="D256" s="137">
        <f>+F256+G4277+I256</f>
        <v>11.27</v>
      </c>
      <c r="E256" s="137">
        <f>'[1]road inventory 2018'!C234</f>
        <v>11</v>
      </c>
      <c r="F256" s="137">
        <f>1+1.3+3.57</f>
        <v>5.8699999999999992</v>
      </c>
      <c r="G256" s="137">
        <v>0</v>
      </c>
      <c r="H256" s="137">
        <v>0</v>
      </c>
      <c r="I256" s="137">
        <f>0.4+3.3+1.7</f>
        <v>5.3999999999999995</v>
      </c>
      <c r="J256" s="137">
        <v>0</v>
      </c>
      <c r="K256" s="141" t="s">
        <v>209</v>
      </c>
      <c r="L256" s="138" t="s">
        <v>498</v>
      </c>
      <c r="M256" s="139"/>
      <c r="O256" s="134">
        <f>D256</f>
        <v>11.27</v>
      </c>
      <c r="P256" s="134"/>
    </row>
    <row r="257" spans="1:17" ht="18" customHeight="1" x14ac:dyDescent="0.35">
      <c r="A257" s="116">
        <v>4</v>
      </c>
      <c r="B257" s="135">
        <v>151</v>
      </c>
      <c r="C257" s="138" t="s">
        <v>499</v>
      </c>
      <c r="D257" s="137">
        <f>+F257+G4278+I257</f>
        <v>3.99</v>
      </c>
      <c r="E257" s="137">
        <f>'[1]road inventory 2018'!C235</f>
        <v>4</v>
      </c>
      <c r="F257" s="137">
        <v>0</v>
      </c>
      <c r="G257" s="137">
        <v>0</v>
      </c>
      <c r="H257" s="137">
        <v>0</v>
      </c>
      <c r="I257" s="137">
        <v>3.99</v>
      </c>
      <c r="J257" s="137">
        <v>0</v>
      </c>
      <c r="K257" s="141" t="s">
        <v>206</v>
      </c>
      <c r="L257" s="138" t="s">
        <v>500</v>
      </c>
      <c r="M257" s="139"/>
      <c r="N257" s="118" t="s">
        <v>319</v>
      </c>
      <c r="O257" s="134">
        <f>D257</f>
        <v>3.99</v>
      </c>
      <c r="P257" s="134"/>
    </row>
    <row r="258" spans="1:17" ht="18" customHeight="1" x14ac:dyDescent="0.35">
      <c r="A258" s="116">
        <v>5</v>
      </c>
      <c r="B258" s="135">
        <v>152</v>
      </c>
      <c r="C258" s="138" t="s">
        <v>120</v>
      </c>
      <c r="D258" s="137">
        <f>+F258+G4279+I258</f>
        <v>6.3</v>
      </c>
      <c r="E258" s="137">
        <f>'[1]road inventory 2018'!C236</f>
        <v>4.5999999999999996</v>
      </c>
      <c r="F258" s="137">
        <v>0.3</v>
      </c>
      <c r="G258" s="137">
        <v>0</v>
      </c>
      <c r="H258" s="137">
        <v>0</v>
      </c>
      <c r="I258" s="137">
        <f>5.9+0.1</f>
        <v>6</v>
      </c>
      <c r="J258" s="137">
        <v>0</v>
      </c>
      <c r="K258" s="141" t="s">
        <v>206</v>
      </c>
      <c r="L258" s="138"/>
      <c r="M258" s="139"/>
      <c r="O258" s="134">
        <f>D258</f>
        <v>6.3</v>
      </c>
      <c r="P258" s="134"/>
    </row>
    <row r="259" spans="1:17" ht="18" customHeight="1" x14ac:dyDescent="0.35">
      <c r="B259" s="135"/>
      <c r="C259" s="138"/>
      <c r="D259" s="137">
        <f>SUM(D254:D258)</f>
        <v>29.66</v>
      </c>
      <c r="E259" s="137">
        <f>SUM(E254:E258)</f>
        <v>27.6</v>
      </c>
      <c r="F259" s="137"/>
      <c r="G259" s="137"/>
      <c r="H259" s="137"/>
      <c r="I259" s="137"/>
      <c r="J259" s="137"/>
      <c r="K259" s="141"/>
      <c r="L259" s="138"/>
      <c r="M259" s="139"/>
    </row>
    <row r="260" spans="1:17" s="207" customFormat="1" ht="18" customHeight="1" thickBot="1" x14ac:dyDescent="0.4">
      <c r="B260" s="145" t="s">
        <v>341</v>
      </c>
      <c r="C260" s="178"/>
      <c r="D260" s="147">
        <f>SUM(D254:D258)</f>
        <v>29.66</v>
      </c>
      <c r="E260" s="147"/>
      <c r="F260" s="147">
        <f>SUM(F254:F258)</f>
        <v>8.7899999999999991</v>
      </c>
      <c r="G260" s="147">
        <f>SUM(G254:G258)</f>
        <v>0</v>
      </c>
      <c r="H260" s="147">
        <f>SUM(H254:H258)</f>
        <v>0</v>
      </c>
      <c r="I260" s="147">
        <f>SUM(I254:I258)</f>
        <v>20.869999999999997</v>
      </c>
      <c r="J260" s="147">
        <f>SUM(J254:J258)</f>
        <v>0</v>
      </c>
      <c r="K260" s="148"/>
      <c r="L260" s="146"/>
      <c r="M260" s="149"/>
      <c r="N260" s="150"/>
      <c r="O260" s="150"/>
      <c r="P260" s="194">
        <f>SUM(O254:O258)</f>
        <v>29.66</v>
      </c>
      <c r="Q260" s="208"/>
    </row>
    <row r="261" spans="1:17" ht="12" customHeight="1" thickBot="1" x14ac:dyDescent="0.4">
      <c r="B261" s="191"/>
      <c r="C261" s="160"/>
      <c r="D261" s="162"/>
      <c r="E261" s="162"/>
      <c r="F261" s="162"/>
      <c r="G261" s="162"/>
      <c r="H261" s="162"/>
      <c r="I261" s="162"/>
      <c r="J261" s="162"/>
      <c r="K261" s="162"/>
      <c r="L261" s="160"/>
      <c r="M261" s="160"/>
    </row>
    <row r="262" spans="1:17" s="113" customFormat="1" ht="18.5" thickBot="1" x14ac:dyDescent="0.4">
      <c r="B262" s="1156" t="s">
        <v>501</v>
      </c>
      <c r="C262" s="1157"/>
      <c r="D262" s="1157"/>
      <c r="E262" s="1157"/>
      <c r="F262" s="1157"/>
      <c r="G262" s="1157"/>
      <c r="H262" s="1157"/>
      <c r="I262" s="1157"/>
      <c r="J262" s="1157"/>
      <c r="K262" s="1157"/>
      <c r="L262" s="1157"/>
      <c r="M262" s="1158"/>
      <c r="Q262" s="115"/>
    </row>
    <row r="263" spans="1:17" s="113" customFormat="1" ht="9" customHeight="1" thickBot="1" x14ac:dyDescent="0.4">
      <c r="B263" s="159"/>
      <c r="C263" s="160"/>
      <c r="D263" s="161"/>
      <c r="E263" s="161"/>
      <c r="F263" s="161"/>
      <c r="G263" s="161"/>
      <c r="H263" s="161"/>
      <c r="I263" s="161"/>
      <c r="J263" s="161"/>
      <c r="K263" s="162"/>
      <c r="L263" s="163"/>
      <c r="M263" s="163"/>
      <c r="N263" s="125"/>
      <c r="O263" s="125"/>
      <c r="P263" s="125"/>
      <c r="Q263" s="115"/>
    </row>
    <row r="264" spans="1:17" s="113" customFormat="1" ht="21" customHeight="1" x14ac:dyDescent="0.35">
      <c r="B264" s="1159" t="s">
        <v>302</v>
      </c>
      <c r="C264" s="1161" t="s">
        <v>28</v>
      </c>
      <c r="D264" s="1163" t="s">
        <v>343</v>
      </c>
      <c r="E264" s="165"/>
      <c r="F264" s="1165" t="s">
        <v>305</v>
      </c>
      <c r="G264" s="1166"/>
      <c r="H264" s="1166"/>
      <c r="I264" s="1166"/>
      <c r="J264" s="1167"/>
      <c r="K264" s="1161" t="s">
        <v>29</v>
      </c>
      <c r="L264" s="1161" t="s">
        <v>306</v>
      </c>
      <c r="M264" s="1168" t="str">
        <f>M252</f>
        <v>REMARKS</v>
      </c>
      <c r="N264" s="125"/>
      <c r="O264" s="125"/>
      <c r="P264" s="125"/>
      <c r="Q264" s="115"/>
    </row>
    <row r="265" spans="1:17" s="113" customFormat="1" ht="21" customHeight="1" thickBot="1" x14ac:dyDescent="0.4">
      <c r="B265" s="1160"/>
      <c r="C265" s="1162"/>
      <c r="D265" s="1164"/>
      <c r="E265" s="166"/>
      <c r="F265" s="127" t="s">
        <v>308</v>
      </c>
      <c r="G265" s="127" t="s">
        <v>309</v>
      </c>
      <c r="H265" s="127" t="s">
        <v>310</v>
      </c>
      <c r="I265" s="127" t="s">
        <v>311</v>
      </c>
      <c r="J265" s="127" t="s">
        <v>312</v>
      </c>
      <c r="K265" s="1162"/>
      <c r="L265" s="1162"/>
      <c r="M265" s="1169"/>
      <c r="N265" s="125"/>
      <c r="O265" s="125"/>
      <c r="P265" s="125"/>
      <c r="Q265" s="115"/>
    </row>
    <row r="266" spans="1:17" ht="18" customHeight="1" x14ac:dyDescent="0.35">
      <c r="A266" s="116">
        <v>1</v>
      </c>
      <c r="B266" s="128">
        <v>153</v>
      </c>
      <c r="C266" s="132" t="s">
        <v>121</v>
      </c>
      <c r="D266" s="130">
        <f>+F266+G266+I266+H266</f>
        <v>11.67</v>
      </c>
      <c r="E266" s="130">
        <f>'[1]road inventory 2018'!C243</f>
        <v>11</v>
      </c>
      <c r="F266" s="130">
        <f>2.81+1.74+0.2+0.22</f>
        <v>4.97</v>
      </c>
      <c r="G266" s="130">
        <f>[3]CARRIAGEWAY!$X$360</f>
        <v>0</v>
      </c>
      <c r="H266" s="130">
        <f>0.98+1.39+1.3</f>
        <v>3.67</v>
      </c>
      <c r="I266" s="223">
        <v>3.03</v>
      </c>
      <c r="J266" s="130">
        <v>0</v>
      </c>
      <c r="K266" s="131" t="s">
        <v>206</v>
      </c>
      <c r="L266" s="132" t="s">
        <v>502</v>
      </c>
      <c r="M266" s="133"/>
      <c r="N266" s="118" t="s">
        <v>319</v>
      </c>
      <c r="O266" s="134">
        <f>D266</f>
        <v>11.67</v>
      </c>
      <c r="P266" s="134"/>
    </row>
    <row r="267" spans="1:17" ht="18" customHeight="1" x14ac:dyDescent="0.35">
      <c r="A267" s="116">
        <v>2</v>
      </c>
      <c r="B267" s="135">
        <v>125</v>
      </c>
      <c r="C267" s="138" t="s">
        <v>125</v>
      </c>
      <c r="D267" s="137">
        <f>+F267+G267+I267</f>
        <v>2.76</v>
      </c>
      <c r="E267" s="137">
        <f>'[1]road inventory 2018'!C244</f>
        <v>2.9</v>
      </c>
      <c r="F267" s="137">
        <v>0</v>
      </c>
      <c r="G267" s="137">
        <v>0</v>
      </c>
      <c r="H267" s="137">
        <v>0</v>
      </c>
      <c r="I267" s="224">
        <v>2.76</v>
      </c>
      <c r="J267" s="137">
        <v>0</v>
      </c>
      <c r="K267" s="141" t="s">
        <v>206</v>
      </c>
      <c r="L267" s="138" t="s">
        <v>502</v>
      </c>
      <c r="M267" s="139"/>
      <c r="N267" s="118" t="s">
        <v>319</v>
      </c>
      <c r="O267" s="134">
        <f>D267</f>
        <v>2.76</v>
      </c>
      <c r="P267" s="134"/>
    </row>
    <row r="268" spans="1:17" ht="18" customHeight="1" x14ac:dyDescent="0.35">
      <c r="A268" s="116">
        <v>3</v>
      </c>
      <c r="B268" s="135">
        <v>154</v>
      </c>
      <c r="C268" s="138" t="s">
        <v>127</v>
      </c>
      <c r="D268" s="137">
        <f>+F268+G268+I268</f>
        <v>7</v>
      </c>
      <c r="E268" s="137">
        <f>'[1]road inventory 2018'!C245</f>
        <v>7</v>
      </c>
      <c r="F268" s="137">
        <v>0.15</v>
      </c>
      <c r="G268" s="137">
        <v>0</v>
      </c>
      <c r="H268" s="137">
        <v>0</v>
      </c>
      <c r="I268" s="224">
        <f>6.8+0.05</f>
        <v>6.85</v>
      </c>
      <c r="J268" s="137">
        <v>0</v>
      </c>
      <c r="K268" s="141" t="s">
        <v>206</v>
      </c>
      <c r="L268" s="138" t="s">
        <v>503</v>
      </c>
      <c r="M268" s="139"/>
      <c r="N268" s="118" t="s">
        <v>319</v>
      </c>
      <c r="O268" s="134">
        <f>D268</f>
        <v>7</v>
      </c>
      <c r="P268" s="134"/>
    </row>
    <row r="269" spans="1:17" ht="18" customHeight="1" x14ac:dyDescent="0.35">
      <c r="B269" s="135"/>
      <c r="C269" s="138"/>
      <c r="D269" s="137"/>
      <c r="E269" s="137"/>
      <c r="F269" s="137"/>
      <c r="G269" s="137"/>
      <c r="H269" s="137"/>
      <c r="I269" s="224"/>
      <c r="J269" s="137"/>
      <c r="K269" s="141"/>
      <c r="L269" s="138"/>
      <c r="M269" s="139"/>
      <c r="P269" s="134">
        <f>SUM(O266:O268)</f>
        <v>21.43</v>
      </c>
    </row>
    <row r="270" spans="1:17" s="113" customFormat="1" ht="21" customHeight="1" x14ac:dyDescent="0.35">
      <c r="B270" s="1170" t="s">
        <v>302</v>
      </c>
      <c r="C270" s="1171" t="s">
        <v>28</v>
      </c>
      <c r="D270" s="1172" t="s">
        <v>343</v>
      </c>
      <c r="E270" s="199"/>
      <c r="F270" s="1173" t="s">
        <v>305</v>
      </c>
      <c r="G270" s="1173"/>
      <c r="H270" s="1173"/>
      <c r="I270" s="1173"/>
      <c r="J270" s="1173"/>
      <c r="K270" s="1171" t="s">
        <v>29</v>
      </c>
      <c r="L270" s="1171" t="s">
        <v>306</v>
      </c>
      <c r="M270" s="1155" t="str">
        <f>M264</f>
        <v>REMARKS</v>
      </c>
      <c r="N270" s="125"/>
      <c r="O270" s="125"/>
      <c r="P270" s="125"/>
      <c r="Q270" s="115"/>
    </row>
    <row r="271" spans="1:17" s="113" customFormat="1" ht="21" customHeight="1" x14ac:dyDescent="0.35">
      <c r="B271" s="1170"/>
      <c r="C271" s="1171"/>
      <c r="D271" s="1172"/>
      <c r="E271" s="199"/>
      <c r="F271" s="200" t="s">
        <v>308</v>
      </c>
      <c r="G271" s="200" t="s">
        <v>309</v>
      </c>
      <c r="H271" s="200" t="s">
        <v>310</v>
      </c>
      <c r="I271" s="200" t="s">
        <v>311</v>
      </c>
      <c r="J271" s="200" t="s">
        <v>312</v>
      </c>
      <c r="K271" s="1171"/>
      <c r="L271" s="1171"/>
      <c r="M271" s="1155"/>
      <c r="N271" s="125"/>
      <c r="O271" s="125"/>
      <c r="P271" s="125"/>
      <c r="Q271" s="115"/>
    </row>
    <row r="272" spans="1:17" ht="36" x14ac:dyDescent="0.35">
      <c r="A272" s="116">
        <v>4</v>
      </c>
      <c r="B272" s="135">
        <v>127</v>
      </c>
      <c r="C272" s="138" t="s">
        <v>504</v>
      </c>
      <c r="D272" s="137">
        <f>SUM(F272:J272)</f>
        <v>2.7</v>
      </c>
      <c r="E272" s="137">
        <f>'[1]road inventory 2018'!C249</f>
        <v>2.7</v>
      </c>
      <c r="F272" s="137">
        <v>1.29</v>
      </c>
      <c r="G272" s="137">
        <v>0</v>
      </c>
      <c r="H272" s="137">
        <v>0.9</v>
      </c>
      <c r="I272" s="224">
        <f>0.38+0.13</f>
        <v>0.51</v>
      </c>
      <c r="J272" s="137">
        <v>0</v>
      </c>
      <c r="K272" s="141" t="s">
        <v>209</v>
      </c>
      <c r="L272" s="138" t="s">
        <v>505</v>
      </c>
      <c r="M272" s="139"/>
      <c r="O272" s="134">
        <f>D272</f>
        <v>2.7</v>
      </c>
      <c r="P272" s="134"/>
      <c r="Q272" s="119" t="s">
        <v>506</v>
      </c>
    </row>
    <row r="273" spans="1:19" ht="36" x14ac:dyDescent="0.35">
      <c r="A273" s="116">
        <v>5</v>
      </c>
      <c r="B273" s="135">
        <v>128</v>
      </c>
      <c r="C273" s="138" t="s">
        <v>507</v>
      </c>
      <c r="D273" s="137">
        <f t="shared" ref="D273:D282" si="22">+F273+G273+I273</f>
        <v>2.2999999999999998</v>
      </c>
      <c r="E273" s="137">
        <f>'[1]road inventory 2018'!C250</f>
        <v>2.3000000000000003</v>
      </c>
      <c r="F273" s="137">
        <v>2.2999999999999998</v>
      </c>
      <c r="G273" s="137">
        <v>0</v>
      </c>
      <c r="H273" s="137">
        <v>0</v>
      </c>
      <c r="I273" s="224">
        <v>0</v>
      </c>
      <c r="J273" s="137">
        <v>0</v>
      </c>
      <c r="K273" s="141" t="s">
        <v>209</v>
      </c>
      <c r="L273" s="138" t="s">
        <v>508</v>
      </c>
      <c r="M273" s="139"/>
      <c r="O273" s="134">
        <f t="shared" ref="O273:O282" si="23">D273</f>
        <v>2.2999999999999998</v>
      </c>
      <c r="P273" s="134"/>
    </row>
    <row r="274" spans="1:19" ht="36" x14ac:dyDescent="0.35">
      <c r="A274" s="116">
        <v>6</v>
      </c>
      <c r="B274" s="135">
        <v>155</v>
      </c>
      <c r="C274" s="138" t="s">
        <v>509</v>
      </c>
      <c r="D274" s="137">
        <f>H274+F274+G274+I274+J274</f>
        <v>3.7</v>
      </c>
      <c r="E274" s="137">
        <f>'[1]road inventory 2018'!C251</f>
        <v>3.7</v>
      </c>
      <c r="F274" s="137">
        <f>0.66+0.59</f>
        <v>1.25</v>
      </c>
      <c r="G274" s="137">
        <v>0</v>
      </c>
      <c r="H274" s="137">
        <v>2.4500000000000002</v>
      </c>
      <c r="I274" s="224">
        <v>0</v>
      </c>
      <c r="J274" s="137">
        <v>0</v>
      </c>
      <c r="K274" s="141" t="s">
        <v>210</v>
      </c>
      <c r="L274" s="138" t="s">
        <v>510</v>
      </c>
      <c r="M274" s="139"/>
      <c r="O274" s="134">
        <f t="shared" si="23"/>
        <v>3.7</v>
      </c>
      <c r="P274" s="134"/>
    </row>
    <row r="275" spans="1:19" ht="18" customHeight="1" x14ac:dyDescent="0.35">
      <c r="A275" s="116" t="s">
        <v>511</v>
      </c>
      <c r="B275" s="135">
        <v>129</v>
      </c>
      <c r="C275" s="138" t="s">
        <v>512</v>
      </c>
      <c r="D275" s="137">
        <f t="shared" si="22"/>
        <v>2.7</v>
      </c>
      <c r="E275" s="137">
        <f>'[1]road inventory 2018'!C252</f>
        <v>2.7</v>
      </c>
      <c r="F275" s="137">
        <v>0</v>
      </c>
      <c r="G275" s="137">
        <v>0</v>
      </c>
      <c r="H275" s="137">
        <v>0</v>
      </c>
      <c r="I275" s="224">
        <v>2.7</v>
      </c>
      <c r="J275" s="137">
        <v>0</v>
      </c>
      <c r="K275" s="141" t="s">
        <v>206</v>
      </c>
      <c r="L275" s="138" t="s">
        <v>513</v>
      </c>
      <c r="M275" s="139"/>
      <c r="N275" s="118" t="s">
        <v>319</v>
      </c>
      <c r="O275" s="134">
        <f t="shared" si="23"/>
        <v>2.7</v>
      </c>
      <c r="P275" s="134"/>
    </row>
    <row r="276" spans="1:19" ht="18" customHeight="1" x14ac:dyDescent="0.35">
      <c r="A276" s="116">
        <v>8</v>
      </c>
      <c r="B276" s="135">
        <v>156</v>
      </c>
      <c r="C276" s="138" t="s">
        <v>130</v>
      </c>
      <c r="D276" s="137">
        <f t="shared" si="22"/>
        <v>20.54</v>
      </c>
      <c r="E276" s="137">
        <f>'[1]road inventory 2018'!C253</f>
        <v>20</v>
      </c>
      <c r="F276" s="137">
        <v>10.17</v>
      </c>
      <c r="G276" s="137">
        <v>0</v>
      </c>
      <c r="H276" s="137">
        <v>0</v>
      </c>
      <c r="I276" s="224">
        <v>10.37</v>
      </c>
      <c r="J276" s="137">
        <v>0</v>
      </c>
      <c r="K276" s="141" t="s">
        <v>206</v>
      </c>
      <c r="L276" s="138" t="s">
        <v>514</v>
      </c>
      <c r="M276" s="139"/>
      <c r="O276" s="134">
        <f t="shared" si="23"/>
        <v>20.54</v>
      </c>
      <c r="P276" s="134"/>
    </row>
    <row r="277" spans="1:19" ht="18" customHeight="1" x14ac:dyDescent="0.35">
      <c r="A277" s="116">
        <v>9</v>
      </c>
      <c r="B277" s="135">
        <v>157</v>
      </c>
      <c r="C277" s="138" t="s">
        <v>515</v>
      </c>
      <c r="D277" s="137">
        <f>SUM(F277:J277)</f>
        <v>8.6999999999999993</v>
      </c>
      <c r="E277" s="137">
        <f>'[1]road inventory 2018'!C254</f>
        <v>8.6999999999999993</v>
      </c>
      <c r="F277" s="137">
        <v>0</v>
      </c>
      <c r="G277" s="137">
        <v>0</v>
      </c>
      <c r="H277" s="137">
        <v>0</v>
      </c>
      <c r="I277" s="224">
        <v>8.6999999999999993</v>
      </c>
      <c r="J277" s="137">
        <v>0</v>
      </c>
      <c r="K277" s="141" t="s">
        <v>206</v>
      </c>
      <c r="L277" s="138"/>
      <c r="M277" s="139"/>
      <c r="O277" s="134">
        <f t="shared" si="23"/>
        <v>8.6999999999999993</v>
      </c>
      <c r="P277" s="134"/>
      <c r="Q277" s="1176" t="s">
        <v>516</v>
      </c>
    </row>
    <row r="278" spans="1:19" ht="18" customHeight="1" x14ac:dyDescent="0.35">
      <c r="A278" s="116">
        <v>10</v>
      </c>
      <c r="B278" s="135">
        <v>158</v>
      </c>
      <c r="C278" s="138" t="s">
        <v>517</v>
      </c>
      <c r="D278" s="137">
        <f>SUM(F278:J278)</f>
        <v>5.85</v>
      </c>
      <c r="E278" s="137">
        <f>'[1]road inventory 2018'!C255</f>
        <v>7.1999999999999993</v>
      </c>
      <c r="F278" s="137">
        <v>0</v>
      </c>
      <c r="G278" s="137">
        <v>0</v>
      </c>
      <c r="H278" s="137">
        <v>0</v>
      </c>
      <c r="I278" s="224">
        <v>5.85</v>
      </c>
      <c r="J278" s="137">
        <v>0</v>
      </c>
      <c r="K278" s="141" t="s">
        <v>207</v>
      </c>
      <c r="L278" s="138"/>
      <c r="M278" s="139"/>
      <c r="O278" s="134">
        <f t="shared" si="23"/>
        <v>5.85</v>
      </c>
      <c r="P278" s="134"/>
      <c r="Q278" s="1176"/>
    </row>
    <row r="279" spans="1:19" ht="18" customHeight="1" x14ac:dyDescent="0.35">
      <c r="A279" s="116">
        <v>11</v>
      </c>
      <c r="B279" s="135">
        <v>159</v>
      </c>
      <c r="C279" s="138" t="s">
        <v>518</v>
      </c>
      <c r="D279" s="137">
        <f>SUM(F279:J279)</f>
        <v>4.8</v>
      </c>
      <c r="E279" s="137">
        <f>'[1]road inventory 2018'!C256</f>
        <v>4.8</v>
      </c>
      <c r="F279" s="137">
        <v>0</v>
      </c>
      <c r="G279" s="137">
        <v>0</v>
      </c>
      <c r="H279" s="137">
        <v>0</v>
      </c>
      <c r="I279" s="224">
        <v>4.8</v>
      </c>
      <c r="J279" s="137">
        <v>0</v>
      </c>
      <c r="K279" s="141" t="s">
        <v>207</v>
      </c>
      <c r="L279" s="138"/>
      <c r="M279" s="139"/>
      <c r="O279" s="134">
        <f t="shared" si="23"/>
        <v>4.8</v>
      </c>
      <c r="P279" s="134"/>
      <c r="Q279" s="1176"/>
    </row>
    <row r="280" spans="1:19" ht="18" customHeight="1" x14ac:dyDescent="0.35">
      <c r="A280" s="116">
        <v>12</v>
      </c>
      <c r="B280" s="135">
        <v>130</v>
      </c>
      <c r="C280" s="138" t="s">
        <v>519</v>
      </c>
      <c r="D280" s="137">
        <f>SUM(F280:J280)</f>
        <v>10.210000000000001</v>
      </c>
      <c r="E280" s="137">
        <f>'[1]road inventory 2018'!C257</f>
        <v>6</v>
      </c>
      <c r="F280" s="137">
        <v>1.73</v>
      </c>
      <c r="G280" s="137">
        <f>[10]CARRIAGEWAY!$X$360</f>
        <v>0</v>
      </c>
      <c r="H280" s="137">
        <v>8.48</v>
      </c>
      <c r="I280" s="224">
        <f>[10]CARRIAGEWAY!$Y$360</f>
        <v>0</v>
      </c>
      <c r="J280" s="137">
        <v>0</v>
      </c>
      <c r="K280" s="141" t="s">
        <v>210</v>
      </c>
      <c r="L280" s="138" t="s">
        <v>520</v>
      </c>
      <c r="M280" s="139"/>
      <c r="O280" s="134">
        <f t="shared" si="23"/>
        <v>10.210000000000001</v>
      </c>
      <c r="P280" s="134"/>
      <c r="Q280" s="225" t="s">
        <v>521</v>
      </c>
      <c r="R280" s="226" t="s">
        <v>522</v>
      </c>
      <c r="S280" s="227"/>
    </row>
    <row r="281" spans="1:19" ht="18" customHeight="1" x14ac:dyDescent="0.35">
      <c r="A281" s="116">
        <v>13</v>
      </c>
      <c r="B281" s="135">
        <v>131</v>
      </c>
      <c r="C281" s="138" t="s">
        <v>523</v>
      </c>
      <c r="D281" s="137">
        <f t="shared" si="22"/>
        <v>5.1999999999999993</v>
      </c>
      <c r="E281" s="137">
        <f>'[1]road inventory 2018'!C258</f>
        <v>5.2</v>
      </c>
      <c r="F281" s="137">
        <f>0.15+0.57+4.002</f>
        <v>4.7219999999999995</v>
      </c>
      <c r="G281" s="137">
        <v>0</v>
      </c>
      <c r="H281" s="137">
        <v>0</v>
      </c>
      <c r="I281" s="224">
        <f>0.09+0.388</f>
        <v>0.47799999999999998</v>
      </c>
      <c r="J281" s="137">
        <v>0</v>
      </c>
      <c r="K281" s="141" t="s">
        <v>206</v>
      </c>
      <c r="L281" s="138"/>
      <c r="M281" s="139"/>
      <c r="O281" s="134">
        <f t="shared" si="23"/>
        <v>5.1999999999999993</v>
      </c>
      <c r="P281" s="134"/>
    </row>
    <row r="282" spans="1:19" ht="18" customHeight="1" x14ac:dyDescent="0.35">
      <c r="A282" s="116" t="s">
        <v>524</v>
      </c>
      <c r="B282" s="135">
        <v>135</v>
      </c>
      <c r="C282" s="138" t="s">
        <v>139</v>
      </c>
      <c r="D282" s="137">
        <f t="shared" si="22"/>
        <v>4.4000000000000004</v>
      </c>
      <c r="E282" s="137">
        <f>'[1]road inventory 2018'!C259</f>
        <v>4.4000000000000004</v>
      </c>
      <c r="F282" s="137">
        <v>0</v>
      </c>
      <c r="G282" s="137">
        <v>0</v>
      </c>
      <c r="H282" s="137">
        <v>0</v>
      </c>
      <c r="I282" s="224">
        <v>4.4000000000000004</v>
      </c>
      <c r="J282" s="137">
        <v>0</v>
      </c>
      <c r="K282" s="141" t="s">
        <v>206</v>
      </c>
      <c r="L282" s="138" t="s">
        <v>525</v>
      </c>
      <c r="M282" s="139"/>
      <c r="O282" s="134">
        <f t="shared" si="23"/>
        <v>4.4000000000000004</v>
      </c>
      <c r="P282" s="134"/>
    </row>
    <row r="283" spans="1:19" ht="18" customHeight="1" x14ac:dyDescent="0.35">
      <c r="B283" s="135"/>
      <c r="C283" s="138"/>
      <c r="D283" s="137">
        <f>SUM(D266:D282)</f>
        <v>92.529999999999987</v>
      </c>
      <c r="E283" s="137">
        <f>SUM(E266:E282)</f>
        <v>88.600000000000009</v>
      </c>
      <c r="F283" s="137"/>
      <c r="G283" s="137"/>
      <c r="H283" s="137"/>
      <c r="I283" s="224"/>
      <c r="J283" s="137"/>
      <c r="K283" s="141"/>
      <c r="L283" s="138"/>
      <c r="M283" s="139"/>
      <c r="P283" s="134">
        <f>SUM(O272:O282)</f>
        <v>71.100000000000009</v>
      </c>
    </row>
    <row r="284" spans="1:19" s="207" customFormat="1" ht="18" customHeight="1" thickBot="1" x14ac:dyDescent="0.4">
      <c r="B284" s="145" t="s">
        <v>341</v>
      </c>
      <c r="C284" s="178"/>
      <c r="D284" s="147">
        <f>SUM(D266:D282)</f>
        <v>92.529999999999987</v>
      </c>
      <c r="E284" s="147"/>
      <c r="F284" s="147">
        <f>SUM(F266:F282)</f>
        <v>26.582000000000001</v>
      </c>
      <c r="G284" s="147">
        <f>SUM(G266:G282)</f>
        <v>0</v>
      </c>
      <c r="H284" s="147">
        <f>SUM(H266:H282)</f>
        <v>15.5</v>
      </c>
      <c r="I284" s="147">
        <f>SUM(I266:I282)</f>
        <v>50.448</v>
      </c>
      <c r="J284" s="147">
        <f>SUM(J266:J282)</f>
        <v>0</v>
      </c>
      <c r="K284" s="148"/>
      <c r="L284" s="146"/>
      <c r="M284" s="149"/>
      <c r="N284" s="150"/>
      <c r="O284" s="150"/>
      <c r="P284" s="150"/>
      <c r="Q284" s="208"/>
    </row>
    <row r="285" spans="1:19" ht="18" customHeight="1" x14ac:dyDescent="0.35">
      <c r="B285" s="153"/>
      <c r="C285" s="195"/>
      <c r="D285" s="155"/>
      <c r="E285" s="155"/>
      <c r="F285" s="155"/>
      <c r="G285" s="155"/>
      <c r="H285" s="155"/>
      <c r="I285" s="155"/>
      <c r="J285" s="155"/>
      <c r="K285" s="156"/>
      <c r="L285" s="154"/>
      <c r="M285" s="154"/>
      <c r="N285" s="125"/>
      <c r="O285" s="125"/>
      <c r="P285" s="125"/>
    </row>
    <row r="286" spans="1:19" ht="6.75" customHeight="1" thickBot="1" x14ac:dyDescent="0.4">
      <c r="B286" s="120"/>
      <c r="C286" s="206"/>
      <c r="D286" s="157"/>
      <c r="E286" s="157"/>
      <c r="F286" s="157"/>
      <c r="G286" s="157"/>
      <c r="H286" s="157"/>
      <c r="I286" s="157"/>
      <c r="J286" s="157"/>
      <c r="K286" s="158"/>
      <c r="L286" s="124"/>
      <c r="M286" s="124"/>
      <c r="N286" s="125"/>
      <c r="O286" s="125"/>
      <c r="P286" s="125"/>
    </row>
    <row r="287" spans="1:19" s="113" customFormat="1" ht="18.5" thickBot="1" x14ac:dyDescent="0.4">
      <c r="B287" s="1156" t="s">
        <v>526</v>
      </c>
      <c r="C287" s="1157"/>
      <c r="D287" s="1157"/>
      <c r="E287" s="1157"/>
      <c r="F287" s="1157"/>
      <c r="G287" s="1157"/>
      <c r="H287" s="1157"/>
      <c r="I287" s="1157"/>
      <c r="J287" s="1157"/>
      <c r="K287" s="1157"/>
      <c r="L287" s="1157"/>
      <c r="M287" s="1158"/>
      <c r="Q287" s="115"/>
    </row>
    <row r="288" spans="1:19" s="113" customFormat="1" ht="18.5" thickBot="1" x14ac:dyDescent="0.4">
      <c r="B288" s="159"/>
      <c r="C288" s="160"/>
      <c r="D288" s="161"/>
      <c r="E288" s="161"/>
      <c r="F288" s="161"/>
      <c r="G288" s="161"/>
      <c r="H288" s="161"/>
      <c r="I288" s="161"/>
      <c r="J288" s="161"/>
      <c r="K288" s="162"/>
      <c r="L288" s="163"/>
      <c r="M288" s="163"/>
      <c r="N288" s="125"/>
      <c r="O288" s="125"/>
      <c r="P288" s="125"/>
      <c r="Q288" s="115"/>
    </row>
    <row r="289" spans="1:17" s="113" customFormat="1" ht="21" customHeight="1" x14ac:dyDescent="0.35">
      <c r="B289" s="1159" t="s">
        <v>302</v>
      </c>
      <c r="C289" s="1161" t="s">
        <v>28</v>
      </c>
      <c r="D289" s="1163" t="s">
        <v>343</v>
      </c>
      <c r="E289" s="165"/>
      <c r="F289" s="1165" t="s">
        <v>305</v>
      </c>
      <c r="G289" s="1166"/>
      <c r="H289" s="1166"/>
      <c r="I289" s="1166"/>
      <c r="J289" s="1167"/>
      <c r="K289" s="1161" t="s">
        <v>29</v>
      </c>
      <c r="L289" s="1161" t="s">
        <v>306</v>
      </c>
      <c r="M289" s="1168" t="s">
        <v>307</v>
      </c>
      <c r="N289" s="125"/>
      <c r="O289" s="125"/>
      <c r="P289" s="125"/>
      <c r="Q289" s="115"/>
    </row>
    <row r="290" spans="1:17" s="113" customFormat="1" ht="21" customHeight="1" thickBot="1" x14ac:dyDescent="0.4">
      <c r="B290" s="1160"/>
      <c r="C290" s="1162"/>
      <c r="D290" s="1164"/>
      <c r="E290" s="166"/>
      <c r="F290" s="127" t="s">
        <v>308</v>
      </c>
      <c r="G290" s="127" t="s">
        <v>309</v>
      </c>
      <c r="H290" s="127" t="s">
        <v>310</v>
      </c>
      <c r="I290" s="127" t="s">
        <v>311</v>
      </c>
      <c r="J290" s="127" t="s">
        <v>312</v>
      </c>
      <c r="K290" s="1162"/>
      <c r="L290" s="1162"/>
      <c r="M290" s="1169"/>
      <c r="N290" s="125"/>
      <c r="O290" s="125"/>
      <c r="P290" s="125"/>
      <c r="Q290" s="115"/>
    </row>
    <row r="291" spans="1:17" ht="18" customHeight="1" x14ac:dyDescent="0.35">
      <c r="A291" s="116">
        <v>1</v>
      </c>
      <c r="B291" s="128">
        <v>160</v>
      </c>
      <c r="C291" s="132" t="s">
        <v>527</v>
      </c>
      <c r="D291" s="130">
        <f t="shared" ref="D291:D301" si="24">+F291+G291+I291</f>
        <v>28</v>
      </c>
      <c r="E291" s="130">
        <f>'[1]road inventory 2018'!C266</f>
        <v>28</v>
      </c>
      <c r="F291" s="130">
        <v>11.72</v>
      </c>
      <c r="G291" s="130">
        <v>0</v>
      </c>
      <c r="H291" s="130">
        <v>0</v>
      </c>
      <c r="I291" s="130">
        <v>16.28</v>
      </c>
      <c r="J291" s="130">
        <v>0</v>
      </c>
      <c r="K291" s="131" t="s">
        <v>207</v>
      </c>
      <c r="L291" s="132" t="s">
        <v>528</v>
      </c>
      <c r="M291" s="133"/>
      <c r="O291" s="134">
        <f>D291</f>
        <v>28</v>
      </c>
      <c r="P291" s="134"/>
    </row>
    <row r="292" spans="1:17" ht="18" customHeight="1" x14ac:dyDescent="0.35">
      <c r="A292" s="116">
        <v>2</v>
      </c>
      <c r="B292" s="135">
        <v>161</v>
      </c>
      <c r="C292" s="138" t="s">
        <v>529</v>
      </c>
      <c r="D292" s="137">
        <f t="shared" si="24"/>
        <v>1.8</v>
      </c>
      <c r="E292" s="137">
        <f>'[1]road inventory 2018'!C267</f>
        <v>1.8</v>
      </c>
      <c r="F292" s="137">
        <v>1.8</v>
      </c>
      <c r="G292" s="137">
        <v>0</v>
      </c>
      <c r="H292" s="137">
        <v>0</v>
      </c>
      <c r="I292" s="137">
        <v>0</v>
      </c>
      <c r="J292" s="137">
        <v>0</v>
      </c>
      <c r="K292" s="141" t="s">
        <v>206</v>
      </c>
      <c r="L292" s="138" t="s">
        <v>528</v>
      </c>
      <c r="M292" s="139"/>
      <c r="O292" s="134">
        <f t="shared" ref="O292:O301" si="25">D292</f>
        <v>1.8</v>
      </c>
      <c r="P292" s="134"/>
    </row>
    <row r="293" spans="1:17" ht="18" customHeight="1" x14ac:dyDescent="0.35">
      <c r="A293" s="116">
        <v>3</v>
      </c>
      <c r="B293" s="135">
        <v>162</v>
      </c>
      <c r="C293" s="138" t="s">
        <v>530</v>
      </c>
      <c r="D293" s="137">
        <f t="shared" si="24"/>
        <v>1.9</v>
      </c>
      <c r="E293" s="137">
        <f>'[1]road inventory 2018'!C268</f>
        <v>1.9</v>
      </c>
      <c r="F293" s="137">
        <v>0</v>
      </c>
      <c r="G293" s="137">
        <v>0</v>
      </c>
      <c r="H293" s="137">
        <v>0</v>
      </c>
      <c r="I293" s="137">
        <v>1.9</v>
      </c>
      <c r="J293" s="137">
        <v>0</v>
      </c>
      <c r="K293" s="141" t="s">
        <v>207</v>
      </c>
      <c r="L293" s="138" t="s">
        <v>531</v>
      </c>
      <c r="M293" s="139"/>
      <c r="O293" s="134">
        <f t="shared" si="25"/>
        <v>1.9</v>
      </c>
      <c r="P293" s="134"/>
    </row>
    <row r="294" spans="1:17" ht="18" customHeight="1" x14ac:dyDescent="0.35">
      <c r="A294" s="116">
        <v>4</v>
      </c>
      <c r="B294" s="135">
        <v>163</v>
      </c>
      <c r="C294" s="138" t="s">
        <v>532</v>
      </c>
      <c r="D294" s="137">
        <f t="shared" si="24"/>
        <v>9</v>
      </c>
      <c r="E294" s="137">
        <f>'[1]road inventory 2018'!C269</f>
        <v>9</v>
      </c>
      <c r="F294" s="137">
        <v>0.65</v>
      </c>
      <c r="G294" s="137">
        <v>0</v>
      </c>
      <c r="H294" s="137">
        <v>0</v>
      </c>
      <c r="I294" s="137">
        <v>8.35</v>
      </c>
      <c r="J294" s="137">
        <v>0</v>
      </c>
      <c r="K294" s="141" t="s">
        <v>207</v>
      </c>
      <c r="L294" s="138" t="s">
        <v>533</v>
      </c>
      <c r="M294" s="139"/>
      <c r="O294" s="134">
        <f t="shared" si="25"/>
        <v>9</v>
      </c>
      <c r="P294" s="134"/>
    </row>
    <row r="295" spans="1:17" ht="18" customHeight="1" x14ac:dyDescent="0.35">
      <c r="A295" s="116">
        <v>5</v>
      </c>
      <c r="B295" s="135">
        <v>164</v>
      </c>
      <c r="C295" s="138" t="s">
        <v>534</v>
      </c>
      <c r="D295" s="137">
        <f t="shared" si="24"/>
        <v>2.2000000000000002</v>
      </c>
      <c r="E295" s="137">
        <f>'[1]road inventory 2018'!C270</f>
        <v>2.2000000000000002</v>
      </c>
      <c r="F295" s="137">
        <v>0</v>
      </c>
      <c r="G295" s="137">
        <v>0</v>
      </c>
      <c r="H295" s="137">
        <v>0</v>
      </c>
      <c r="I295" s="137">
        <v>2.2000000000000002</v>
      </c>
      <c r="J295" s="137">
        <v>0</v>
      </c>
      <c r="K295" s="141" t="s">
        <v>207</v>
      </c>
      <c r="L295" s="138" t="s">
        <v>535</v>
      </c>
      <c r="M295" s="139"/>
      <c r="O295" s="134">
        <f t="shared" si="25"/>
        <v>2.2000000000000002</v>
      </c>
      <c r="P295" s="134"/>
    </row>
    <row r="296" spans="1:17" ht="18" customHeight="1" x14ac:dyDescent="0.35">
      <c r="A296" s="116">
        <v>6</v>
      </c>
      <c r="B296" s="135">
        <v>165</v>
      </c>
      <c r="C296" s="138" t="s">
        <v>536</v>
      </c>
      <c r="D296" s="137">
        <f t="shared" si="24"/>
        <v>3.5</v>
      </c>
      <c r="E296" s="137">
        <f>'[1]road inventory 2018'!C271</f>
        <v>3.5</v>
      </c>
      <c r="F296" s="137">
        <v>0</v>
      </c>
      <c r="G296" s="137">
        <v>0</v>
      </c>
      <c r="H296" s="137">
        <v>0</v>
      </c>
      <c r="I296" s="137">
        <v>3.5</v>
      </c>
      <c r="J296" s="137">
        <v>0</v>
      </c>
      <c r="K296" s="141" t="s">
        <v>207</v>
      </c>
      <c r="L296" s="138" t="s">
        <v>537</v>
      </c>
      <c r="M296" s="139"/>
      <c r="O296" s="134">
        <f t="shared" si="25"/>
        <v>3.5</v>
      </c>
      <c r="P296" s="134"/>
    </row>
    <row r="297" spans="1:17" ht="18" customHeight="1" x14ac:dyDescent="0.35">
      <c r="A297" s="116">
        <v>7</v>
      </c>
      <c r="B297" s="135">
        <v>166</v>
      </c>
      <c r="C297" s="138" t="s">
        <v>538</v>
      </c>
      <c r="D297" s="137">
        <f t="shared" si="24"/>
        <v>2.8</v>
      </c>
      <c r="E297" s="137">
        <f>'[1]road inventory 2018'!C272</f>
        <v>2.8</v>
      </c>
      <c r="F297" s="137">
        <v>0</v>
      </c>
      <c r="G297" s="137">
        <v>0</v>
      </c>
      <c r="H297" s="137">
        <v>0</v>
      </c>
      <c r="I297" s="137">
        <v>2.8</v>
      </c>
      <c r="J297" s="137">
        <v>0</v>
      </c>
      <c r="K297" s="141" t="s">
        <v>206</v>
      </c>
      <c r="L297" s="138" t="s">
        <v>539</v>
      </c>
      <c r="M297" s="139"/>
      <c r="O297" s="134">
        <f t="shared" si="25"/>
        <v>2.8</v>
      </c>
      <c r="P297" s="134"/>
    </row>
    <row r="298" spans="1:17" ht="18" customHeight="1" x14ac:dyDescent="0.35">
      <c r="A298" s="116">
        <v>8</v>
      </c>
      <c r="B298" s="135">
        <v>167</v>
      </c>
      <c r="C298" s="138" t="s">
        <v>540</v>
      </c>
      <c r="D298" s="137">
        <f t="shared" si="24"/>
        <v>5.5</v>
      </c>
      <c r="E298" s="137">
        <f>'[1]road inventory 2018'!C273</f>
        <v>5.5</v>
      </c>
      <c r="F298" s="137">
        <v>0</v>
      </c>
      <c r="G298" s="137">
        <v>0</v>
      </c>
      <c r="H298" s="137">
        <v>0</v>
      </c>
      <c r="I298" s="137">
        <v>5.5</v>
      </c>
      <c r="J298" s="137">
        <v>0</v>
      </c>
      <c r="K298" s="141" t="s">
        <v>206</v>
      </c>
      <c r="L298" s="138" t="s">
        <v>541</v>
      </c>
      <c r="M298" s="139"/>
      <c r="O298" s="134">
        <f t="shared" si="25"/>
        <v>5.5</v>
      </c>
      <c r="P298" s="134"/>
    </row>
    <row r="299" spans="1:17" ht="18" customHeight="1" x14ac:dyDescent="0.35">
      <c r="A299" s="116">
        <v>9</v>
      </c>
      <c r="B299" s="135">
        <v>168</v>
      </c>
      <c r="C299" s="138" t="s">
        <v>542</v>
      </c>
      <c r="D299" s="137">
        <f t="shared" si="24"/>
        <v>2.8</v>
      </c>
      <c r="E299" s="137">
        <f>'[1]road inventory 2018'!C274</f>
        <v>2.8</v>
      </c>
      <c r="F299" s="137">
        <v>0</v>
      </c>
      <c r="G299" s="137">
        <v>0</v>
      </c>
      <c r="H299" s="137">
        <v>0</v>
      </c>
      <c r="I299" s="137">
        <v>2.8</v>
      </c>
      <c r="J299" s="137">
        <v>0</v>
      </c>
      <c r="K299" s="141" t="s">
        <v>207</v>
      </c>
      <c r="L299" s="138" t="s">
        <v>543</v>
      </c>
      <c r="M299" s="139"/>
      <c r="O299" s="134">
        <f t="shared" si="25"/>
        <v>2.8</v>
      </c>
      <c r="P299" s="134"/>
    </row>
    <row r="300" spans="1:17" ht="18" customHeight="1" x14ac:dyDescent="0.35">
      <c r="A300" s="116">
        <v>10</v>
      </c>
      <c r="B300" s="135">
        <v>170</v>
      </c>
      <c r="C300" s="138" t="s">
        <v>544</v>
      </c>
      <c r="D300" s="137">
        <f t="shared" si="24"/>
        <v>1.3</v>
      </c>
      <c r="E300" s="137">
        <f>'[1]road inventory 2018'!C275</f>
        <v>1.3</v>
      </c>
      <c r="F300" s="137">
        <v>0</v>
      </c>
      <c r="G300" s="137">
        <v>0</v>
      </c>
      <c r="H300" s="137">
        <v>0</v>
      </c>
      <c r="I300" s="137">
        <v>1.3</v>
      </c>
      <c r="J300" s="137">
        <v>0</v>
      </c>
      <c r="K300" s="141" t="s">
        <v>207</v>
      </c>
      <c r="L300" s="138" t="s">
        <v>533</v>
      </c>
      <c r="M300" s="139"/>
      <c r="O300" s="134">
        <f t="shared" si="25"/>
        <v>1.3</v>
      </c>
      <c r="P300" s="134"/>
    </row>
    <row r="301" spans="1:17" ht="18" customHeight="1" x14ac:dyDescent="0.35">
      <c r="A301" s="116">
        <v>11</v>
      </c>
      <c r="B301" s="135">
        <v>169</v>
      </c>
      <c r="C301" s="138" t="s">
        <v>545</v>
      </c>
      <c r="D301" s="137">
        <f t="shared" si="24"/>
        <v>3.2</v>
      </c>
      <c r="E301" s="137">
        <f>'[1]road inventory 2018'!C276</f>
        <v>3.2</v>
      </c>
      <c r="F301" s="137">
        <v>0</v>
      </c>
      <c r="G301" s="137">
        <v>0</v>
      </c>
      <c r="H301" s="137">
        <v>0</v>
      </c>
      <c r="I301" s="137">
        <v>3.2</v>
      </c>
      <c r="J301" s="137">
        <v>0</v>
      </c>
      <c r="K301" s="141" t="s">
        <v>210</v>
      </c>
      <c r="L301" s="138" t="s">
        <v>546</v>
      </c>
      <c r="M301" s="139"/>
      <c r="O301" s="134">
        <f t="shared" si="25"/>
        <v>3.2</v>
      </c>
      <c r="P301" s="134"/>
    </row>
    <row r="302" spans="1:17" ht="18" customHeight="1" x14ac:dyDescent="0.35">
      <c r="B302" s="135"/>
      <c r="C302" s="138"/>
      <c r="D302" s="137"/>
      <c r="E302" s="137">
        <f>SUM(E291:E301)</f>
        <v>62</v>
      </c>
      <c r="F302" s="137"/>
      <c r="G302" s="137"/>
      <c r="H302" s="137"/>
      <c r="I302" s="137"/>
      <c r="J302" s="137"/>
      <c r="K302" s="141"/>
      <c r="L302" s="138"/>
      <c r="M302" s="139"/>
      <c r="P302" s="134">
        <f>SUM(O291:O301)</f>
        <v>62</v>
      </c>
    </row>
    <row r="303" spans="1:17" s="207" customFormat="1" ht="18" customHeight="1" thickBot="1" x14ac:dyDescent="0.4">
      <c r="B303" s="145" t="s">
        <v>341</v>
      </c>
      <c r="C303" s="178"/>
      <c r="D303" s="147">
        <f t="shared" ref="D303:J303" si="26">SUM(D291:D301)</f>
        <v>62</v>
      </c>
      <c r="E303" s="147"/>
      <c r="F303" s="147">
        <f t="shared" si="26"/>
        <v>14.170000000000002</v>
      </c>
      <c r="G303" s="147">
        <f t="shared" si="26"/>
        <v>0</v>
      </c>
      <c r="H303" s="147">
        <f t="shared" si="26"/>
        <v>0</v>
      </c>
      <c r="I303" s="147">
        <f t="shared" si="26"/>
        <v>47.83</v>
      </c>
      <c r="J303" s="147">
        <f t="shared" si="26"/>
        <v>0</v>
      </c>
      <c r="K303" s="148"/>
      <c r="L303" s="146"/>
      <c r="M303" s="149"/>
      <c r="N303" s="150"/>
      <c r="O303" s="150"/>
      <c r="P303" s="150"/>
      <c r="Q303" s="208"/>
    </row>
    <row r="304" spans="1:17" ht="18" customHeight="1" thickBot="1" x14ac:dyDescent="0.4">
      <c r="B304" s="191"/>
      <c r="C304" s="160"/>
      <c r="D304" s="162"/>
      <c r="E304" s="162"/>
      <c r="F304" s="162"/>
      <c r="G304" s="162"/>
      <c r="H304" s="162"/>
      <c r="I304" s="162"/>
      <c r="J304" s="162"/>
      <c r="K304" s="162"/>
      <c r="L304" s="160"/>
      <c r="M304" s="160"/>
    </row>
    <row r="305" spans="1:17" s="113" customFormat="1" ht="18.5" thickBot="1" x14ac:dyDescent="0.4">
      <c r="B305" s="1156" t="s">
        <v>547</v>
      </c>
      <c r="C305" s="1157"/>
      <c r="D305" s="1157"/>
      <c r="E305" s="1157"/>
      <c r="F305" s="1157"/>
      <c r="G305" s="1157"/>
      <c r="H305" s="1157"/>
      <c r="I305" s="1157"/>
      <c r="J305" s="1157"/>
      <c r="K305" s="1157"/>
      <c r="L305" s="1157"/>
      <c r="M305" s="1158"/>
      <c r="Q305" s="115"/>
    </row>
    <row r="306" spans="1:17" s="113" customFormat="1" ht="18.5" thickBot="1" x14ac:dyDescent="0.4">
      <c r="B306" s="159"/>
      <c r="C306" s="160"/>
      <c r="D306" s="161"/>
      <c r="E306" s="161"/>
      <c r="F306" s="161"/>
      <c r="G306" s="161"/>
      <c r="H306" s="161"/>
      <c r="I306" s="161"/>
      <c r="J306" s="161"/>
      <c r="K306" s="162"/>
      <c r="L306" s="163"/>
      <c r="M306" s="163"/>
      <c r="N306" s="125"/>
      <c r="O306" s="125"/>
      <c r="P306" s="125"/>
      <c r="Q306" s="115"/>
    </row>
    <row r="307" spans="1:17" s="113" customFormat="1" ht="21" customHeight="1" x14ac:dyDescent="0.35">
      <c r="B307" s="1159" t="s">
        <v>302</v>
      </c>
      <c r="C307" s="1161" t="s">
        <v>28</v>
      </c>
      <c r="D307" s="1163" t="s">
        <v>343</v>
      </c>
      <c r="E307" s="165"/>
      <c r="F307" s="1165" t="s">
        <v>305</v>
      </c>
      <c r="G307" s="1166"/>
      <c r="H307" s="1166"/>
      <c r="I307" s="1166"/>
      <c r="J307" s="1167"/>
      <c r="K307" s="1161" t="s">
        <v>29</v>
      </c>
      <c r="L307" s="1168" t="s">
        <v>306</v>
      </c>
      <c r="M307" s="1174" t="s">
        <v>307</v>
      </c>
      <c r="N307" s="125"/>
      <c r="O307" s="125"/>
      <c r="P307" s="125"/>
      <c r="Q307" s="115"/>
    </row>
    <row r="308" spans="1:17" s="113" customFormat="1" ht="21" customHeight="1" thickBot="1" x14ac:dyDescent="0.4">
      <c r="B308" s="1160"/>
      <c r="C308" s="1162"/>
      <c r="D308" s="1164"/>
      <c r="E308" s="166"/>
      <c r="F308" s="127" t="s">
        <v>308</v>
      </c>
      <c r="G308" s="127" t="s">
        <v>309</v>
      </c>
      <c r="H308" s="127" t="s">
        <v>310</v>
      </c>
      <c r="I308" s="127" t="s">
        <v>311</v>
      </c>
      <c r="J308" s="127" t="s">
        <v>312</v>
      </c>
      <c r="K308" s="1162"/>
      <c r="L308" s="1169"/>
      <c r="M308" s="1175"/>
      <c r="N308" s="125"/>
      <c r="O308" s="125"/>
      <c r="P308" s="125"/>
      <c r="Q308" s="115"/>
    </row>
    <row r="309" spans="1:17" ht="28.5" customHeight="1" x14ac:dyDescent="0.35">
      <c r="A309" s="116">
        <v>1</v>
      </c>
      <c r="B309" s="128">
        <v>196</v>
      </c>
      <c r="C309" s="132" t="s">
        <v>548</v>
      </c>
      <c r="D309" s="130">
        <v>12.7</v>
      </c>
      <c r="E309" s="130">
        <f>'[1]road inventory 2018'!C283</f>
        <v>12.700000000000001</v>
      </c>
      <c r="F309" s="130">
        <v>8.2100000000000009</v>
      </c>
      <c r="G309" s="130">
        <v>0</v>
      </c>
      <c r="H309" s="130">
        <v>0</v>
      </c>
      <c r="I309" s="130">
        <v>4.49</v>
      </c>
      <c r="J309" s="130">
        <v>0</v>
      </c>
      <c r="K309" s="131" t="s">
        <v>206</v>
      </c>
      <c r="L309" s="132" t="s">
        <v>549</v>
      </c>
      <c r="M309" s="133"/>
      <c r="O309" s="134">
        <f>D309</f>
        <v>12.7</v>
      </c>
      <c r="P309" s="134"/>
    </row>
    <row r="310" spans="1:17" ht="18" customHeight="1" x14ac:dyDescent="0.35">
      <c r="A310" s="116">
        <v>2</v>
      </c>
      <c r="B310" s="135">
        <v>197</v>
      </c>
      <c r="C310" s="138" t="s">
        <v>550</v>
      </c>
      <c r="D310" s="137">
        <f>+F310+G310+I310</f>
        <v>4.9269999999999996</v>
      </c>
      <c r="E310" s="137">
        <f>'[1]road inventory 2018'!C284</f>
        <v>6.6</v>
      </c>
      <c r="F310" s="137">
        <v>3.0939999999999999</v>
      </c>
      <c r="G310" s="137">
        <v>1.833</v>
      </c>
      <c r="H310" s="137">
        <v>0</v>
      </c>
      <c r="I310" s="137">
        <v>0</v>
      </c>
      <c r="J310" s="137">
        <v>0</v>
      </c>
      <c r="K310" s="141" t="s">
        <v>209</v>
      </c>
      <c r="L310" s="138" t="s">
        <v>551</v>
      </c>
      <c r="M310" s="139"/>
      <c r="O310" s="134">
        <f t="shared" ref="O310:O316" si="27">D310</f>
        <v>4.9269999999999996</v>
      </c>
      <c r="P310" s="134"/>
    </row>
    <row r="311" spans="1:17" ht="18" customHeight="1" x14ac:dyDescent="0.35">
      <c r="A311" s="116">
        <v>3</v>
      </c>
      <c r="B311" s="135">
        <v>199</v>
      </c>
      <c r="C311" s="138" t="s">
        <v>552</v>
      </c>
      <c r="D311" s="137">
        <f>+F311+G311+I311+H311</f>
        <v>4.3409999999999993</v>
      </c>
      <c r="E311" s="137">
        <f>'[1]road inventory 2018'!C285</f>
        <v>5</v>
      </c>
      <c r="F311" s="137">
        <v>0.161</v>
      </c>
      <c r="G311" s="137">
        <v>3.31</v>
      </c>
      <c r="H311" s="137">
        <v>0.1</v>
      </c>
      <c r="I311" s="137">
        <v>0.77</v>
      </c>
      <c r="J311" s="137">
        <v>0</v>
      </c>
      <c r="K311" s="141" t="s">
        <v>210</v>
      </c>
      <c r="L311" s="138" t="s">
        <v>553</v>
      </c>
      <c r="M311" s="139"/>
      <c r="O311" s="134">
        <f t="shared" si="27"/>
        <v>4.3409999999999993</v>
      </c>
      <c r="P311" s="134"/>
    </row>
    <row r="312" spans="1:17" ht="18" customHeight="1" x14ac:dyDescent="0.35">
      <c r="A312" s="116">
        <v>4</v>
      </c>
      <c r="B312" s="135">
        <v>200</v>
      </c>
      <c r="C312" s="138" t="s">
        <v>291</v>
      </c>
      <c r="D312" s="137">
        <f>+F312+G312+I312</f>
        <v>1.1000000000000001</v>
      </c>
      <c r="E312" s="137">
        <f>'[1]road inventory 2018'!C286</f>
        <v>1.1000000000000001</v>
      </c>
      <c r="F312" s="137">
        <v>1.1000000000000001</v>
      </c>
      <c r="G312" s="137">
        <v>0</v>
      </c>
      <c r="H312" s="137">
        <v>0</v>
      </c>
      <c r="I312" s="137">
        <v>0</v>
      </c>
      <c r="J312" s="137">
        <v>0</v>
      </c>
      <c r="K312" s="141" t="s">
        <v>209</v>
      </c>
      <c r="L312" s="138" t="s">
        <v>554</v>
      </c>
      <c r="M312" s="139"/>
      <c r="O312" s="134">
        <f t="shared" si="27"/>
        <v>1.1000000000000001</v>
      </c>
      <c r="P312" s="134"/>
    </row>
    <row r="313" spans="1:17" ht="18" customHeight="1" x14ac:dyDescent="0.35">
      <c r="A313" s="116">
        <v>5</v>
      </c>
      <c r="B313" s="135">
        <v>201</v>
      </c>
      <c r="C313" s="138" t="s">
        <v>555</v>
      </c>
      <c r="D313" s="137">
        <f>+F313+G313+I313</f>
        <v>2.7</v>
      </c>
      <c r="E313" s="137">
        <f>'[1]road inventory 2018'!C287</f>
        <v>5.2</v>
      </c>
      <c r="F313" s="137">
        <v>2.7</v>
      </c>
      <c r="G313" s="137">
        <v>0</v>
      </c>
      <c r="H313" s="137">
        <v>0</v>
      </c>
      <c r="I313" s="137">
        <v>0</v>
      </c>
      <c r="J313" s="137">
        <v>0</v>
      </c>
      <c r="K313" s="141" t="s">
        <v>209</v>
      </c>
      <c r="L313" s="138" t="s">
        <v>556</v>
      </c>
      <c r="M313" s="139"/>
      <c r="O313" s="134">
        <f t="shared" si="27"/>
        <v>2.7</v>
      </c>
      <c r="P313" s="134"/>
    </row>
    <row r="314" spans="1:17" ht="36" x14ac:dyDescent="0.35">
      <c r="A314" s="116">
        <v>6</v>
      </c>
      <c r="B314" s="135">
        <v>202</v>
      </c>
      <c r="C314" s="138" t="s">
        <v>557</v>
      </c>
      <c r="D314" s="137">
        <f>SUM(F314:J314)</f>
        <v>1.37</v>
      </c>
      <c r="E314" s="137">
        <f>'[1]road inventory 2018'!C288</f>
        <v>5.3000000000000007</v>
      </c>
      <c r="F314" s="137">
        <v>1.37</v>
      </c>
      <c r="G314" s="137">
        <v>0</v>
      </c>
      <c r="H314" s="137">
        <v>0</v>
      </c>
      <c r="I314" s="137">
        <v>0</v>
      </c>
      <c r="J314" s="137">
        <v>0</v>
      </c>
      <c r="K314" s="141" t="s">
        <v>209</v>
      </c>
      <c r="L314" s="138" t="s">
        <v>556</v>
      </c>
      <c r="M314" s="139"/>
      <c r="O314" s="134">
        <f t="shared" si="27"/>
        <v>1.37</v>
      </c>
      <c r="P314" s="134"/>
    </row>
    <row r="315" spans="1:17" ht="18" customHeight="1" x14ac:dyDescent="0.35">
      <c r="A315" s="116">
        <v>7</v>
      </c>
      <c r="B315" s="135">
        <v>203</v>
      </c>
      <c r="C315" s="138" t="s">
        <v>558</v>
      </c>
      <c r="D315" s="137">
        <f>+F315+G315+I315</f>
        <v>5.6349999999999998</v>
      </c>
      <c r="E315" s="137">
        <f>'[1]road inventory 2018'!C289</f>
        <v>3.8</v>
      </c>
      <c r="F315" s="137">
        <v>2.5350000000000001</v>
      </c>
      <c r="G315" s="137">
        <v>1.45</v>
      </c>
      <c r="H315" s="137">
        <v>0</v>
      </c>
      <c r="I315" s="137">
        <v>1.65</v>
      </c>
      <c r="J315" s="137">
        <v>0</v>
      </c>
      <c r="K315" s="141" t="s">
        <v>209</v>
      </c>
      <c r="L315" s="138" t="s">
        <v>559</v>
      </c>
      <c r="M315" s="139"/>
      <c r="O315" s="134">
        <f t="shared" si="27"/>
        <v>5.6349999999999998</v>
      </c>
      <c r="P315" s="134"/>
    </row>
    <row r="316" spans="1:17" ht="18" customHeight="1" x14ac:dyDescent="0.35">
      <c r="A316" s="116">
        <v>8</v>
      </c>
      <c r="B316" s="135">
        <v>228</v>
      </c>
      <c r="C316" s="138" t="s">
        <v>141</v>
      </c>
      <c r="D316" s="137">
        <f>F316+H316+I316</f>
        <v>9.3000000000000007</v>
      </c>
      <c r="E316" s="137">
        <f>'[1]road inventory 2018'!C290</f>
        <v>9.3000000000000007</v>
      </c>
      <c r="F316" s="137">
        <v>7.22</v>
      </c>
      <c r="G316" s="137">
        <v>0</v>
      </c>
      <c r="H316" s="137">
        <v>0</v>
      </c>
      <c r="I316" s="137">
        <f>0.83+1.25</f>
        <v>2.08</v>
      </c>
      <c r="J316" s="137">
        <v>0</v>
      </c>
      <c r="K316" s="141" t="s">
        <v>209</v>
      </c>
      <c r="L316" s="138"/>
      <c r="M316" s="139"/>
      <c r="O316" s="134">
        <f t="shared" si="27"/>
        <v>9.3000000000000007</v>
      </c>
      <c r="P316" s="134"/>
    </row>
    <row r="317" spans="1:17" ht="18" customHeight="1" x14ac:dyDescent="0.35">
      <c r="B317" s="135"/>
      <c r="C317" s="138"/>
      <c r="D317" s="137">
        <f>SUM(D309:D316)</f>
        <v>42.072999999999993</v>
      </c>
      <c r="E317" s="137">
        <f>SUM(E309:E316)</f>
        <v>49</v>
      </c>
      <c r="F317" s="137"/>
      <c r="G317" s="137"/>
      <c r="H317" s="137"/>
      <c r="I317" s="137"/>
      <c r="J317" s="137"/>
      <c r="K317" s="141"/>
      <c r="L317" s="138"/>
      <c r="M317" s="139"/>
      <c r="P317" s="134">
        <f>SUM(O309:O316)</f>
        <v>42.072999999999993</v>
      </c>
    </row>
    <row r="318" spans="1:17" s="207" customFormat="1" ht="18" customHeight="1" thickBot="1" x14ac:dyDescent="0.4">
      <c r="B318" s="145" t="s">
        <v>341</v>
      </c>
      <c r="C318" s="178"/>
      <c r="D318" s="147">
        <f>SUM(D309:D316)</f>
        <v>42.072999999999993</v>
      </c>
      <c r="E318" s="147"/>
      <c r="F318" s="147">
        <f>SUM(F309:F317)</f>
        <v>26.39</v>
      </c>
      <c r="G318" s="147">
        <f>SUM(G309:G317)</f>
        <v>6.593</v>
      </c>
      <c r="H318" s="147">
        <f>SUM(H309:H317)</f>
        <v>0.1</v>
      </c>
      <c r="I318" s="147">
        <f>SUM(I309:I317)</f>
        <v>8.99</v>
      </c>
      <c r="J318" s="147">
        <f>SUM(J309:J317)</f>
        <v>0</v>
      </c>
      <c r="K318" s="148"/>
      <c r="L318" s="146"/>
      <c r="M318" s="149"/>
      <c r="N318" s="150"/>
      <c r="O318" s="150"/>
      <c r="P318" s="150"/>
      <c r="Q318" s="228">
        <f>SUM(F318:J318)</f>
        <v>42.073000000000008</v>
      </c>
    </row>
    <row r="319" spans="1:17" x14ac:dyDescent="0.35">
      <c r="B319" s="219"/>
      <c r="C319" s="220"/>
      <c r="D319" s="221"/>
      <c r="E319" s="221"/>
      <c r="F319" s="221"/>
      <c r="G319" s="221"/>
      <c r="H319" s="221"/>
      <c r="I319" s="221"/>
      <c r="J319" s="221"/>
      <c r="K319" s="221"/>
      <c r="L319" s="220"/>
      <c r="M319" s="220"/>
    </row>
    <row r="321" spans="1:17" ht="6.75" customHeight="1" thickBot="1" x14ac:dyDescent="0.4"/>
    <row r="322" spans="1:17" s="113" customFormat="1" ht="18.5" thickBot="1" x14ac:dyDescent="0.4">
      <c r="B322" s="1156" t="s">
        <v>560</v>
      </c>
      <c r="C322" s="1157"/>
      <c r="D322" s="1157"/>
      <c r="E322" s="1157"/>
      <c r="F322" s="1157"/>
      <c r="G322" s="1157"/>
      <c r="H322" s="1157"/>
      <c r="I322" s="1157"/>
      <c r="J322" s="1157"/>
      <c r="K322" s="1157"/>
      <c r="L322" s="1157"/>
      <c r="M322" s="1158"/>
      <c r="Q322" s="115"/>
    </row>
    <row r="323" spans="1:17" s="113" customFormat="1" ht="18.5" thickBot="1" x14ac:dyDescent="0.4">
      <c r="B323" s="229"/>
      <c r="C323" s="118"/>
      <c r="D323" s="230"/>
      <c r="E323" s="230"/>
      <c r="F323" s="230"/>
      <c r="G323" s="230"/>
      <c r="H323" s="230"/>
      <c r="I323" s="230"/>
      <c r="J323" s="230"/>
      <c r="K323" s="116"/>
      <c r="L323" s="125"/>
      <c r="M323" s="231"/>
      <c r="N323" s="125"/>
      <c r="O323" s="125"/>
      <c r="P323" s="125"/>
      <c r="Q323" s="115"/>
    </row>
    <row r="324" spans="1:17" s="113" customFormat="1" ht="21" customHeight="1" x14ac:dyDescent="0.35">
      <c r="B324" s="1159" t="s">
        <v>302</v>
      </c>
      <c r="C324" s="1161" t="s">
        <v>28</v>
      </c>
      <c r="D324" s="1163" t="s">
        <v>343</v>
      </c>
      <c r="E324" s="165"/>
      <c r="F324" s="1165" t="s">
        <v>305</v>
      </c>
      <c r="G324" s="1166"/>
      <c r="H324" s="1166"/>
      <c r="I324" s="1166"/>
      <c r="J324" s="1167"/>
      <c r="K324" s="1161" t="s">
        <v>29</v>
      </c>
      <c r="L324" s="1161" t="s">
        <v>306</v>
      </c>
      <c r="M324" s="1168" t="str">
        <f>M307</f>
        <v>REMARKS</v>
      </c>
      <c r="N324" s="125"/>
      <c r="O324" s="125"/>
      <c r="P324" s="125"/>
      <c r="Q324" s="115"/>
    </row>
    <row r="325" spans="1:17" s="113" customFormat="1" ht="21" customHeight="1" thickBot="1" x14ac:dyDescent="0.4">
      <c r="B325" s="1160"/>
      <c r="C325" s="1162"/>
      <c r="D325" s="1164"/>
      <c r="E325" s="166"/>
      <c r="F325" s="127" t="s">
        <v>308</v>
      </c>
      <c r="G325" s="127" t="s">
        <v>309</v>
      </c>
      <c r="H325" s="127" t="s">
        <v>310</v>
      </c>
      <c r="I325" s="127" t="s">
        <v>311</v>
      </c>
      <c r="J325" s="127" t="s">
        <v>312</v>
      </c>
      <c r="K325" s="1162"/>
      <c r="L325" s="1162"/>
      <c r="M325" s="1169"/>
      <c r="N325" s="125"/>
      <c r="O325" s="125"/>
      <c r="P325" s="125"/>
      <c r="Q325" s="115"/>
    </row>
    <row r="326" spans="1:17" ht="18" customHeight="1" x14ac:dyDescent="0.35">
      <c r="A326" s="116">
        <v>1</v>
      </c>
      <c r="B326" s="128">
        <v>204</v>
      </c>
      <c r="C326" s="132" t="s">
        <v>561</v>
      </c>
      <c r="D326" s="130">
        <v>15.87</v>
      </c>
      <c r="E326" s="130">
        <f>'[1]road inventory 2018'!C298</f>
        <v>15.87</v>
      </c>
      <c r="F326" s="130">
        <v>6.92</v>
      </c>
      <c r="G326" s="130">
        <v>2.5499999999999998</v>
      </c>
      <c r="H326" s="130">
        <v>0</v>
      </c>
      <c r="I326" s="130">
        <v>6.4</v>
      </c>
      <c r="J326" s="130">
        <v>0</v>
      </c>
      <c r="K326" s="131" t="s">
        <v>207</v>
      </c>
      <c r="L326" s="132" t="s">
        <v>562</v>
      </c>
      <c r="M326" s="133"/>
      <c r="O326" s="134">
        <f t="shared" ref="O326:O331" si="28">D326</f>
        <v>15.87</v>
      </c>
      <c r="P326" s="134"/>
    </row>
    <row r="327" spans="1:17" ht="18" customHeight="1" x14ac:dyDescent="0.35">
      <c r="A327" s="116">
        <v>2</v>
      </c>
      <c r="B327" s="135">
        <v>205</v>
      </c>
      <c r="C327" s="138" t="s">
        <v>563</v>
      </c>
      <c r="D327" s="137">
        <f>+F327+G327+I327</f>
        <v>0.37</v>
      </c>
      <c r="E327" s="137">
        <f>'[1]road inventory 2018'!C299</f>
        <v>0.37</v>
      </c>
      <c r="F327" s="137">
        <v>0.37</v>
      </c>
      <c r="G327" s="137">
        <v>0</v>
      </c>
      <c r="H327" s="137">
        <v>0</v>
      </c>
      <c r="I327" s="137">
        <v>0</v>
      </c>
      <c r="J327" s="137">
        <v>0</v>
      </c>
      <c r="K327" s="141" t="s">
        <v>209</v>
      </c>
      <c r="L327" s="138" t="s">
        <v>564</v>
      </c>
      <c r="M327" s="139"/>
      <c r="O327" s="134">
        <f t="shared" si="28"/>
        <v>0.37</v>
      </c>
      <c r="P327" s="134"/>
    </row>
    <row r="328" spans="1:17" ht="36" x14ac:dyDescent="0.35">
      <c r="A328" s="116">
        <v>3</v>
      </c>
      <c r="B328" s="135">
        <v>213</v>
      </c>
      <c r="C328" s="138" t="s">
        <v>293</v>
      </c>
      <c r="D328" s="137">
        <f>+F328+G328+I328</f>
        <v>2.8499999999999996</v>
      </c>
      <c r="E328" s="137">
        <f>'[1]road inventory 2018'!C300</f>
        <v>1.8599999999999999</v>
      </c>
      <c r="F328" s="137">
        <v>2.36</v>
      </c>
      <c r="G328" s="137">
        <v>0.49</v>
      </c>
      <c r="H328" s="137">
        <v>0</v>
      </c>
      <c r="I328" s="137">
        <v>0</v>
      </c>
      <c r="J328" s="137">
        <v>0</v>
      </c>
      <c r="K328" s="141" t="s">
        <v>206</v>
      </c>
      <c r="L328" s="138" t="s">
        <v>565</v>
      </c>
      <c r="M328" s="139"/>
      <c r="O328" s="134">
        <f t="shared" si="28"/>
        <v>2.8499999999999996</v>
      </c>
      <c r="P328" s="134"/>
    </row>
    <row r="329" spans="1:17" ht="18" customHeight="1" x14ac:dyDescent="0.35">
      <c r="A329" s="116">
        <v>4</v>
      </c>
      <c r="B329" s="135">
        <v>206</v>
      </c>
      <c r="C329" s="138" t="s">
        <v>295</v>
      </c>
      <c r="D329" s="137">
        <f>+F329+G329+I329</f>
        <v>2</v>
      </c>
      <c r="E329" s="137">
        <f>'[1]road inventory 2018'!C301</f>
        <v>2</v>
      </c>
      <c r="F329" s="137">
        <v>2</v>
      </c>
      <c r="G329" s="137">
        <v>0</v>
      </c>
      <c r="H329" s="137">
        <v>0</v>
      </c>
      <c r="I329" s="137">
        <v>0</v>
      </c>
      <c r="J329" s="137">
        <v>0</v>
      </c>
      <c r="K329" s="141" t="s">
        <v>206</v>
      </c>
      <c r="L329" s="138" t="s">
        <v>566</v>
      </c>
      <c r="M329" s="139"/>
      <c r="O329" s="134">
        <f t="shared" si="28"/>
        <v>2</v>
      </c>
      <c r="P329" s="134"/>
    </row>
    <row r="330" spans="1:17" ht="36" x14ac:dyDescent="0.35">
      <c r="A330" s="116">
        <v>5</v>
      </c>
      <c r="B330" s="135">
        <v>207</v>
      </c>
      <c r="C330" s="138" t="s">
        <v>292</v>
      </c>
      <c r="D330" s="137">
        <f>SUM(F330:J330)</f>
        <v>3.3800000000000003</v>
      </c>
      <c r="E330" s="137">
        <f>'[1]road inventory 2018'!C302</f>
        <v>3.38</v>
      </c>
      <c r="F330" s="137">
        <v>2.4660000000000002</v>
      </c>
      <c r="G330" s="137">
        <v>0</v>
      </c>
      <c r="H330" s="137">
        <v>0.91400000000000003</v>
      </c>
      <c r="I330" s="137">
        <v>0</v>
      </c>
      <c r="J330" s="137">
        <v>0</v>
      </c>
      <c r="K330" s="141" t="s">
        <v>210</v>
      </c>
      <c r="L330" s="138" t="s">
        <v>567</v>
      </c>
      <c r="M330" s="139"/>
      <c r="O330" s="134">
        <f t="shared" si="28"/>
        <v>3.3800000000000003</v>
      </c>
      <c r="P330" s="134"/>
    </row>
    <row r="331" spans="1:17" ht="18" customHeight="1" x14ac:dyDescent="0.35">
      <c r="A331" s="116">
        <v>6</v>
      </c>
      <c r="B331" s="135">
        <v>229</v>
      </c>
      <c r="C331" s="138" t="s">
        <v>568</v>
      </c>
      <c r="D331" s="137">
        <f>I331</f>
        <v>0.1</v>
      </c>
      <c r="E331" s="137">
        <f>'[1]road inventory 2018'!C303</f>
        <v>0.1</v>
      </c>
      <c r="F331" s="137">
        <v>0</v>
      </c>
      <c r="G331" s="137">
        <v>0</v>
      </c>
      <c r="H331" s="137">
        <v>0</v>
      </c>
      <c r="I331" s="137">
        <v>0.1</v>
      </c>
      <c r="J331" s="137">
        <v>0</v>
      </c>
      <c r="K331" s="141" t="s">
        <v>207</v>
      </c>
      <c r="L331" s="138" t="s">
        <v>569</v>
      </c>
      <c r="M331" s="139"/>
      <c r="O331" s="134">
        <f t="shared" si="28"/>
        <v>0.1</v>
      </c>
      <c r="P331" s="134"/>
    </row>
    <row r="332" spans="1:17" ht="18" customHeight="1" x14ac:dyDescent="0.35">
      <c r="B332" s="135"/>
      <c r="C332" s="138"/>
      <c r="D332" s="137"/>
      <c r="E332" s="137"/>
      <c r="F332" s="137"/>
      <c r="G332" s="137"/>
      <c r="H332" s="137"/>
      <c r="I332" s="137"/>
      <c r="J332" s="137"/>
      <c r="K332" s="141"/>
      <c r="L332" s="138"/>
      <c r="M332" s="139"/>
    </row>
    <row r="333" spans="1:17" s="113" customFormat="1" ht="21" customHeight="1" x14ac:dyDescent="0.35">
      <c r="B333" s="1170" t="s">
        <v>302</v>
      </c>
      <c r="C333" s="1171" t="s">
        <v>28</v>
      </c>
      <c r="D333" s="1172" t="s">
        <v>343</v>
      </c>
      <c r="E333" s="199"/>
      <c r="F333" s="1173" t="s">
        <v>305</v>
      </c>
      <c r="G333" s="1173"/>
      <c r="H333" s="1173"/>
      <c r="I333" s="1173"/>
      <c r="J333" s="1173"/>
      <c r="K333" s="1171" t="s">
        <v>29</v>
      </c>
      <c r="L333" s="1171" t="s">
        <v>306</v>
      </c>
      <c r="M333" s="1155" t="str">
        <f>M324</f>
        <v>REMARKS</v>
      </c>
      <c r="N333" s="125"/>
      <c r="O333" s="125"/>
      <c r="P333" s="196">
        <f>SUM(O326:O331)</f>
        <v>24.569999999999997</v>
      </c>
      <c r="Q333" s="115"/>
    </row>
    <row r="334" spans="1:17" s="113" customFormat="1" ht="21" customHeight="1" x14ac:dyDescent="0.35">
      <c r="B334" s="1170"/>
      <c r="C334" s="1171"/>
      <c r="D334" s="1172"/>
      <c r="E334" s="199"/>
      <c r="F334" s="200" t="s">
        <v>308</v>
      </c>
      <c r="G334" s="200" t="s">
        <v>309</v>
      </c>
      <c r="H334" s="200" t="s">
        <v>310</v>
      </c>
      <c r="I334" s="200" t="s">
        <v>311</v>
      </c>
      <c r="J334" s="200" t="s">
        <v>312</v>
      </c>
      <c r="K334" s="1171"/>
      <c r="L334" s="1171"/>
      <c r="M334" s="1155"/>
      <c r="N334" s="125"/>
      <c r="O334" s="125"/>
      <c r="P334" s="125"/>
      <c r="Q334" s="115"/>
    </row>
    <row r="335" spans="1:17" ht="36" x14ac:dyDescent="0.35">
      <c r="A335" s="116">
        <v>7</v>
      </c>
      <c r="B335" s="135">
        <v>215</v>
      </c>
      <c r="C335" s="138" t="s">
        <v>570</v>
      </c>
      <c r="D335" s="137">
        <f>SUM(F335:J335)</f>
        <v>3.6799999999999997</v>
      </c>
      <c r="E335" s="137">
        <f>'[1]road inventory 2018'!C307</f>
        <v>3.8</v>
      </c>
      <c r="F335" s="137">
        <v>1.22</v>
      </c>
      <c r="G335" s="137">
        <v>2.46</v>
      </c>
      <c r="H335" s="137">
        <v>0</v>
      </c>
      <c r="I335" s="137">
        <v>0</v>
      </c>
      <c r="J335" s="137">
        <v>0</v>
      </c>
      <c r="K335" s="141" t="s">
        <v>210</v>
      </c>
      <c r="L335" s="138" t="s">
        <v>571</v>
      </c>
      <c r="M335" s="139"/>
      <c r="O335" s="134">
        <f>D335</f>
        <v>3.6799999999999997</v>
      </c>
      <c r="P335" s="134"/>
    </row>
    <row r="336" spans="1:17" ht="18" customHeight="1" x14ac:dyDescent="0.35">
      <c r="A336" s="116">
        <v>8</v>
      </c>
      <c r="B336" s="135">
        <v>208</v>
      </c>
      <c r="C336" s="138" t="s">
        <v>572</v>
      </c>
      <c r="D336" s="137">
        <f>SUM(F336:J336)</f>
        <v>2.2599999999999998</v>
      </c>
      <c r="E336" s="137">
        <f>'[1]road inventory 2018'!C308</f>
        <v>4.3</v>
      </c>
      <c r="F336" s="137">
        <v>2.0099999999999998</v>
      </c>
      <c r="G336" s="137">
        <v>0.25</v>
      </c>
      <c r="H336" s="137">
        <v>0</v>
      </c>
      <c r="I336" s="137">
        <v>0</v>
      </c>
      <c r="J336" s="137">
        <v>0</v>
      </c>
      <c r="K336" s="141" t="s">
        <v>209</v>
      </c>
      <c r="L336" s="138" t="s">
        <v>573</v>
      </c>
      <c r="M336" s="139"/>
      <c r="O336" s="134">
        <f>D336</f>
        <v>2.2599999999999998</v>
      </c>
      <c r="P336" s="134"/>
    </row>
    <row r="337" spans="1:17" ht="18" customHeight="1" x14ac:dyDescent="0.35">
      <c r="A337" s="116">
        <v>9</v>
      </c>
      <c r="B337" s="135">
        <v>209</v>
      </c>
      <c r="C337" s="138" t="s">
        <v>294</v>
      </c>
      <c r="D337" s="137">
        <f>+F337+G337+I337</f>
        <v>2.6</v>
      </c>
      <c r="E337" s="137">
        <f>'[1]road inventory 2018'!C309</f>
        <v>2.6</v>
      </c>
      <c r="F337" s="137">
        <f>0.866+1.334</f>
        <v>2.2000000000000002</v>
      </c>
      <c r="G337" s="137">
        <v>0</v>
      </c>
      <c r="H337" s="137">
        <v>0</v>
      </c>
      <c r="I337" s="137">
        <v>0.4</v>
      </c>
      <c r="J337" s="137">
        <v>0</v>
      </c>
      <c r="K337" s="141" t="s">
        <v>206</v>
      </c>
      <c r="L337" s="138" t="s">
        <v>574</v>
      </c>
      <c r="M337" s="139"/>
      <c r="N337" s="118" t="s">
        <v>319</v>
      </c>
      <c r="O337" s="134">
        <f>D337</f>
        <v>2.6</v>
      </c>
      <c r="P337" s="134"/>
    </row>
    <row r="338" spans="1:17" ht="18" customHeight="1" x14ac:dyDescent="0.35">
      <c r="A338" s="116">
        <v>10</v>
      </c>
      <c r="B338" s="135">
        <v>210</v>
      </c>
      <c r="C338" s="138" t="s">
        <v>575</v>
      </c>
      <c r="D338" s="137">
        <v>0.8</v>
      </c>
      <c r="E338" s="137">
        <f>'[1]road inventory 2018'!C310</f>
        <v>0.8</v>
      </c>
      <c r="F338" s="137">
        <v>0.8</v>
      </c>
      <c r="G338" s="137">
        <v>0</v>
      </c>
      <c r="H338" s="137">
        <v>0</v>
      </c>
      <c r="I338" s="137">
        <v>0</v>
      </c>
      <c r="J338" s="137">
        <v>0</v>
      </c>
      <c r="K338" s="141" t="s">
        <v>206</v>
      </c>
      <c r="L338" s="138" t="s">
        <v>576</v>
      </c>
      <c r="M338" s="139"/>
      <c r="O338" s="134">
        <f>D338</f>
        <v>0.8</v>
      </c>
      <c r="P338" s="134"/>
    </row>
    <row r="339" spans="1:17" ht="18" customHeight="1" x14ac:dyDescent="0.35">
      <c r="A339" s="116">
        <v>11</v>
      </c>
      <c r="B339" s="135">
        <v>211</v>
      </c>
      <c r="C339" s="138" t="s">
        <v>577</v>
      </c>
      <c r="D339" s="137">
        <f>F339</f>
        <v>1.24</v>
      </c>
      <c r="E339" s="137">
        <f>'[1]road inventory 2018'!C311</f>
        <v>0.7</v>
      </c>
      <c r="F339" s="137">
        <v>1.24</v>
      </c>
      <c r="G339" s="137">
        <v>0</v>
      </c>
      <c r="H339" s="137">
        <v>0</v>
      </c>
      <c r="I339" s="137">
        <v>0</v>
      </c>
      <c r="J339" s="137">
        <v>0</v>
      </c>
      <c r="K339" s="141" t="s">
        <v>206</v>
      </c>
      <c r="L339" s="138" t="s">
        <v>578</v>
      </c>
      <c r="M339" s="139"/>
      <c r="O339" s="134">
        <f>D339</f>
        <v>1.24</v>
      </c>
      <c r="P339" s="134"/>
    </row>
    <row r="340" spans="1:17" ht="18" customHeight="1" x14ac:dyDescent="0.35">
      <c r="B340" s="135"/>
      <c r="C340" s="138"/>
      <c r="D340" s="137">
        <f>SUM(D326:D339)</f>
        <v>35.15</v>
      </c>
      <c r="E340" s="137">
        <f>SUM(E326:E339)</f>
        <v>35.78</v>
      </c>
      <c r="F340" s="137"/>
      <c r="G340" s="137"/>
      <c r="H340" s="137"/>
      <c r="I340" s="137"/>
      <c r="J340" s="137"/>
      <c r="K340" s="141"/>
      <c r="L340" s="138"/>
      <c r="M340" s="139"/>
    </row>
    <row r="341" spans="1:17" s="207" customFormat="1" ht="18" customHeight="1" thickBot="1" x14ac:dyDescent="0.4">
      <c r="B341" s="145" t="s">
        <v>341</v>
      </c>
      <c r="C341" s="178"/>
      <c r="D341" s="147">
        <f>SUM(D326:D339)</f>
        <v>35.15</v>
      </c>
      <c r="E341" s="147"/>
      <c r="F341" s="147">
        <f>SUM(F326:F339)</f>
        <v>21.585999999999999</v>
      </c>
      <c r="G341" s="147">
        <f>SUM(G326:G339)</f>
        <v>5.75</v>
      </c>
      <c r="H341" s="147">
        <f>SUM(H326:H339)</f>
        <v>0.91400000000000003</v>
      </c>
      <c r="I341" s="147">
        <f>SUM(I326:I339)</f>
        <v>6.9</v>
      </c>
      <c r="J341" s="147">
        <f>SUM(J326:J339)</f>
        <v>0</v>
      </c>
      <c r="K341" s="148"/>
      <c r="L341" s="146"/>
      <c r="M341" s="149"/>
      <c r="N341" s="150"/>
      <c r="O341" s="150"/>
      <c r="P341" s="194">
        <f>SUM(O335:O339)</f>
        <v>10.58</v>
      </c>
      <c r="Q341" s="228">
        <f>SUM(F341:J341)</f>
        <v>35.15</v>
      </c>
    </row>
    <row r="342" spans="1:17" ht="18" customHeight="1" thickBot="1" x14ac:dyDescent="0.4">
      <c r="B342" s="191"/>
      <c r="C342" s="160"/>
      <c r="D342" s="162"/>
      <c r="E342" s="162"/>
      <c r="F342" s="162"/>
      <c r="G342" s="162"/>
      <c r="H342" s="162"/>
      <c r="I342" s="162"/>
      <c r="J342" s="162"/>
      <c r="K342" s="162"/>
      <c r="L342" s="160"/>
      <c r="M342" s="160"/>
    </row>
    <row r="343" spans="1:17" s="113" customFormat="1" ht="18.5" thickBot="1" x14ac:dyDescent="0.4">
      <c r="B343" s="1156" t="s">
        <v>579</v>
      </c>
      <c r="C343" s="1157"/>
      <c r="D343" s="1157"/>
      <c r="E343" s="1157"/>
      <c r="F343" s="1157"/>
      <c r="G343" s="1157"/>
      <c r="H343" s="1157"/>
      <c r="I343" s="1157"/>
      <c r="J343" s="1157"/>
      <c r="K343" s="1157"/>
      <c r="L343" s="1157"/>
      <c r="M343" s="1158"/>
      <c r="Q343" s="115"/>
    </row>
    <row r="344" spans="1:17" s="113" customFormat="1" ht="18.5" thickBot="1" x14ac:dyDescent="0.4">
      <c r="B344" s="159"/>
      <c r="C344" s="160"/>
      <c r="D344" s="161"/>
      <c r="E344" s="161"/>
      <c r="F344" s="161"/>
      <c r="G344" s="161"/>
      <c r="H344" s="161"/>
      <c r="I344" s="161"/>
      <c r="J344" s="161"/>
      <c r="K344" s="162"/>
      <c r="L344" s="163"/>
      <c r="M344" s="163"/>
      <c r="N344" s="125"/>
      <c r="O344" s="125"/>
      <c r="P344" s="125"/>
      <c r="Q344" s="115"/>
    </row>
    <row r="345" spans="1:17" s="113" customFormat="1" ht="21" customHeight="1" x14ac:dyDescent="0.35">
      <c r="B345" s="1159" t="s">
        <v>302</v>
      </c>
      <c r="C345" s="1161" t="s">
        <v>28</v>
      </c>
      <c r="D345" s="1163" t="s">
        <v>343</v>
      </c>
      <c r="E345" s="165"/>
      <c r="F345" s="1165" t="s">
        <v>305</v>
      </c>
      <c r="G345" s="1166"/>
      <c r="H345" s="1166"/>
      <c r="I345" s="1166"/>
      <c r="J345" s="1167"/>
      <c r="K345" s="1161" t="s">
        <v>29</v>
      </c>
      <c r="L345" s="1161" t="s">
        <v>306</v>
      </c>
      <c r="M345" s="1168" t="str">
        <f>M355</f>
        <v>REMARKS</v>
      </c>
      <c r="N345" s="125"/>
      <c r="O345" s="125"/>
      <c r="P345" s="125"/>
      <c r="Q345" s="115"/>
    </row>
    <row r="346" spans="1:17" s="113" customFormat="1" ht="21" customHeight="1" thickBot="1" x14ac:dyDescent="0.4">
      <c r="B346" s="1160"/>
      <c r="C346" s="1162"/>
      <c r="D346" s="1164"/>
      <c r="E346" s="166"/>
      <c r="F346" s="127" t="s">
        <v>308</v>
      </c>
      <c r="G346" s="127" t="s">
        <v>309</v>
      </c>
      <c r="H346" s="127" t="s">
        <v>310</v>
      </c>
      <c r="I346" s="127" t="s">
        <v>311</v>
      </c>
      <c r="J346" s="127" t="s">
        <v>312</v>
      </c>
      <c r="K346" s="1162"/>
      <c r="L346" s="1162"/>
      <c r="M346" s="1169"/>
      <c r="N346" s="125"/>
      <c r="O346" s="125"/>
      <c r="P346" s="125"/>
      <c r="Q346" s="115"/>
    </row>
    <row r="347" spans="1:17" ht="18" customHeight="1" x14ac:dyDescent="0.35">
      <c r="A347" s="116">
        <v>1</v>
      </c>
      <c r="B347" s="128">
        <v>214</v>
      </c>
      <c r="C347" s="132" t="s">
        <v>580</v>
      </c>
      <c r="D347" s="130">
        <f>+I347+G347+F347</f>
        <v>4.5</v>
      </c>
      <c r="E347" s="130">
        <f>'[1]road inventory 2018'!C318</f>
        <v>4.5</v>
      </c>
      <c r="F347" s="232">
        <v>0.7</v>
      </c>
      <c r="G347" s="232">
        <v>0</v>
      </c>
      <c r="H347" s="232">
        <v>0</v>
      </c>
      <c r="I347" s="130">
        <v>3.8</v>
      </c>
      <c r="J347" s="130">
        <v>0</v>
      </c>
      <c r="K347" s="131" t="s">
        <v>206</v>
      </c>
      <c r="L347" s="132" t="s">
        <v>581</v>
      </c>
      <c r="M347" s="133"/>
      <c r="O347" s="134">
        <f>D347</f>
        <v>4.5</v>
      </c>
      <c r="P347" s="134"/>
    </row>
    <row r="348" spans="1:17" ht="18" customHeight="1" x14ac:dyDescent="0.35">
      <c r="A348" s="116">
        <v>2</v>
      </c>
      <c r="B348" s="135">
        <v>212</v>
      </c>
      <c r="C348" s="138" t="s">
        <v>582</v>
      </c>
      <c r="D348" s="137">
        <f>+I348+G348+F348</f>
        <v>2.75</v>
      </c>
      <c r="E348" s="137">
        <f>'[1]road inventory 2018'!C319</f>
        <v>2.75</v>
      </c>
      <c r="F348" s="177">
        <v>2.6</v>
      </c>
      <c r="G348" s="177">
        <v>0</v>
      </c>
      <c r="H348" s="177">
        <v>0</v>
      </c>
      <c r="I348" s="137">
        <v>0.15</v>
      </c>
      <c r="J348" s="137">
        <v>0</v>
      </c>
      <c r="K348" s="141" t="s">
        <v>206</v>
      </c>
      <c r="L348" s="138" t="s">
        <v>528</v>
      </c>
      <c r="M348" s="139"/>
      <c r="O348" s="134">
        <f>D348</f>
        <v>2.75</v>
      </c>
      <c r="P348" s="134"/>
    </row>
    <row r="349" spans="1:17" ht="18" customHeight="1" x14ac:dyDescent="0.35">
      <c r="B349" s="135"/>
      <c r="C349" s="138"/>
      <c r="D349" s="137"/>
      <c r="E349" s="137">
        <f>SUM(E347:E348)</f>
        <v>7.25</v>
      </c>
      <c r="F349" s="177"/>
      <c r="G349" s="177"/>
      <c r="H349" s="177"/>
      <c r="I349" s="137"/>
      <c r="J349" s="137"/>
      <c r="K349" s="141"/>
      <c r="L349" s="138"/>
      <c r="M349" s="139"/>
    </row>
    <row r="350" spans="1:17" s="207" customFormat="1" ht="18" customHeight="1" thickBot="1" x14ac:dyDescent="0.4">
      <c r="B350" s="145" t="s">
        <v>341</v>
      </c>
      <c r="C350" s="233"/>
      <c r="D350" s="147">
        <f t="shared" ref="D350:J350" si="29">SUM(D347:D348)</f>
        <v>7.25</v>
      </c>
      <c r="E350" s="147"/>
      <c r="F350" s="147">
        <f t="shared" si="29"/>
        <v>3.3</v>
      </c>
      <c r="G350" s="147">
        <f t="shared" si="29"/>
        <v>0</v>
      </c>
      <c r="H350" s="147">
        <f t="shared" si="29"/>
        <v>0</v>
      </c>
      <c r="I350" s="147">
        <f t="shared" si="29"/>
        <v>3.9499999999999997</v>
      </c>
      <c r="J350" s="147">
        <f t="shared" si="29"/>
        <v>0</v>
      </c>
      <c r="K350" s="148"/>
      <c r="L350" s="146"/>
      <c r="M350" s="149"/>
      <c r="N350" s="150"/>
      <c r="O350" s="150"/>
      <c r="P350" s="194">
        <f>SUM(O347:O348)</f>
        <v>7.25</v>
      </c>
      <c r="Q350" s="208"/>
    </row>
    <row r="351" spans="1:17" ht="12" customHeight="1" x14ac:dyDescent="0.35">
      <c r="B351" s="219"/>
      <c r="C351" s="220"/>
      <c r="D351" s="221"/>
      <c r="E351" s="221"/>
      <c r="F351" s="221"/>
      <c r="G351" s="221"/>
      <c r="H351" s="221"/>
      <c r="I351" s="221"/>
      <c r="J351" s="221"/>
      <c r="K351" s="221"/>
      <c r="L351" s="220"/>
      <c r="M351" s="220"/>
    </row>
    <row r="352" spans="1:17" ht="6.75" customHeight="1" thickBot="1" x14ac:dyDescent="0.4">
      <c r="B352" s="222"/>
      <c r="C352" s="121"/>
      <c r="D352" s="123"/>
      <c r="E352" s="123"/>
      <c r="F352" s="123"/>
      <c r="G352" s="123"/>
      <c r="H352" s="123"/>
      <c r="I352" s="123"/>
      <c r="J352" s="123"/>
      <c r="K352" s="123"/>
      <c r="L352" s="121"/>
      <c r="M352" s="121"/>
    </row>
    <row r="353" spans="1:22" s="113" customFormat="1" ht="18.5" thickBot="1" x14ac:dyDescent="0.4">
      <c r="B353" s="1156" t="s">
        <v>583</v>
      </c>
      <c r="C353" s="1157"/>
      <c r="D353" s="1157"/>
      <c r="E353" s="1157"/>
      <c r="F353" s="1157"/>
      <c r="G353" s="1157"/>
      <c r="H353" s="1157"/>
      <c r="I353" s="1157"/>
      <c r="J353" s="1157"/>
      <c r="K353" s="1157"/>
      <c r="L353" s="1157"/>
      <c r="M353" s="1158"/>
      <c r="Q353" s="115"/>
    </row>
    <row r="354" spans="1:22" s="113" customFormat="1" ht="6" customHeight="1" thickBot="1" x14ac:dyDescent="0.4">
      <c r="B354" s="159"/>
      <c r="C354" s="160"/>
      <c r="D354" s="161"/>
      <c r="E354" s="161"/>
      <c r="F354" s="161"/>
      <c r="G354" s="161"/>
      <c r="H354" s="161"/>
      <c r="I354" s="161"/>
      <c r="J354" s="161"/>
      <c r="K354" s="162"/>
      <c r="L354" s="163"/>
      <c r="M354" s="163"/>
      <c r="N354" s="125"/>
      <c r="O354" s="125"/>
      <c r="P354" s="125"/>
      <c r="Q354" s="115"/>
    </row>
    <row r="355" spans="1:22" s="113" customFormat="1" ht="20.25" customHeight="1" x14ac:dyDescent="0.35">
      <c r="B355" s="1159" t="s">
        <v>302</v>
      </c>
      <c r="C355" s="1161" t="s">
        <v>28</v>
      </c>
      <c r="D355" s="1163" t="s">
        <v>343</v>
      </c>
      <c r="E355" s="165"/>
      <c r="F355" s="1165" t="s">
        <v>305</v>
      </c>
      <c r="G355" s="1166"/>
      <c r="H355" s="1166"/>
      <c r="I355" s="1166"/>
      <c r="J355" s="1167"/>
      <c r="K355" s="1161" t="s">
        <v>29</v>
      </c>
      <c r="L355" s="1161" t="s">
        <v>306</v>
      </c>
      <c r="M355" s="1168" t="str">
        <f>M333</f>
        <v>REMARKS</v>
      </c>
      <c r="N355" s="125"/>
      <c r="O355" s="125"/>
      <c r="P355" s="125"/>
      <c r="Q355" s="115"/>
    </row>
    <row r="356" spans="1:22" s="113" customFormat="1" ht="21" customHeight="1" thickBot="1" x14ac:dyDescent="0.4">
      <c r="B356" s="1160"/>
      <c r="C356" s="1162"/>
      <c r="D356" s="1164"/>
      <c r="E356" s="166"/>
      <c r="F356" s="127" t="s">
        <v>308</v>
      </c>
      <c r="G356" s="127" t="s">
        <v>309</v>
      </c>
      <c r="H356" s="127" t="s">
        <v>310</v>
      </c>
      <c r="I356" s="127" t="s">
        <v>311</v>
      </c>
      <c r="J356" s="127" t="s">
        <v>312</v>
      </c>
      <c r="K356" s="1162"/>
      <c r="L356" s="1162"/>
      <c r="M356" s="1169"/>
      <c r="N356" s="125"/>
      <c r="O356" s="125"/>
      <c r="P356" s="125"/>
      <c r="Q356" s="115"/>
    </row>
    <row r="357" spans="1:22" ht="18" customHeight="1" x14ac:dyDescent="0.35">
      <c r="A357" s="116">
        <v>1</v>
      </c>
      <c r="B357" s="128">
        <v>173</v>
      </c>
      <c r="C357" s="132" t="s">
        <v>584</v>
      </c>
      <c r="D357" s="130">
        <f>SUM(F357:J357)</f>
        <v>1.5</v>
      </c>
      <c r="E357" s="130">
        <f>'[1]road inventory 2018'!C326</f>
        <v>1.5</v>
      </c>
      <c r="F357" s="130">
        <v>1.5</v>
      </c>
      <c r="G357" s="130">
        <v>0</v>
      </c>
      <c r="H357" s="130">
        <v>0</v>
      </c>
      <c r="I357" s="130">
        <v>0</v>
      </c>
      <c r="J357" s="130">
        <v>0</v>
      </c>
      <c r="K357" s="131" t="s">
        <v>209</v>
      </c>
      <c r="L357" s="132"/>
      <c r="M357" s="133"/>
      <c r="O357" s="134">
        <f>D357</f>
        <v>1.5</v>
      </c>
      <c r="P357" s="134"/>
    </row>
    <row r="358" spans="1:22" ht="18" customHeight="1" x14ac:dyDescent="0.35">
      <c r="A358" s="116">
        <v>2</v>
      </c>
      <c r="B358" s="135">
        <v>174</v>
      </c>
      <c r="C358" s="138" t="s">
        <v>585</v>
      </c>
      <c r="D358" s="137">
        <v>0.2</v>
      </c>
      <c r="E358" s="137">
        <f>'[1]road inventory 2018'!C327</f>
        <v>0.2</v>
      </c>
      <c r="F358" s="137">
        <v>0.2</v>
      </c>
      <c r="G358" s="137">
        <v>0</v>
      </c>
      <c r="H358" s="137">
        <v>0</v>
      </c>
      <c r="I358" s="137">
        <v>0</v>
      </c>
      <c r="J358" s="137">
        <v>0</v>
      </c>
      <c r="K358" s="138" t="s">
        <v>207</v>
      </c>
      <c r="L358" s="138"/>
      <c r="M358" s="139"/>
      <c r="O358" s="134">
        <f t="shared" ref="O358:O369" si="30">D358</f>
        <v>0.2</v>
      </c>
      <c r="P358" s="134"/>
    </row>
    <row r="359" spans="1:22" ht="18" customHeight="1" x14ac:dyDescent="0.35">
      <c r="A359" s="116">
        <v>3</v>
      </c>
      <c r="B359" s="135">
        <v>175</v>
      </c>
      <c r="C359" s="138" t="s">
        <v>586</v>
      </c>
      <c r="D359" s="137">
        <f>SUM(F359:J359)</f>
        <v>3.6</v>
      </c>
      <c r="E359" s="137">
        <f>'[1]road inventory 2018'!C328</f>
        <v>3.6</v>
      </c>
      <c r="F359" s="137">
        <v>3.31</v>
      </c>
      <c r="G359" s="137">
        <v>0</v>
      </c>
      <c r="H359" s="137">
        <v>0</v>
      </c>
      <c r="I359" s="137">
        <v>0.28999999999999998</v>
      </c>
      <c r="J359" s="137">
        <v>0</v>
      </c>
      <c r="K359" s="138" t="s">
        <v>206</v>
      </c>
      <c r="L359" s="138"/>
      <c r="M359" s="139"/>
      <c r="O359" s="134">
        <f t="shared" si="30"/>
        <v>3.6</v>
      </c>
      <c r="P359" s="134"/>
    </row>
    <row r="360" spans="1:22" ht="18" customHeight="1" x14ac:dyDescent="0.35">
      <c r="A360" s="116">
        <v>4</v>
      </c>
      <c r="B360" s="135">
        <v>176</v>
      </c>
      <c r="C360" s="138" t="s">
        <v>587</v>
      </c>
      <c r="D360" s="137">
        <f>+F360+I360+H360</f>
        <v>20.678999999999998</v>
      </c>
      <c r="E360" s="137">
        <f>'[1]road inventory 2018'!C329</f>
        <v>20.5</v>
      </c>
      <c r="F360" s="137">
        <v>5.21</v>
      </c>
      <c r="G360" s="137">
        <v>0</v>
      </c>
      <c r="H360" s="137">
        <v>0</v>
      </c>
      <c r="I360" s="137">
        <f>17-1.531</f>
        <v>15.468999999999999</v>
      </c>
      <c r="J360" s="137">
        <v>0</v>
      </c>
      <c r="K360" s="138" t="s">
        <v>206</v>
      </c>
      <c r="L360" s="138"/>
      <c r="M360" s="139"/>
      <c r="O360" s="134">
        <f t="shared" si="30"/>
        <v>20.678999999999998</v>
      </c>
      <c r="P360" s="134"/>
    </row>
    <row r="361" spans="1:22" ht="18" customHeight="1" x14ac:dyDescent="0.35">
      <c r="A361" s="116">
        <v>5</v>
      </c>
      <c r="B361" s="135">
        <v>177</v>
      </c>
      <c r="C361" s="138" t="s">
        <v>588</v>
      </c>
      <c r="D361" s="137">
        <v>13.55</v>
      </c>
      <c r="E361" s="137">
        <f>'[1]road inventory 2018'!C330</f>
        <v>13.5</v>
      </c>
      <c r="F361" s="137">
        <f>D361</f>
        <v>13.55</v>
      </c>
      <c r="G361" s="137">
        <v>0</v>
      </c>
      <c r="H361" s="137">
        <v>0</v>
      </c>
      <c r="I361" s="137">
        <v>0</v>
      </c>
      <c r="J361" s="137">
        <v>0</v>
      </c>
      <c r="K361" s="141" t="s">
        <v>209</v>
      </c>
      <c r="L361" s="138"/>
      <c r="M361" s="139"/>
      <c r="O361" s="134">
        <f t="shared" si="30"/>
        <v>13.55</v>
      </c>
      <c r="P361" s="134"/>
    </row>
    <row r="362" spans="1:22" ht="18" customHeight="1" x14ac:dyDescent="0.35">
      <c r="A362" s="116">
        <v>6</v>
      </c>
      <c r="B362" s="135">
        <v>172</v>
      </c>
      <c r="C362" s="138" t="s">
        <v>589</v>
      </c>
      <c r="D362" s="137">
        <f>SUM(F362:J362)</f>
        <v>5.266</v>
      </c>
      <c r="E362" s="137">
        <f>'[1]road inventory 2018'!C331</f>
        <v>5.7</v>
      </c>
      <c r="F362" s="137">
        <v>1.02</v>
      </c>
      <c r="G362" s="137">
        <v>0</v>
      </c>
      <c r="H362" s="137">
        <v>0</v>
      </c>
      <c r="I362" s="137">
        <f>1.26-0.434</f>
        <v>0.82600000000000007</v>
      </c>
      <c r="J362" s="137">
        <v>3.42</v>
      </c>
      <c r="K362" s="141" t="s">
        <v>209</v>
      </c>
      <c r="L362" s="138"/>
      <c r="M362" s="139"/>
      <c r="O362" s="134">
        <f t="shared" si="30"/>
        <v>5.266</v>
      </c>
      <c r="P362" s="134"/>
      <c r="V362" s="140">
        <f>D405+E381+E382+E383+E384+E368+E365+E363+E358+E338+E336+E335+E331+E326+E314+E309</f>
        <v>114.55099999999999</v>
      </c>
    </row>
    <row r="363" spans="1:22" ht="36" x14ac:dyDescent="0.35">
      <c r="A363" s="116">
        <v>7</v>
      </c>
      <c r="B363" s="135">
        <v>178</v>
      </c>
      <c r="C363" s="138" t="s">
        <v>296</v>
      </c>
      <c r="D363" s="137">
        <v>25.54</v>
      </c>
      <c r="E363" s="137">
        <f>'[1]road inventory 2018'!C332</f>
        <v>25.54</v>
      </c>
      <c r="F363" s="137">
        <v>1.23</v>
      </c>
      <c r="G363" s="137">
        <v>0</v>
      </c>
      <c r="H363" s="137">
        <v>0</v>
      </c>
      <c r="I363" s="137">
        <v>24.31</v>
      </c>
      <c r="J363" s="137">
        <v>0</v>
      </c>
      <c r="K363" s="138" t="s">
        <v>206</v>
      </c>
      <c r="L363" s="138"/>
      <c r="M363" s="139"/>
      <c r="N363" s="118" t="s">
        <v>319</v>
      </c>
      <c r="O363" s="134">
        <f t="shared" si="30"/>
        <v>25.54</v>
      </c>
      <c r="P363" s="134"/>
    </row>
    <row r="364" spans="1:22" ht="18" customHeight="1" x14ac:dyDescent="0.35">
      <c r="A364" s="116">
        <v>8</v>
      </c>
      <c r="B364" s="135">
        <v>179</v>
      </c>
      <c r="C364" s="138" t="s">
        <v>590</v>
      </c>
      <c r="D364" s="137">
        <f t="shared" ref="D364:D369" si="31">+F364+G364+I364</f>
        <v>9.4499999999999993</v>
      </c>
      <c r="E364" s="137">
        <f>'[1]road inventory 2018'!C333</f>
        <v>9.4</v>
      </c>
      <c r="F364" s="137">
        <v>0.43</v>
      </c>
      <c r="G364" s="137">
        <v>0</v>
      </c>
      <c r="H364" s="137">
        <v>0</v>
      </c>
      <c r="I364" s="137">
        <v>9.02</v>
      </c>
      <c r="J364" s="137">
        <v>0</v>
      </c>
      <c r="K364" s="141" t="s">
        <v>206</v>
      </c>
      <c r="L364" s="138"/>
      <c r="M364" s="139"/>
      <c r="N364" s="118" t="s">
        <v>319</v>
      </c>
      <c r="O364" s="134">
        <f t="shared" si="30"/>
        <v>9.4499999999999993</v>
      </c>
      <c r="P364" s="134"/>
    </row>
    <row r="365" spans="1:22" ht="18" customHeight="1" x14ac:dyDescent="0.35">
      <c r="A365" s="116">
        <v>9</v>
      </c>
      <c r="B365" s="135">
        <v>180</v>
      </c>
      <c r="C365" s="138" t="s">
        <v>591</v>
      </c>
      <c r="D365" s="137">
        <v>2.42</v>
      </c>
      <c r="E365" s="137">
        <f>'[1]road inventory 2018'!C334</f>
        <v>2.42</v>
      </c>
      <c r="F365" s="137">
        <v>0</v>
      </c>
      <c r="G365" s="137">
        <v>0</v>
      </c>
      <c r="H365" s="137">
        <v>0</v>
      </c>
      <c r="I365" s="137">
        <v>2.42</v>
      </c>
      <c r="J365" s="137">
        <v>0</v>
      </c>
      <c r="K365" s="138" t="s">
        <v>206</v>
      </c>
      <c r="L365" s="138"/>
      <c r="M365" s="139"/>
      <c r="O365" s="134">
        <f t="shared" si="30"/>
        <v>2.42</v>
      </c>
      <c r="P365" s="134"/>
    </row>
    <row r="366" spans="1:22" ht="36" x14ac:dyDescent="0.35">
      <c r="A366" s="116">
        <v>10</v>
      </c>
      <c r="B366" s="135">
        <v>181</v>
      </c>
      <c r="C366" s="138" t="s">
        <v>592</v>
      </c>
      <c r="D366" s="137">
        <f t="shared" si="31"/>
        <v>4.03</v>
      </c>
      <c r="E366" s="137">
        <f>'[1]road inventory 2018'!C335</f>
        <v>4.9000000000000004</v>
      </c>
      <c r="F366" s="137">
        <v>4.03</v>
      </c>
      <c r="G366" s="137">
        <v>0</v>
      </c>
      <c r="H366" s="137">
        <v>0</v>
      </c>
      <c r="I366" s="137">
        <v>0</v>
      </c>
      <c r="J366" s="137">
        <v>0</v>
      </c>
      <c r="K366" s="141" t="s">
        <v>209</v>
      </c>
      <c r="L366" s="138"/>
      <c r="M366" s="139"/>
      <c r="O366" s="134">
        <f t="shared" si="30"/>
        <v>4.03</v>
      </c>
      <c r="P366" s="134"/>
    </row>
    <row r="367" spans="1:22" ht="36" x14ac:dyDescent="0.35">
      <c r="A367" s="116">
        <v>11</v>
      </c>
      <c r="B367" s="135">
        <v>182</v>
      </c>
      <c r="C367" s="138" t="s">
        <v>593</v>
      </c>
      <c r="D367" s="137">
        <v>16.57</v>
      </c>
      <c r="E367" s="137">
        <f>'[1]road inventory 2018'!C336</f>
        <v>16</v>
      </c>
      <c r="F367" s="137">
        <f>D367</f>
        <v>16.57</v>
      </c>
      <c r="G367" s="137">
        <v>0</v>
      </c>
      <c r="H367" s="137">
        <v>0</v>
      </c>
      <c r="I367" s="137">
        <v>0</v>
      </c>
      <c r="J367" s="137">
        <v>0</v>
      </c>
      <c r="K367" s="138" t="s">
        <v>209</v>
      </c>
      <c r="L367" s="138"/>
      <c r="M367" s="139"/>
      <c r="O367" s="134">
        <f t="shared" si="30"/>
        <v>16.57</v>
      </c>
      <c r="P367" s="134"/>
    </row>
    <row r="368" spans="1:22" ht="18" customHeight="1" x14ac:dyDescent="0.35">
      <c r="A368" s="116">
        <v>12</v>
      </c>
      <c r="B368" s="135">
        <v>183</v>
      </c>
      <c r="C368" s="138" t="s">
        <v>594</v>
      </c>
      <c r="D368" s="137">
        <v>1.7</v>
      </c>
      <c r="E368" s="137">
        <f>'[1]road inventory 2018'!C337</f>
        <v>1.7</v>
      </c>
      <c r="F368" s="137">
        <v>0</v>
      </c>
      <c r="G368" s="137">
        <v>0</v>
      </c>
      <c r="H368" s="137">
        <v>0</v>
      </c>
      <c r="I368" s="137">
        <v>1.7</v>
      </c>
      <c r="J368" s="137">
        <v>0</v>
      </c>
      <c r="K368" s="138" t="s">
        <v>206</v>
      </c>
      <c r="L368" s="138"/>
      <c r="M368" s="139"/>
      <c r="N368" s="118" t="s">
        <v>319</v>
      </c>
      <c r="O368" s="134">
        <f t="shared" si="30"/>
        <v>1.7</v>
      </c>
      <c r="P368" s="134"/>
    </row>
    <row r="369" spans="1:17" ht="18" customHeight="1" x14ac:dyDescent="0.35">
      <c r="A369" s="116">
        <v>13</v>
      </c>
      <c r="B369" s="135">
        <v>184</v>
      </c>
      <c r="C369" s="138" t="s">
        <v>595</v>
      </c>
      <c r="D369" s="137">
        <f t="shared" si="31"/>
        <v>12.03</v>
      </c>
      <c r="E369" s="137">
        <f>'[1]road inventory 2018'!C338</f>
        <v>12</v>
      </c>
      <c r="F369" s="137">
        <v>10.01</v>
      </c>
      <c r="G369" s="137">
        <v>0</v>
      </c>
      <c r="H369" s="137">
        <v>0</v>
      </c>
      <c r="I369" s="137">
        <v>2.02</v>
      </c>
      <c r="J369" s="137">
        <v>0</v>
      </c>
      <c r="K369" s="138" t="s">
        <v>209</v>
      </c>
      <c r="L369" s="138"/>
      <c r="M369" s="139"/>
      <c r="O369" s="134">
        <f t="shared" si="30"/>
        <v>12.03</v>
      </c>
      <c r="P369" s="134"/>
    </row>
    <row r="370" spans="1:17" ht="18" customHeight="1" x14ac:dyDescent="0.35">
      <c r="B370" s="135"/>
      <c r="C370" s="138"/>
      <c r="D370" s="137">
        <f>SUM(D357:D369)</f>
        <v>116.53500000000001</v>
      </c>
      <c r="E370" s="137">
        <f>SUM(E357:E369)</f>
        <v>116.96000000000001</v>
      </c>
      <c r="F370" s="137"/>
      <c r="G370" s="137"/>
      <c r="H370" s="137"/>
      <c r="I370" s="137"/>
      <c r="J370" s="137"/>
      <c r="K370" s="138"/>
      <c r="L370" s="138"/>
      <c r="M370" s="139"/>
      <c r="P370" s="134">
        <f>SUM(O357:O369)</f>
        <v>116.53500000000001</v>
      </c>
    </row>
    <row r="371" spans="1:17" s="207" customFormat="1" ht="18" customHeight="1" thickBot="1" x14ac:dyDescent="0.4">
      <c r="B371" s="145" t="s">
        <v>341</v>
      </c>
      <c r="C371" s="178"/>
      <c r="D371" s="147">
        <f>SUM(D357:D369)</f>
        <v>116.53500000000001</v>
      </c>
      <c r="E371" s="147"/>
      <c r="F371" s="147">
        <f>SUM(F357:F369)</f>
        <v>57.059999999999995</v>
      </c>
      <c r="G371" s="147">
        <f>SUM(G357:G369)</f>
        <v>0</v>
      </c>
      <c r="H371" s="147">
        <f>SUM(H357:H369)</f>
        <v>0</v>
      </c>
      <c r="I371" s="147">
        <f>SUM(I357:I369)</f>
        <v>56.055</v>
      </c>
      <c r="J371" s="147">
        <f>SUM(J357:J369)</f>
        <v>3.42</v>
      </c>
      <c r="K371" s="148"/>
      <c r="L371" s="146"/>
      <c r="M371" s="149"/>
      <c r="N371" s="150"/>
      <c r="O371" s="150"/>
      <c r="P371" s="150"/>
      <c r="Q371" s="228">
        <f>SUM(F371:J371)</f>
        <v>116.535</v>
      </c>
    </row>
    <row r="372" spans="1:17" ht="7.5" customHeight="1" thickBot="1" x14ac:dyDescent="0.4">
      <c r="B372" s="191"/>
      <c r="C372" s="160"/>
      <c r="D372" s="162"/>
      <c r="E372" s="162"/>
      <c r="F372" s="162"/>
      <c r="G372" s="162"/>
      <c r="H372" s="162"/>
      <c r="I372" s="162"/>
      <c r="J372" s="162"/>
      <c r="K372" s="162"/>
      <c r="L372" s="160"/>
      <c r="M372" s="160"/>
    </row>
    <row r="373" spans="1:17" s="113" customFormat="1" ht="15.75" customHeight="1" thickBot="1" x14ac:dyDescent="0.4">
      <c r="B373" s="1156" t="s">
        <v>596</v>
      </c>
      <c r="C373" s="1157"/>
      <c r="D373" s="1157"/>
      <c r="E373" s="1157"/>
      <c r="F373" s="1157"/>
      <c r="G373" s="1157"/>
      <c r="H373" s="1157"/>
      <c r="I373" s="1157"/>
      <c r="J373" s="1157"/>
      <c r="K373" s="1157"/>
      <c r="L373" s="1157"/>
      <c r="M373" s="1158"/>
      <c r="Q373" s="115"/>
    </row>
    <row r="374" spans="1:17" s="113" customFormat="1" ht="6.75" customHeight="1" thickBot="1" x14ac:dyDescent="0.4">
      <c r="B374" s="159"/>
      <c r="C374" s="160"/>
      <c r="D374" s="161"/>
      <c r="E374" s="161"/>
      <c r="F374" s="161"/>
      <c r="G374" s="161"/>
      <c r="H374" s="161"/>
      <c r="I374" s="161"/>
      <c r="J374" s="161"/>
      <c r="K374" s="162"/>
      <c r="L374" s="163"/>
      <c r="M374" s="163"/>
      <c r="N374" s="125"/>
      <c r="O374" s="125"/>
      <c r="P374" s="125"/>
      <c r="Q374" s="115"/>
    </row>
    <row r="375" spans="1:17" s="113" customFormat="1" ht="16.5" customHeight="1" x14ac:dyDescent="0.35">
      <c r="B375" s="1159" t="s">
        <v>302</v>
      </c>
      <c r="C375" s="1161" t="s">
        <v>28</v>
      </c>
      <c r="D375" s="1163" t="s">
        <v>343</v>
      </c>
      <c r="E375" s="165"/>
      <c r="F375" s="1165" t="s">
        <v>305</v>
      </c>
      <c r="G375" s="1166"/>
      <c r="H375" s="1166"/>
      <c r="I375" s="1166"/>
      <c r="J375" s="1167"/>
      <c r="K375" s="1161" t="s">
        <v>29</v>
      </c>
      <c r="L375" s="1161" t="s">
        <v>306</v>
      </c>
      <c r="M375" s="1168" t="str">
        <f>M355</f>
        <v>REMARKS</v>
      </c>
      <c r="N375" s="125"/>
      <c r="O375" s="125"/>
      <c r="P375" s="125"/>
      <c r="Q375" s="115"/>
    </row>
    <row r="376" spans="1:17" s="113" customFormat="1" ht="21" customHeight="1" thickBot="1" x14ac:dyDescent="0.4">
      <c r="B376" s="1160"/>
      <c r="C376" s="1162"/>
      <c r="D376" s="1164"/>
      <c r="E376" s="166"/>
      <c r="F376" s="127" t="s">
        <v>308</v>
      </c>
      <c r="G376" s="127" t="s">
        <v>309</v>
      </c>
      <c r="H376" s="127" t="s">
        <v>310</v>
      </c>
      <c r="I376" s="127" t="s">
        <v>311</v>
      </c>
      <c r="J376" s="127" t="s">
        <v>312</v>
      </c>
      <c r="K376" s="1162"/>
      <c r="L376" s="1162"/>
      <c r="M376" s="1169"/>
      <c r="N376" s="125"/>
      <c r="O376" s="125"/>
      <c r="P376" s="125"/>
      <c r="Q376" s="115"/>
    </row>
    <row r="377" spans="1:17" ht="18" customHeight="1" x14ac:dyDescent="0.35">
      <c r="A377" s="116">
        <v>1</v>
      </c>
      <c r="B377" s="128">
        <v>187</v>
      </c>
      <c r="C377" s="132" t="s">
        <v>597</v>
      </c>
      <c r="D377" s="131">
        <v>0.44600000000000001</v>
      </c>
      <c r="E377" s="131">
        <f>'[1]road inventory 2018'!C345</f>
        <v>0.504</v>
      </c>
      <c r="F377" s="130">
        <f>D377</f>
        <v>0.44600000000000001</v>
      </c>
      <c r="G377" s="130">
        <v>0</v>
      </c>
      <c r="H377" s="130">
        <v>0</v>
      </c>
      <c r="I377" s="130">
        <v>0</v>
      </c>
      <c r="J377" s="130">
        <v>0</v>
      </c>
      <c r="K377" s="132" t="str">
        <f>K368</f>
        <v>FAIR</v>
      </c>
      <c r="L377" s="132"/>
      <c r="M377" s="133"/>
      <c r="O377" s="118">
        <f>D377</f>
        <v>0.44600000000000001</v>
      </c>
    </row>
    <row r="378" spans="1:17" ht="18" customHeight="1" x14ac:dyDescent="0.35">
      <c r="A378" s="116">
        <v>2</v>
      </c>
      <c r="B378" s="135">
        <v>188</v>
      </c>
      <c r="C378" s="138" t="s">
        <v>598</v>
      </c>
      <c r="D378" s="141">
        <f>+I378+G378+F378</f>
        <v>0.158</v>
      </c>
      <c r="E378" s="141">
        <f>'[1]road inventory 2018'!C346</f>
        <v>0.158</v>
      </c>
      <c r="F378" s="137">
        <v>0.158</v>
      </c>
      <c r="G378" s="137">
        <v>0</v>
      </c>
      <c r="H378" s="137">
        <v>0</v>
      </c>
      <c r="I378" s="137">
        <v>0</v>
      </c>
      <c r="J378" s="137">
        <v>0</v>
      </c>
      <c r="K378" s="138" t="str">
        <f>K368</f>
        <v>FAIR</v>
      </c>
      <c r="L378" s="138"/>
      <c r="M378" s="139"/>
      <c r="O378" s="118">
        <f t="shared" ref="O378:O384" si="32">D378</f>
        <v>0.158</v>
      </c>
    </row>
    <row r="379" spans="1:17" ht="18" customHeight="1" x14ac:dyDescent="0.35">
      <c r="A379" s="116">
        <v>3</v>
      </c>
      <c r="B379" s="135">
        <v>189</v>
      </c>
      <c r="C379" s="138" t="s">
        <v>599</v>
      </c>
      <c r="D379" s="141">
        <v>0.998</v>
      </c>
      <c r="E379" s="141">
        <f>'[1]road inventory 2018'!C347</f>
        <v>0.74199999999999999</v>
      </c>
      <c r="F379" s="137">
        <f>D379</f>
        <v>0.998</v>
      </c>
      <c r="G379" s="137">
        <v>0</v>
      </c>
      <c r="H379" s="137">
        <v>0</v>
      </c>
      <c r="I379" s="137">
        <v>0</v>
      </c>
      <c r="J379" s="137">
        <v>0</v>
      </c>
      <c r="K379" s="138" t="s">
        <v>206</v>
      </c>
      <c r="L379" s="138"/>
      <c r="M379" s="139"/>
      <c r="O379" s="118">
        <f t="shared" si="32"/>
        <v>0.998</v>
      </c>
    </row>
    <row r="380" spans="1:17" x14ac:dyDescent="0.35">
      <c r="A380" s="116">
        <v>4</v>
      </c>
      <c r="B380" s="135">
        <v>185</v>
      </c>
      <c r="C380" s="28" t="s">
        <v>600</v>
      </c>
      <c r="D380" s="234">
        <f>+I380+G380+F380</f>
        <v>12.03</v>
      </c>
      <c r="E380" s="141">
        <f>'[1]road inventory 2018'!C348</f>
        <v>10.9</v>
      </c>
      <c r="F380" s="137">
        <v>10.01</v>
      </c>
      <c r="G380" s="137">
        <v>0</v>
      </c>
      <c r="H380" s="137">
        <v>0</v>
      </c>
      <c r="I380" s="137">
        <v>2.02</v>
      </c>
      <c r="J380" s="137">
        <v>0</v>
      </c>
      <c r="K380" s="138" t="s">
        <v>209</v>
      </c>
      <c r="L380" s="138"/>
      <c r="M380" s="139"/>
      <c r="O380" s="118">
        <f t="shared" si="32"/>
        <v>12.03</v>
      </c>
    </row>
    <row r="381" spans="1:17" ht="18" customHeight="1" x14ac:dyDescent="0.35">
      <c r="A381" s="116">
        <v>5</v>
      </c>
      <c r="B381" s="135">
        <v>186</v>
      </c>
      <c r="C381" s="138" t="s">
        <v>601</v>
      </c>
      <c r="D381" s="234">
        <v>10.75</v>
      </c>
      <c r="E381" s="141">
        <f>'[1]road inventory 2018'!C349</f>
        <v>10.5</v>
      </c>
      <c r="F381" s="137">
        <v>0</v>
      </c>
      <c r="G381" s="137">
        <v>0</v>
      </c>
      <c r="H381" s="137">
        <v>0</v>
      </c>
      <c r="I381" s="137">
        <v>10.75</v>
      </c>
      <c r="J381" s="137">
        <v>0</v>
      </c>
      <c r="K381" s="138" t="s">
        <v>206</v>
      </c>
      <c r="L381" s="138"/>
      <c r="M381" s="139"/>
      <c r="N381" s="118" t="s">
        <v>319</v>
      </c>
      <c r="O381" s="118">
        <f t="shared" si="32"/>
        <v>10.75</v>
      </c>
    </row>
    <row r="382" spans="1:17" ht="18" customHeight="1" x14ac:dyDescent="0.35">
      <c r="A382" s="116">
        <v>6</v>
      </c>
      <c r="B382" s="135">
        <v>190</v>
      </c>
      <c r="C382" s="138" t="s">
        <v>602</v>
      </c>
      <c r="D382" s="234">
        <v>17.5</v>
      </c>
      <c r="E382" s="141">
        <f>'[1]road inventory 2018'!C350</f>
        <v>17.5</v>
      </c>
      <c r="F382" s="137">
        <v>0</v>
      </c>
      <c r="G382" s="137">
        <v>0</v>
      </c>
      <c r="H382" s="137">
        <v>0</v>
      </c>
      <c r="I382" s="137">
        <v>17.5</v>
      </c>
      <c r="J382" s="137">
        <v>0</v>
      </c>
      <c r="K382" s="138" t="s">
        <v>206</v>
      </c>
      <c r="L382" s="138"/>
      <c r="M382" s="139"/>
      <c r="O382" s="118">
        <f t="shared" si="32"/>
        <v>17.5</v>
      </c>
    </row>
    <row r="383" spans="1:17" ht="18" customHeight="1" x14ac:dyDescent="0.35">
      <c r="A383" s="116">
        <v>7</v>
      </c>
      <c r="B383" s="135">
        <v>191</v>
      </c>
      <c r="C383" s="138" t="s">
        <v>603</v>
      </c>
      <c r="D383" s="234">
        <v>3.5</v>
      </c>
      <c r="E383" s="141">
        <f>'[1]road inventory 2018'!C351</f>
        <v>3.5</v>
      </c>
      <c r="F383" s="137">
        <v>0</v>
      </c>
      <c r="G383" s="137">
        <v>0</v>
      </c>
      <c r="H383" s="137">
        <v>0</v>
      </c>
      <c r="I383" s="137">
        <v>3.5</v>
      </c>
      <c r="J383" s="137">
        <v>0</v>
      </c>
      <c r="K383" s="138" t="s">
        <v>206</v>
      </c>
      <c r="L383" s="138"/>
      <c r="M383" s="139"/>
      <c r="O383" s="118">
        <f t="shared" si="32"/>
        <v>3.5</v>
      </c>
    </row>
    <row r="384" spans="1:17" ht="18" customHeight="1" x14ac:dyDescent="0.35">
      <c r="A384" s="116">
        <v>8</v>
      </c>
      <c r="B384" s="135">
        <v>230</v>
      </c>
      <c r="C384" s="138" t="s">
        <v>604</v>
      </c>
      <c r="D384" s="234">
        <v>1.58</v>
      </c>
      <c r="E384" s="141">
        <f>'[1]road inventory 2018'!C352</f>
        <v>1.58</v>
      </c>
      <c r="F384" s="137">
        <v>0</v>
      </c>
      <c r="G384" s="137">
        <v>0</v>
      </c>
      <c r="H384" s="137">
        <v>0</v>
      </c>
      <c r="I384" s="137">
        <v>1.58</v>
      </c>
      <c r="J384" s="137">
        <v>0</v>
      </c>
      <c r="K384" s="138" t="s">
        <v>210</v>
      </c>
      <c r="L384" s="138"/>
      <c r="M384" s="139"/>
      <c r="O384" s="118">
        <f t="shared" si="32"/>
        <v>1.58</v>
      </c>
    </row>
    <row r="385" spans="1:17" s="207" customFormat="1" ht="18" customHeight="1" thickBot="1" x14ac:dyDescent="0.4">
      <c r="B385" s="145" t="s">
        <v>341</v>
      </c>
      <c r="C385" s="178"/>
      <c r="D385" s="147">
        <f t="shared" ref="D385:J385" si="33">SUM(D377:D384)</f>
        <v>46.961999999999996</v>
      </c>
      <c r="E385" s="147">
        <f t="shared" si="33"/>
        <v>45.384</v>
      </c>
      <c r="F385" s="147">
        <f t="shared" si="33"/>
        <v>11.612</v>
      </c>
      <c r="G385" s="147">
        <f t="shared" si="33"/>
        <v>0</v>
      </c>
      <c r="H385" s="147">
        <f t="shared" si="33"/>
        <v>0</v>
      </c>
      <c r="I385" s="147">
        <f t="shared" si="33"/>
        <v>35.349999999999994</v>
      </c>
      <c r="J385" s="147">
        <f t="shared" si="33"/>
        <v>0</v>
      </c>
      <c r="K385" s="148"/>
      <c r="L385" s="146"/>
      <c r="M385" s="149"/>
      <c r="N385" s="150"/>
      <c r="O385" s="150"/>
      <c r="P385" s="150">
        <f>SUM(O377:O384)</f>
        <v>46.961999999999996</v>
      </c>
      <c r="Q385" s="228">
        <f>SUM(F385:J385)</f>
        <v>46.961999999999996</v>
      </c>
    </row>
    <row r="386" spans="1:17" s="207" customFormat="1" ht="6" customHeight="1" x14ac:dyDescent="0.35">
      <c r="B386" s="201"/>
      <c r="C386" s="202"/>
      <c r="D386" s="203"/>
      <c r="E386" s="203"/>
      <c r="F386" s="203"/>
      <c r="G386" s="203"/>
      <c r="H386" s="203"/>
      <c r="I386" s="203"/>
      <c r="J386" s="203"/>
      <c r="K386" s="204"/>
      <c r="L386" s="205"/>
      <c r="M386" s="205"/>
      <c r="N386" s="150"/>
      <c r="O386" s="150"/>
      <c r="P386" s="150"/>
      <c r="Q386" s="228"/>
    </row>
    <row r="387" spans="1:17" ht="7.5" customHeight="1" thickBot="1" x14ac:dyDescent="0.4">
      <c r="B387" s="222"/>
      <c r="C387" s="121"/>
      <c r="D387" s="123"/>
      <c r="E387" s="123"/>
      <c r="F387" s="123"/>
      <c r="G387" s="123"/>
      <c r="H387" s="123"/>
      <c r="I387" s="123"/>
      <c r="J387" s="123"/>
      <c r="K387" s="123"/>
      <c r="L387" s="121"/>
      <c r="M387" s="121"/>
    </row>
    <row r="388" spans="1:17" s="113" customFormat="1" ht="18.5" thickBot="1" x14ac:dyDescent="0.4">
      <c r="B388" s="1156" t="s">
        <v>605</v>
      </c>
      <c r="C388" s="1157"/>
      <c r="D388" s="1157"/>
      <c r="E388" s="1157"/>
      <c r="F388" s="1157"/>
      <c r="G388" s="1157"/>
      <c r="H388" s="1157"/>
      <c r="I388" s="1157"/>
      <c r="J388" s="1157"/>
      <c r="K388" s="1157"/>
      <c r="L388" s="1157"/>
      <c r="M388" s="1158"/>
      <c r="Q388" s="115"/>
    </row>
    <row r="389" spans="1:17" s="113" customFormat="1" ht="9" customHeight="1" thickBot="1" x14ac:dyDescent="0.4">
      <c r="B389" s="159"/>
      <c r="C389" s="160"/>
      <c r="D389" s="161"/>
      <c r="E389" s="161"/>
      <c r="F389" s="161"/>
      <c r="G389" s="161"/>
      <c r="H389" s="161"/>
      <c r="I389" s="161"/>
      <c r="J389" s="161"/>
      <c r="K389" s="162"/>
      <c r="L389" s="163"/>
      <c r="M389" s="163"/>
      <c r="N389" s="125"/>
      <c r="O389" s="125"/>
      <c r="P389" s="125"/>
      <c r="Q389" s="115"/>
    </row>
    <row r="390" spans="1:17" s="113" customFormat="1" ht="21" customHeight="1" x14ac:dyDescent="0.35">
      <c r="B390" s="1159" t="s">
        <v>302</v>
      </c>
      <c r="C390" s="1161" t="s">
        <v>28</v>
      </c>
      <c r="D390" s="1163" t="s">
        <v>343</v>
      </c>
      <c r="E390" s="165"/>
      <c r="F390" s="1165" t="s">
        <v>305</v>
      </c>
      <c r="G390" s="1166"/>
      <c r="H390" s="1166"/>
      <c r="I390" s="1166"/>
      <c r="J390" s="1167"/>
      <c r="K390" s="1161" t="s">
        <v>29</v>
      </c>
      <c r="L390" s="1161" t="s">
        <v>306</v>
      </c>
      <c r="M390" s="1168" t="str">
        <f>M375</f>
        <v>REMARKS</v>
      </c>
      <c r="N390" s="125"/>
      <c r="O390" s="125"/>
      <c r="P390" s="125"/>
      <c r="Q390" s="115"/>
    </row>
    <row r="391" spans="1:17" s="113" customFormat="1" ht="21" customHeight="1" thickBot="1" x14ac:dyDescent="0.4">
      <c r="B391" s="1160"/>
      <c r="C391" s="1162"/>
      <c r="D391" s="1164"/>
      <c r="E391" s="166"/>
      <c r="F391" s="127" t="s">
        <v>308</v>
      </c>
      <c r="G391" s="127" t="s">
        <v>309</v>
      </c>
      <c r="H391" s="127" t="s">
        <v>310</v>
      </c>
      <c r="I391" s="127" t="s">
        <v>311</v>
      </c>
      <c r="J391" s="127" t="s">
        <v>312</v>
      </c>
      <c r="K391" s="1162"/>
      <c r="L391" s="1162"/>
      <c r="M391" s="1169"/>
      <c r="N391" s="125"/>
      <c r="O391" s="125"/>
      <c r="P391" s="125"/>
      <c r="Q391" s="115"/>
    </row>
    <row r="392" spans="1:17" x14ac:dyDescent="0.35">
      <c r="A392" s="116">
        <v>1</v>
      </c>
      <c r="B392" s="128">
        <v>192</v>
      </c>
      <c r="C392" s="132" t="s">
        <v>606</v>
      </c>
      <c r="D392" s="235">
        <f>SUM(F392:J392)</f>
        <v>9.4560000000000013</v>
      </c>
      <c r="E392" s="235">
        <f>'[1]road inventory 2018'!C359</f>
        <v>17</v>
      </c>
      <c r="F392" s="130">
        <v>8.8859999999999992</v>
      </c>
      <c r="G392" s="130">
        <v>0</v>
      </c>
      <c r="H392" s="130">
        <v>0.06</v>
      </c>
      <c r="I392" s="130">
        <v>0.05</v>
      </c>
      <c r="J392" s="130">
        <v>0.46</v>
      </c>
      <c r="K392" s="132" t="s">
        <v>209</v>
      </c>
      <c r="L392" s="132"/>
      <c r="M392" s="133"/>
      <c r="O392" s="236">
        <f>D392</f>
        <v>9.4560000000000013</v>
      </c>
      <c r="P392" s="236"/>
    </row>
    <row r="393" spans="1:17" ht="36" x14ac:dyDescent="0.35">
      <c r="A393" s="116">
        <v>2</v>
      </c>
      <c r="B393" s="135">
        <v>193</v>
      </c>
      <c r="C393" s="138" t="s">
        <v>607</v>
      </c>
      <c r="D393" s="234">
        <v>1.53</v>
      </c>
      <c r="E393" s="234">
        <f>'[1]road inventory 2018'!C360</f>
        <v>1.8</v>
      </c>
      <c r="F393" s="137">
        <v>1.53</v>
      </c>
      <c r="G393" s="137">
        <v>0</v>
      </c>
      <c r="H393" s="137">
        <v>0</v>
      </c>
      <c r="I393" s="137">
        <v>0</v>
      </c>
      <c r="J393" s="137">
        <v>0</v>
      </c>
      <c r="K393" s="138" t="s">
        <v>206</v>
      </c>
      <c r="L393" s="138"/>
      <c r="M393" s="139"/>
      <c r="O393" s="236">
        <f>D393</f>
        <v>1.53</v>
      </c>
      <c r="P393" s="236"/>
    </row>
    <row r="394" spans="1:17" ht="36" x14ac:dyDescent="0.35">
      <c r="A394" s="116">
        <v>3</v>
      </c>
      <c r="B394" s="135">
        <v>194</v>
      </c>
      <c r="C394" s="138" t="s">
        <v>608</v>
      </c>
      <c r="D394" s="234">
        <f>SUM(F394:J394)</f>
        <v>5.1180000000000003</v>
      </c>
      <c r="E394" s="234">
        <f>'[1]road inventory 2018'!C361</f>
        <v>5.3</v>
      </c>
      <c r="F394" s="137">
        <v>3.5409999999999999</v>
      </c>
      <c r="G394" s="137">
        <v>0</v>
      </c>
      <c r="H394" s="137">
        <v>0</v>
      </c>
      <c r="I394" s="137">
        <v>1.577</v>
      </c>
      <c r="J394" s="137">
        <v>0</v>
      </c>
      <c r="K394" s="138" t="s">
        <v>206</v>
      </c>
      <c r="L394" s="138"/>
      <c r="M394" s="139"/>
      <c r="O394" s="236">
        <f>D394</f>
        <v>5.1180000000000003</v>
      </c>
      <c r="P394" s="236"/>
    </row>
    <row r="395" spans="1:17" x14ac:dyDescent="0.35">
      <c r="B395" s="135"/>
      <c r="C395" s="138"/>
      <c r="D395" s="234"/>
      <c r="E395" s="234"/>
      <c r="F395" s="137"/>
      <c r="G395" s="137"/>
      <c r="H395" s="137"/>
      <c r="I395" s="137"/>
      <c r="J395" s="137"/>
      <c r="K395" s="138"/>
      <c r="L395" s="138"/>
      <c r="M395" s="139"/>
      <c r="P395" s="236">
        <f>SUM(O392:O394)</f>
        <v>16.103999999999999</v>
      </c>
    </row>
    <row r="396" spans="1:17" s="113" customFormat="1" ht="21" customHeight="1" x14ac:dyDescent="0.35">
      <c r="B396" s="1170" t="s">
        <v>302</v>
      </c>
      <c r="C396" s="1171" t="s">
        <v>28</v>
      </c>
      <c r="D396" s="1172" t="s">
        <v>343</v>
      </c>
      <c r="E396" s="199"/>
      <c r="F396" s="1173" t="s">
        <v>305</v>
      </c>
      <c r="G396" s="1173"/>
      <c r="H396" s="1173"/>
      <c r="I396" s="1173"/>
      <c r="J396" s="1173"/>
      <c r="K396" s="1171" t="s">
        <v>29</v>
      </c>
      <c r="L396" s="1171" t="s">
        <v>306</v>
      </c>
      <c r="M396" s="1155" t="str">
        <f>M390</f>
        <v>REMARKS</v>
      </c>
      <c r="N396" s="125"/>
      <c r="O396" s="125"/>
      <c r="P396" s="125"/>
      <c r="Q396" s="115"/>
    </row>
    <row r="397" spans="1:17" s="113" customFormat="1" ht="21" customHeight="1" x14ac:dyDescent="0.35">
      <c r="B397" s="1170"/>
      <c r="C397" s="1171"/>
      <c r="D397" s="1172"/>
      <c r="E397" s="199"/>
      <c r="F397" s="200" t="s">
        <v>308</v>
      </c>
      <c r="G397" s="200" t="s">
        <v>309</v>
      </c>
      <c r="H397" s="200" t="s">
        <v>310</v>
      </c>
      <c r="I397" s="200" t="s">
        <v>311</v>
      </c>
      <c r="J397" s="200" t="s">
        <v>312</v>
      </c>
      <c r="K397" s="1171"/>
      <c r="L397" s="1171"/>
      <c r="M397" s="1155"/>
      <c r="N397" s="125"/>
      <c r="O397" s="125"/>
      <c r="P397" s="125"/>
      <c r="Q397" s="115"/>
    </row>
    <row r="398" spans="1:17" ht="36" x14ac:dyDescent="0.35">
      <c r="A398" s="116">
        <v>4</v>
      </c>
      <c r="B398" s="135">
        <v>195</v>
      </c>
      <c r="C398" s="138" t="s">
        <v>609</v>
      </c>
      <c r="D398" s="234">
        <f>SUM(F398:J398)</f>
        <v>4.6000000000000005</v>
      </c>
      <c r="E398" s="234">
        <f>'[1]road inventory 2018'!C365</f>
        <v>3.9000000000000004</v>
      </c>
      <c r="F398" s="137">
        <v>1.2</v>
      </c>
      <c r="G398" s="137">
        <v>0</v>
      </c>
      <c r="H398" s="137">
        <v>0</v>
      </c>
      <c r="I398" s="137">
        <f>5.4-2</f>
        <v>3.4000000000000004</v>
      </c>
      <c r="J398" s="137">
        <v>0</v>
      </c>
      <c r="K398" s="138" t="s">
        <v>206</v>
      </c>
      <c r="L398" s="138"/>
      <c r="M398" s="139"/>
      <c r="O398" s="236">
        <f>D398</f>
        <v>4.6000000000000005</v>
      </c>
      <c r="P398" s="236"/>
    </row>
    <row r="399" spans="1:17" s="207" customFormat="1" ht="18" customHeight="1" thickBot="1" x14ac:dyDescent="0.4">
      <c r="B399" s="145" t="s">
        <v>341</v>
      </c>
      <c r="C399" s="178"/>
      <c r="D399" s="147">
        <f t="shared" ref="D399:J399" si="34">SUM(D392:D398)</f>
        <v>20.704000000000001</v>
      </c>
      <c r="E399" s="147">
        <f>SUM(E392:E398)</f>
        <v>28</v>
      </c>
      <c r="F399" s="147">
        <f t="shared" si="34"/>
        <v>15.156999999999998</v>
      </c>
      <c r="G399" s="147">
        <f t="shared" si="34"/>
        <v>0</v>
      </c>
      <c r="H399" s="147">
        <f t="shared" si="34"/>
        <v>0.06</v>
      </c>
      <c r="I399" s="147">
        <f t="shared" si="34"/>
        <v>5.0270000000000001</v>
      </c>
      <c r="J399" s="147">
        <f t="shared" si="34"/>
        <v>0.46</v>
      </c>
      <c r="K399" s="148"/>
      <c r="L399" s="146"/>
      <c r="M399" s="149"/>
      <c r="N399" s="150"/>
      <c r="O399" s="150"/>
      <c r="P399" s="237">
        <f>O398</f>
        <v>4.6000000000000005</v>
      </c>
      <c r="Q399" s="208"/>
    </row>
    <row r="400" spans="1:17" ht="18" customHeight="1" thickBot="1" x14ac:dyDescent="0.4">
      <c r="B400" s="159"/>
      <c r="C400" s="179"/>
      <c r="D400" s="180"/>
      <c r="E400" s="180"/>
      <c r="F400" s="180"/>
      <c r="G400" s="180"/>
      <c r="H400" s="180"/>
      <c r="I400" s="180"/>
      <c r="J400" s="180"/>
      <c r="K400" s="181"/>
      <c r="L400" s="163"/>
      <c r="M400" s="163"/>
      <c r="N400" s="125"/>
      <c r="O400" s="125"/>
      <c r="P400" s="125"/>
      <c r="Q400" s="238">
        <f>SUM(F399:J399)</f>
        <v>20.704000000000001</v>
      </c>
    </row>
    <row r="401" spans="1:17" s="113" customFormat="1" ht="18.5" thickBot="1" x14ac:dyDescent="0.4">
      <c r="B401" s="1156" t="s">
        <v>610</v>
      </c>
      <c r="C401" s="1157"/>
      <c r="D401" s="1157"/>
      <c r="E401" s="1157"/>
      <c r="F401" s="1157"/>
      <c r="G401" s="1157"/>
      <c r="H401" s="1157"/>
      <c r="I401" s="1157"/>
      <c r="J401" s="1157"/>
      <c r="K401" s="1157"/>
      <c r="L401" s="1157"/>
      <c r="M401" s="1158"/>
      <c r="Q401" s="115"/>
    </row>
    <row r="402" spans="1:17" s="113" customFormat="1" ht="18.5" thickBot="1" x14ac:dyDescent="0.4">
      <c r="B402" s="159"/>
      <c r="C402" s="160"/>
      <c r="D402" s="161"/>
      <c r="E402" s="161"/>
      <c r="F402" s="161"/>
      <c r="G402" s="161"/>
      <c r="H402" s="161"/>
      <c r="I402" s="161"/>
      <c r="J402" s="161"/>
      <c r="K402" s="162"/>
      <c r="L402" s="163"/>
      <c r="M402" s="163"/>
      <c r="N402" s="125"/>
      <c r="O402" s="125"/>
      <c r="P402" s="125"/>
      <c r="Q402" s="115"/>
    </row>
    <row r="403" spans="1:17" s="113" customFormat="1" ht="21" customHeight="1" x14ac:dyDescent="0.35">
      <c r="B403" s="1159" t="s">
        <v>302</v>
      </c>
      <c r="C403" s="1161" t="s">
        <v>28</v>
      </c>
      <c r="D403" s="1163" t="s">
        <v>343</v>
      </c>
      <c r="E403" s="165"/>
      <c r="F403" s="1165" t="s">
        <v>305</v>
      </c>
      <c r="G403" s="1166"/>
      <c r="H403" s="1166"/>
      <c r="I403" s="1166"/>
      <c r="J403" s="1167"/>
      <c r="K403" s="1161" t="s">
        <v>29</v>
      </c>
      <c r="L403" s="1161" t="s">
        <v>306</v>
      </c>
      <c r="M403" s="1168" t="str">
        <f>M396</f>
        <v>REMARKS</v>
      </c>
      <c r="N403" s="125"/>
      <c r="O403" s="125"/>
      <c r="P403" s="125"/>
      <c r="Q403" s="115"/>
    </row>
    <row r="404" spans="1:17" s="113" customFormat="1" ht="21" customHeight="1" thickBot="1" x14ac:dyDescent="0.4">
      <c r="B404" s="1160"/>
      <c r="C404" s="1162"/>
      <c r="D404" s="1164"/>
      <c r="E404" s="166"/>
      <c r="F404" s="127" t="s">
        <v>308</v>
      </c>
      <c r="G404" s="127" t="s">
        <v>309</v>
      </c>
      <c r="H404" s="127" t="s">
        <v>310</v>
      </c>
      <c r="I404" s="127" t="s">
        <v>311</v>
      </c>
      <c r="J404" s="127" t="s">
        <v>312</v>
      </c>
      <c r="K404" s="1162"/>
      <c r="L404" s="1162"/>
      <c r="M404" s="1169"/>
      <c r="N404" s="125"/>
      <c r="O404" s="125"/>
      <c r="P404" s="125"/>
      <c r="Q404" s="115"/>
    </row>
    <row r="405" spans="1:17" ht="18" customHeight="1" x14ac:dyDescent="0.35">
      <c r="A405" s="116">
        <v>1</v>
      </c>
      <c r="B405" s="128">
        <v>171</v>
      </c>
      <c r="C405" s="132" t="s">
        <v>611</v>
      </c>
      <c r="D405" s="130">
        <v>8.7409999999999997</v>
      </c>
      <c r="E405" s="130"/>
      <c r="F405" s="130">
        <v>1.18</v>
      </c>
      <c r="G405" s="130">
        <v>0</v>
      </c>
      <c r="H405" s="130">
        <v>0</v>
      </c>
      <c r="I405" s="130">
        <v>7.5609999999999999</v>
      </c>
      <c r="J405" s="130">
        <v>0</v>
      </c>
      <c r="K405" s="131" t="s">
        <v>206</v>
      </c>
      <c r="L405" s="132"/>
      <c r="M405" s="133"/>
      <c r="O405" s="134">
        <f>D405</f>
        <v>8.7409999999999997</v>
      </c>
      <c r="P405" s="134"/>
    </row>
    <row r="406" spans="1:17" ht="18" customHeight="1" x14ac:dyDescent="0.35">
      <c r="B406" s="135"/>
      <c r="C406" s="138"/>
      <c r="D406" s="137"/>
      <c r="E406" s="137"/>
      <c r="F406" s="137"/>
      <c r="G406" s="137"/>
      <c r="H406" s="137"/>
      <c r="I406" s="137"/>
      <c r="J406" s="137"/>
      <c r="K406" s="239"/>
      <c r="L406" s="240"/>
      <c r="M406" s="241"/>
      <c r="N406" s="125"/>
      <c r="O406" s="125"/>
      <c r="P406" s="196">
        <f>O405</f>
        <v>8.7409999999999997</v>
      </c>
    </row>
    <row r="407" spans="1:17" s="207" customFormat="1" ht="18" customHeight="1" x14ac:dyDescent="0.35">
      <c r="B407" s="242" t="s">
        <v>341</v>
      </c>
      <c r="C407" s="243"/>
      <c r="D407" s="244">
        <f t="shared" ref="D407:J407" si="35">+D405</f>
        <v>8.7409999999999997</v>
      </c>
      <c r="E407" s="244"/>
      <c r="F407" s="244">
        <f t="shared" si="35"/>
        <v>1.18</v>
      </c>
      <c r="G407" s="244">
        <f t="shared" si="35"/>
        <v>0</v>
      </c>
      <c r="H407" s="244">
        <f t="shared" si="35"/>
        <v>0</v>
      </c>
      <c r="I407" s="244">
        <f t="shared" si="35"/>
        <v>7.5609999999999999</v>
      </c>
      <c r="J407" s="244">
        <f t="shared" si="35"/>
        <v>0</v>
      </c>
      <c r="K407" s="245"/>
      <c r="L407" s="246"/>
      <c r="M407" s="247"/>
      <c r="N407" s="150"/>
      <c r="O407" s="150"/>
      <c r="P407" s="150"/>
      <c r="Q407" s="208"/>
    </row>
    <row r="408" spans="1:17" ht="18" customHeight="1" x14ac:dyDescent="0.35">
      <c r="B408" s="135"/>
      <c r="C408" s="138"/>
      <c r="D408" s="137"/>
      <c r="E408" s="137"/>
      <c r="F408" s="137"/>
      <c r="G408" s="137"/>
      <c r="H408" s="137"/>
      <c r="I408" s="137"/>
      <c r="J408" s="137"/>
      <c r="K408" s="239"/>
      <c r="L408" s="240"/>
      <c r="M408" s="241"/>
      <c r="N408" s="125"/>
      <c r="O408" s="125"/>
      <c r="P408" s="125"/>
    </row>
    <row r="409" spans="1:17" ht="18" customHeight="1" x14ac:dyDescent="0.35">
      <c r="B409" s="1151" t="s">
        <v>612</v>
      </c>
      <c r="C409" s="1152"/>
      <c r="D409" s="248">
        <f>D407+D399+D385+D371+D350+D341+D318+D303+D284+D260+D247+D232+D213</f>
        <v>778.43500000000006</v>
      </c>
      <c r="E409" s="248"/>
      <c r="F409" s="248">
        <f>+F407+F399+F385+F371+F350+F341+F318+F303+F284+F260+F247+F232+F213</f>
        <v>269.30399999999997</v>
      </c>
      <c r="G409" s="248">
        <f>+G407+G399+G385+G371+G350+G341+G318+G303+G284+G260+G247+G232+G213</f>
        <v>12.343</v>
      </c>
      <c r="H409" s="248">
        <f>+H407+H399+H385+H371+H350+H341+H318+H303+H284+H260+H247+H232+H213</f>
        <v>18.294</v>
      </c>
      <c r="I409" s="248">
        <f>+I407+I399+I385+I371+I350+I341+I318+I303+I284+I260+I247+I232+I213</f>
        <v>474.61400000000003</v>
      </c>
      <c r="J409" s="248">
        <f>+J407+J399+J385+J371+J350+J341+J318+J303+J284+J260+J247+J232+J213</f>
        <v>3.88</v>
      </c>
      <c r="K409" s="239"/>
      <c r="L409" s="240"/>
      <c r="M409" s="241"/>
      <c r="N409" s="125"/>
      <c r="O409" s="125"/>
      <c r="P409" s="125"/>
    </row>
    <row r="410" spans="1:17" ht="38.25" customHeight="1" thickBot="1" x14ac:dyDescent="0.4">
      <c r="B410" s="1153" t="s">
        <v>204</v>
      </c>
      <c r="C410" s="1154"/>
      <c r="D410" s="249">
        <f>+D409+D186</f>
        <v>1246.915</v>
      </c>
      <c r="E410" s="249"/>
      <c r="F410" s="249">
        <f>+F409+F186</f>
        <v>444.904</v>
      </c>
      <c r="G410" s="249">
        <f>+G409+G186</f>
        <v>12.343</v>
      </c>
      <c r="H410" s="249">
        <f>+H409+H186</f>
        <v>18.294</v>
      </c>
      <c r="I410" s="249">
        <f>+I409+I186</f>
        <v>762.96400000000006</v>
      </c>
      <c r="J410" s="249">
        <f>+J409+J186</f>
        <v>8.41</v>
      </c>
      <c r="K410" s="250"/>
      <c r="L410" s="251"/>
      <c r="M410" s="252"/>
      <c r="N410" s="125"/>
      <c r="O410" s="125"/>
      <c r="P410" s="125"/>
    </row>
    <row r="411" spans="1:17" ht="38.25" customHeight="1" x14ac:dyDescent="0.35">
      <c r="B411" s="185"/>
      <c r="C411" s="185"/>
      <c r="D411" s="126"/>
      <c r="E411" s="126"/>
      <c r="F411" s="126"/>
      <c r="G411" s="126"/>
      <c r="H411" s="126"/>
      <c r="I411" s="126"/>
      <c r="J411" s="126"/>
      <c r="K411" s="113"/>
      <c r="L411" s="125"/>
      <c r="M411" s="125"/>
      <c r="N411" s="125"/>
      <c r="O411" s="253">
        <f>SUM(O2:O410)</f>
        <v>1246.9149999999997</v>
      </c>
      <c r="P411" s="253">
        <f>SUM(P1:P410)</f>
        <v>1246.9149999999997</v>
      </c>
    </row>
    <row r="412" spans="1:17" ht="18" customHeight="1" x14ac:dyDescent="0.35">
      <c r="A412" s="116" t="e">
        <f>A405+A398+A384+A369+A348+A339+A316+A301+A282+A258+A245+A230+A211+A183+A174+A152+A110+A94+A86+A69+A33</f>
        <v>#VALUE!</v>
      </c>
    </row>
    <row r="413" spans="1:17" ht="18" customHeight="1" x14ac:dyDescent="0.35">
      <c r="D413" s="140"/>
      <c r="E413" s="140"/>
      <c r="G413" s="140"/>
      <c r="M413" s="117" t="s">
        <v>209</v>
      </c>
      <c r="N413" s="117"/>
    </row>
    <row r="414" spans="1:17" ht="18" customHeight="1" x14ac:dyDescent="0.35">
      <c r="D414" s="116">
        <v>1214.4829999999999</v>
      </c>
      <c r="M414" s="117" t="s">
        <v>206</v>
      </c>
      <c r="N414" s="117"/>
    </row>
    <row r="415" spans="1:17" ht="18" customHeight="1" x14ac:dyDescent="0.35">
      <c r="C415" s="134"/>
      <c r="D415" s="140">
        <f>D410-D414</f>
        <v>32.432000000000016</v>
      </c>
      <c r="E415" s="140"/>
      <c r="M415" s="117" t="s">
        <v>207</v>
      </c>
      <c r="N415" s="117"/>
    </row>
    <row r="416" spans="1:17" ht="18" customHeight="1" thickBot="1" x14ac:dyDescent="0.4">
      <c r="D416" s="254">
        <f>D405+D398+D394+D393+D392+D383+D382+D381+D380+D379+D378+D377+D369+D368+D367+D365+D361+D360+D359+D358+D357+D348+D347+D339+D338+D328+D327+D315+D312+D310+D309+D297+D295+D293+D292+D291+D282+D281+D277+D276+D272+D268+D267+D266+D257+D255+D245+D244+D243+D241+D240+D238+D230+D227+D226+D224+D223+D210+D209+D208+D207+D204+D203+D200+D197+D194+D193+D183+D171+D168+D167+D163+D162+D161+D152+D150+D149+D148+D147+D146+D143+D140+D139+D138+D137+D136+D135+D134+D133+D132+D131+D130+D127+D126+D125+D124+D123+D122+D121+D120+D119+D108+D107+D106+D105+D104+D94+D85+D84+D83+D82+D81+D80+D69+D66+D63+D62+D61+D60+D59+D58+D54+D53+D52+D51+D50+D49+D48+D47+D46+D45+D44+D32+D31+D30+D29+D27+D26+D24+D23+D22+D21+D20+D19+D17+D16+D13+D11+D10</f>
        <v>828.89799999999991</v>
      </c>
      <c r="E416" s="254"/>
      <c r="F416" s="254">
        <f>F405+F398+F394+F393+F392+F383+F382+F381+F380+F379+F378+F377+F369+F368+F367+F365+F361+F360+F359+F358+F357+F348+F347+F339+F338+F328+F327+F315+F312+F310+F309+F297+F295+F293+F292+F291+F282+F281+F277+F276+F272+F268+F267+F266+F257+F255+F245+F244+F243+F241+F240+F238+F230+F227+F226+F224+F223+F210+F209+F208+F207+F204+F203+F200+F197+F194+F193+F183+F171+F168+F167+F163+F162+F161+F152+F150+F149+F148+F147+F146+F143+F140+F139+F138+F137+F136+F135+F134+F133+F132+F131+F130+F127+F126+F125+F124+F123+F122+F121+F120+F119+F108+F107+F106+F105+F104+F94+F85+F84+F83+F82+F81+F80+F69+F66+F63+F62+F61+F60+F59+F58+F54+F53+F52+F51+F50+F49+F48+F47+F46+F45+F44+F32+F31+F30+F29+F27+F26+F24+F23+F22+F21+F20+F19+F17+F16+F13+F11+F10</f>
        <v>353.15699999999998</v>
      </c>
      <c r="G416" s="254">
        <f>G405+G398+G394+G393+G392+G383+G382+G381+G380+G379+G378+G377+G369+G368+G367+G365+G361+G360+G359+G358+G357+G348+G347+G339+G338+G328+G327+G315+G312+G310+G309+G297+G295+G293+G292+G291+G282+G281+G277+G276+G272+G268+G267+G266+G257+G255+G245+G244+G243+G241+G240+G238+G230+G227+G226+G224+G223+G210+G209+G208+G207+G204+G203+G200+G197+G194+G193+G183+G171+G168+G167+G163+G162+G161+G152+G150+G149+G148+G147+G146+G143+G140+G139+G138+G137+G136+G135+G134+G133+G132+G131+G130+G127+G126+G125+G124+G123+G122+G121+G120+G119+G108+G107+G106+G105+G104+G94+G85+G84+G83+G82+G81+G80+G69+G66+G63+G62+G61+G60+G59+G58+G54+G53+G52+G51+G50+G49+G48+G47+G46+G45+G44+G32+G31+G30+G29+G27+G26+G24+G23+G22+G21+G20+G19+G17+G16+G13+G11+G10</f>
        <v>3.7729999999999997</v>
      </c>
      <c r="H416" s="254">
        <f>H405+H398+H394+H393+H392+H383+H382+H381+H380+H379+H378+H377+H369+H368+H367+H365+H361+H360+H359+H358+H357+H348+H347+H339+H338+H328+H327+H315+H312+H310+H309+H297+H295+H293+H292+H291+H282+H281+H277+H276+H272+H268+H267+H266+H257+H255+H245+H244+H243+H241+H240+H238+H230+H227+H226+H224+H223+H210+H209+H208+H207+H204+H203+H200+H197+H194+H193+H183+H171+H168+H167+H163+H162+H161+H152+H150+H149+H148+H147+H146+H143+H140+H139+H138+H137+H136+H135+H134+H133+H132+H131+H130+H127+H126+H125+H124+H123+H122+H121+H120+H119+H108+H107+H106+H105+H104+H94+H85+H84+H83+H82+H81+H80+H69+H66+H63+H62+H61+H60+H59+H58+H54+H53+H52+H51+H50+H49+H48+H47+H46+H45+H44+H32+H31+H30+H29+H27+H26+H24+H23+H22+H21+H20+H19+H17+H16+H13+H11+H10</f>
        <v>6.35</v>
      </c>
      <c r="I416" s="254" t="e">
        <f>I405+I398+I394+I393+I392+I383+I382+I381+I380+I379+I378+I377+I369+I368+I367+I365+I361+I360+I359+I358+I357+I348+I347+I339+I338+I328+I327+I315+I312+I310+I309+I297+I295+I293+I292+I291+I282+I281+I277+I276+I272+I268+I267+I266+I257+I255+I245+I244+I243+I241+I240+I238+I230+I227+I226+I224+I223+I210+I209+I208+I207+I204+I203+I200+I197+I194+I193+I183+I171+I168+I167+I163+I162+I161+I152+I150+I149+I148+I147+I146+I143+I140+I139+I138+I137+I136+I135+I134+I133+I132+I131+I130+I127+I126+I125+I124+I123+I122+I121+I120+I119+I108+I107+I106+I105+I104+I94+I85+I84+I83+I82+I81+I80+I69+I66+I63+I62+I61+I60+I59+I58+I54+I53+I52+I51+I50+I49+I48+I47+I46+I45+I44+I32+I31+I30+I29+I27+I26+I24+I23+I22+I21+I20+I19+I17+I16+I13+I11+I10</f>
        <v>#VALUE!</v>
      </c>
      <c r="J416" s="254">
        <f>J405+J398+J394+J393+J392+J383+J382+J381+J380+J379+J378+J377+J369+J368+J367+J365+J361+J360+J359+J358+J357+J348+J347+J339+J338+J328+J327+J315+J312+J310+J309+J297+J295+J293+J292+J291+J282+J281+J277+J276+J272+J268+J267+J266+J257+J255+J245+J244+J243+J241+J240+J238+J230+J227+J226+J224+J223+J210+J209+J208+J207+J204+J203+J200+J197+J194+J193+J183+J171+J168+J167+J163+J162+J161+J152+J150+J149+J148+J147+J146+J143+J140+J139+J138+J137+J136+J135+J134+J133+J132+J131+J130+J127+J126+J125+J124+J123+J122+J121+J120+J119+J108+J107+J106+J105+J104+J94+J85+J84+J83+J82+J81+J80+J69+J66+J63+J62+J61+J60+J59+J58+J54+J53+J52+J51+J50+J49+J48+J47+J46+J45+J44+J32+J31+J30+J29+J27+J26+J24+J23+J22+J21+J20+J19+J17+J16+J13+J11+J10</f>
        <v>0.46</v>
      </c>
      <c r="L416" s="134"/>
      <c r="M416" s="117" t="s">
        <v>210</v>
      </c>
      <c r="N416" s="117"/>
      <c r="O416" s="134"/>
      <c r="P416" s="134"/>
      <c r="Q416" s="238">
        <f>F410+G410+H410+I410+J410</f>
        <v>1246.9150000000002</v>
      </c>
    </row>
    <row r="417" spans="2:17" ht="18" customHeight="1" thickTop="1" x14ac:dyDescent="0.35">
      <c r="C417" s="118" t="s">
        <v>613</v>
      </c>
      <c r="D417" s="126">
        <v>1246.915</v>
      </c>
      <c r="I417" s="140"/>
    </row>
    <row r="418" spans="2:17" ht="18" customHeight="1" x14ac:dyDescent="0.35">
      <c r="E418" s="140"/>
    </row>
    <row r="419" spans="2:17" s="117" customFormat="1" ht="18" customHeight="1" x14ac:dyDescent="0.35">
      <c r="C419" s="118"/>
      <c r="D419" s="140">
        <f>D417-D410</f>
        <v>0</v>
      </c>
      <c r="E419" s="116"/>
      <c r="F419" s="116"/>
      <c r="G419" s="116"/>
      <c r="H419" s="116"/>
      <c r="I419" s="116"/>
      <c r="J419" s="116"/>
      <c r="K419" s="116"/>
      <c r="L419" s="118"/>
      <c r="M419" s="118"/>
      <c r="N419" s="118"/>
      <c r="O419" s="118"/>
      <c r="P419" s="118"/>
      <c r="Q419" s="255"/>
    </row>
    <row r="420" spans="2:17" s="117" customFormat="1" ht="18" customHeight="1" x14ac:dyDescent="0.35">
      <c r="C420" s="118"/>
      <c r="D420" s="116"/>
      <c r="E420" s="116"/>
      <c r="F420" s="116"/>
      <c r="G420" s="116"/>
      <c r="H420" s="116"/>
      <c r="I420" s="116"/>
      <c r="J420" s="116"/>
      <c r="K420" s="116"/>
      <c r="L420" s="118"/>
      <c r="M420" s="118"/>
      <c r="N420" s="118"/>
      <c r="O420" s="118"/>
      <c r="P420" s="118"/>
      <c r="Q420" s="255"/>
    </row>
    <row r="421" spans="2:17" s="117" customFormat="1" ht="18" customHeight="1" x14ac:dyDescent="0.35">
      <c r="C421" s="118"/>
      <c r="D421" s="116"/>
      <c r="E421" s="116"/>
      <c r="F421" s="116"/>
      <c r="G421" s="116"/>
      <c r="H421" s="116"/>
      <c r="I421" s="116"/>
      <c r="J421" s="116"/>
      <c r="K421" s="116"/>
      <c r="L421" s="118"/>
      <c r="M421" s="118"/>
      <c r="N421" s="118"/>
      <c r="O421" s="118"/>
      <c r="P421" s="118"/>
      <c r="Q421" s="255"/>
    </row>
    <row r="422" spans="2:17" s="117" customFormat="1" ht="18" customHeight="1" x14ac:dyDescent="0.35">
      <c r="C422" s="118"/>
      <c r="D422" s="116"/>
      <c r="E422" s="116"/>
      <c r="F422" s="116"/>
      <c r="G422" s="116"/>
      <c r="H422" s="116"/>
      <c r="I422" s="116"/>
      <c r="J422" s="116"/>
      <c r="K422" s="116"/>
      <c r="L422" s="118"/>
      <c r="M422" s="118"/>
      <c r="N422" s="118"/>
      <c r="O422" s="118"/>
      <c r="P422" s="118"/>
      <c r="Q422" s="255"/>
    </row>
    <row r="423" spans="2:17" s="117" customFormat="1" ht="18" customHeight="1" x14ac:dyDescent="0.35">
      <c r="C423" s="118"/>
      <c r="D423" s="116"/>
      <c r="E423" s="116"/>
      <c r="F423" s="116"/>
      <c r="G423" s="116"/>
      <c r="H423" s="116"/>
      <c r="I423" s="116"/>
      <c r="J423" s="116"/>
      <c r="K423" s="116"/>
      <c r="L423" s="118"/>
      <c r="M423" s="118"/>
      <c r="N423" s="118"/>
      <c r="O423" s="118"/>
      <c r="P423" s="118"/>
      <c r="Q423" s="255"/>
    </row>
    <row r="424" spans="2:17" s="117" customFormat="1" ht="18" customHeight="1" x14ac:dyDescent="0.35">
      <c r="B424" s="117" t="s">
        <v>209</v>
      </c>
      <c r="C424" s="134">
        <f>D12+D15+D17+D18+D19+D20+D21+D22+D27+D43+D46+D50+D52+D53+D54+D82+D104+D105+D106+D108+D124+D125+D130+D132+D133+D152+D161+D162+D163+D171+D182+D193+D194+D200+D203+D223+D224+D226+D243+D245+D273+D276+D312+D315+D327+D328+D329+D330+D339+D357+D361+D366+D367+D369+D380</f>
        <v>290.08499999999992</v>
      </c>
      <c r="D424" s="116"/>
      <c r="E424" s="116"/>
      <c r="F424" s="116"/>
      <c r="G424" s="116"/>
      <c r="H424" s="116"/>
      <c r="I424" s="116"/>
      <c r="J424" s="116"/>
      <c r="K424" s="116"/>
      <c r="L424" s="118"/>
      <c r="M424" s="118"/>
      <c r="N424" s="118"/>
      <c r="O424" s="118"/>
      <c r="P424" s="118"/>
      <c r="Q424" s="255"/>
    </row>
    <row r="425" spans="2:17" s="117" customFormat="1" ht="18" customHeight="1" x14ac:dyDescent="0.35">
      <c r="B425" s="117" t="s">
        <v>206</v>
      </c>
      <c r="C425" s="134">
        <f>D10+D11+D13+D16+D23+D24+D29+D30+D31+D32+D44+D45+D47+D48+D49+D51+D57+D58+D59+D60+D61+D62+D63+D66+D69+D80+D81+D83+D84+D85+D94+D102+D107+D119+D120+D121+D122+D123+D126+D127+D131+D134+D135+D136+D137+D138+D139+D140+D143+D146+D147+D148+D149+D151+D169+D183+D197+D199+D201+D204+D207+D208+D209+D210+D211+D227+D229+D230+D238+D239+D240+D241+D244+D255+D257+D266+D267+D268+D272+D277+D281+D282+D292+D297+D298+D309+D310+D313+D338+D347+D348+D359+D360+D362+D365+D379+D382+D383+D392+D393+D394+D398+D405</f>
        <v>604.41500000000008</v>
      </c>
      <c r="D425" s="116"/>
      <c r="E425" s="116"/>
      <c r="F425" s="116"/>
      <c r="G425" s="116"/>
      <c r="H425" s="116"/>
      <c r="I425" s="116"/>
      <c r="J425" s="116"/>
      <c r="K425" s="116"/>
      <c r="L425" s="118"/>
      <c r="M425" s="118"/>
      <c r="N425" s="118"/>
      <c r="O425" s="118"/>
      <c r="P425" s="118"/>
      <c r="Q425" s="255"/>
    </row>
    <row r="426" spans="2:17" s="117" customFormat="1" ht="18" customHeight="1" x14ac:dyDescent="0.35">
      <c r="B426" s="117" t="s">
        <v>207</v>
      </c>
      <c r="C426" s="134">
        <f>D14+D25+D26+D28+D56+D64+D65+D86+D101+D103+D109+D128+D129+D141+D142+D150+D167+D168+D174+D195+D196+D198+D225+D228+D256+D258+D275+D278+D279+D280+D291+D293+D294+D295+D296+D299+D300+D311+D314+D316+D326+D331+D335+D336+D337+D358+D363+D364+D368+D377+D378+D381</f>
        <v>277.75500000000005</v>
      </c>
      <c r="D426" s="116"/>
      <c r="E426" s="116"/>
      <c r="F426" s="116"/>
      <c r="G426" s="116"/>
      <c r="H426" s="116"/>
      <c r="I426" s="116"/>
      <c r="J426" s="116"/>
      <c r="K426" s="116"/>
      <c r="L426" s="118"/>
      <c r="M426" s="118"/>
      <c r="N426" s="118"/>
      <c r="O426" s="118"/>
      <c r="P426" s="118"/>
      <c r="Q426" s="255"/>
    </row>
    <row r="427" spans="2:17" s="117" customFormat="1" ht="18" customHeight="1" x14ac:dyDescent="0.35">
      <c r="B427" s="117" t="s">
        <v>210</v>
      </c>
      <c r="C427" s="134">
        <f>D33+D55+D67+D68+D110+D164+D165+D166+D170+D172+D173+D202+D242+D254+D274+D301+D384</f>
        <v>74.660000000000011</v>
      </c>
      <c r="D427" s="116"/>
      <c r="E427" s="116"/>
      <c r="F427" s="116"/>
      <c r="G427" s="116"/>
      <c r="H427" s="116"/>
      <c r="I427" s="116"/>
      <c r="J427" s="116"/>
      <c r="K427" s="116"/>
      <c r="L427" s="118"/>
      <c r="M427" s="118"/>
      <c r="N427" s="118"/>
      <c r="O427" s="118"/>
      <c r="P427" s="118"/>
      <c r="Q427" s="255"/>
    </row>
    <row r="428" spans="2:17" s="117" customFormat="1" ht="18" customHeight="1" x14ac:dyDescent="0.35">
      <c r="C428" s="134">
        <f>SUM(C424:C427)</f>
        <v>1246.9150000000002</v>
      </c>
      <c r="D428" s="116"/>
      <c r="E428" s="116"/>
      <c r="F428" s="116"/>
      <c r="G428" s="116"/>
      <c r="H428" s="116"/>
      <c r="I428" s="116"/>
      <c r="J428" s="116"/>
      <c r="K428" s="116"/>
      <c r="L428" s="118"/>
      <c r="M428" s="118"/>
      <c r="N428" s="118"/>
      <c r="O428" s="118"/>
      <c r="P428" s="118"/>
      <c r="Q428" s="255"/>
    </row>
    <row r="429" spans="2:17" s="117" customFormat="1" ht="18" customHeight="1" x14ac:dyDescent="0.35">
      <c r="C429" s="118"/>
      <c r="D429" s="116"/>
      <c r="E429" s="116"/>
      <c r="F429" s="116"/>
      <c r="G429" s="116"/>
      <c r="H429" s="116"/>
      <c r="I429" s="116"/>
      <c r="J429" s="116"/>
      <c r="K429" s="116"/>
      <c r="L429" s="118"/>
      <c r="M429" s="118"/>
      <c r="N429" s="118"/>
      <c r="O429" s="118"/>
      <c r="P429" s="118"/>
      <c r="Q429" s="255"/>
    </row>
    <row r="430" spans="2:17" s="117" customFormat="1" ht="18" customHeight="1" x14ac:dyDescent="0.35">
      <c r="C430" s="118"/>
      <c r="D430" s="116"/>
      <c r="E430" s="116"/>
      <c r="F430" s="116"/>
      <c r="G430" s="116"/>
      <c r="H430" s="116"/>
      <c r="I430" s="116"/>
      <c r="J430" s="116"/>
      <c r="K430" s="116"/>
      <c r="L430" s="118"/>
      <c r="M430" s="118"/>
      <c r="N430" s="118"/>
      <c r="O430" s="118"/>
      <c r="P430" s="118"/>
      <c r="Q430" s="255"/>
    </row>
    <row r="431" spans="2:17" s="117" customFormat="1" ht="18" customHeight="1" x14ac:dyDescent="0.35">
      <c r="C431" s="118"/>
      <c r="D431" s="116"/>
      <c r="E431" s="116"/>
      <c r="F431" s="116"/>
      <c r="G431" s="116"/>
      <c r="H431" s="116"/>
      <c r="I431" s="116"/>
      <c r="J431" s="116"/>
      <c r="K431" s="116"/>
      <c r="L431" s="118"/>
      <c r="M431" s="118"/>
      <c r="N431" s="118"/>
      <c r="O431" s="118"/>
      <c r="P431" s="118"/>
      <c r="Q431" s="255"/>
    </row>
    <row r="432" spans="2:17" s="117" customFormat="1" ht="18" customHeight="1" x14ac:dyDescent="0.35">
      <c r="C432" s="118"/>
      <c r="D432" s="116"/>
      <c r="E432" s="116"/>
      <c r="F432" s="116"/>
      <c r="G432" s="116"/>
      <c r="H432" s="116"/>
      <c r="I432" s="116"/>
      <c r="J432" s="116"/>
      <c r="K432" s="116"/>
      <c r="L432" s="118"/>
      <c r="M432" s="118"/>
      <c r="N432" s="118"/>
      <c r="O432" s="118"/>
      <c r="P432" s="118"/>
      <c r="Q432" s="255"/>
    </row>
    <row r="433" spans="3:17" s="117" customFormat="1" ht="18" customHeight="1" x14ac:dyDescent="0.35">
      <c r="C433" s="118"/>
      <c r="D433" s="116"/>
      <c r="E433" s="116"/>
      <c r="F433" s="116"/>
      <c r="G433" s="116"/>
      <c r="H433" s="116"/>
      <c r="I433" s="116"/>
      <c r="J433" s="116"/>
      <c r="K433" s="116"/>
      <c r="L433" s="118"/>
      <c r="M433" s="118"/>
      <c r="N433" s="118"/>
      <c r="O433" s="118"/>
      <c r="P433" s="118"/>
      <c r="Q433" s="255"/>
    </row>
    <row r="434" spans="3:17" s="117" customFormat="1" ht="18" customHeight="1" x14ac:dyDescent="0.35">
      <c r="C434" s="118"/>
      <c r="D434" s="116"/>
      <c r="E434" s="116"/>
      <c r="F434" s="116"/>
      <c r="G434" s="116"/>
      <c r="H434" s="116"/>
      <c r="I434" s="116"/>
      <c r="J434" s="116"/>
      <c r="K434" s="116"/>
      <c r="L434" s="118"/>
      <c r="M434" s="118"/>
      <c r="N434" s="118"/>
      <c r="O434" s="118"/>
      <c r="P434" s="118"/>
      <c r="Q434" s="255"/>
    </row>
    <row r="435" spans="3:17" s="117" customFormat="1" ht="18" customHeight="1" x14ac:dyDescent="0.35">
      <c r="C435" s="118"/>
      <c r="D435" s="116"/>
      <c r="E435" s="116"/>
      <c r="F435" s="116"/>
      <c r="G435" s="116"/>
      <c r="H435" s="116"/>
      <c r="I435" s="116"/>
      <c r="J435" s="116"/>
      <c r="K435" s="116"/>
      <c r="L435" s="118"/>
      <c r="M435" s="118"/>
      <c r="N435" s="118"/>
      <c r="O435" s="118"/>
      <c r="P435" s="118"/>
      <c r="Q435" s="255"/>
    </row>
    <row r="436" spans="3:17" s="117" customFormat="1" ht="18" customHeight="1" x14ac:dyDescent="0.35">
      <c r="C436" s="118"/>
      <c r="D436" s="116"/>
      <c r="E436" s="116"/>
      <c r="F436" s="116"/>
      <c r="G436" s="116"/>
      <c r="H436" s="116"/>
      <c r="I436" s="116"/>
      <c r="J436" s="116"/>
      <c r="K436" s="116"/>
      <c r="L436" s="118"/>
      <c r="M436" s="118"/>
      <c r="N436" s="118"/>
      <c r="O436" s="118"/>
      <c r="P436" s="118"/>
      <c r="Q436" s="255"/>
    </row>
    <row r="437" spans="3:17" s="117" customFormat="1" ht="18" customHeight="1" x14ac:dyDescent="0.35">
      <c r="C437" s="118"/>
      <c r="D437" s="116"/>
      <c r="E437" s="116"/>
      <c r="F437" s="116"/>
      <c r="G437" s="116"/>
      <c r="H437" s="116"/>
      <c r="I437" s="116"/>
      <c r="J437" s="116"/>
      <c r="K437" s="116"/>
      <c r="L437" s="118"/>
      <c r="M437" s="118"/>
      <c r="N437" s="118"/>
      <c r="O437" s="118"/>
      <c r="P437" s="118"/>
      <c r="Q437" s="255"/>
    </row>
    <row r="438" spans="3:17" s="117" customFormat="1" ht="18" customHeight="1" x14ac:dyDescent="0.35">
      <c r="C438" s="118"/>
      <c r="D438" s="116"/>
      <c r="E438" s="116"/>
      <c r="F438" s="116"/>
      <c r="G438" s="116"/>
      <c r="H438" s="116"/>
      <c r="I438" s="116"/>
      <c r="J438" s="116"/>
      <c r="K438" s="116"/>
      <c r="L438" s="118"/>
      <c r="M438" s="118"/>
      <c r="N438" s="118"/>
      <c r="O438" s="118"/>
      <c r="P438" s="118"/>
      <c r="Q438" s="255"/>
    </row>
    <row r="439" spans="3:17" s="117" customFormat="1" ht="18" customHeight="1" x14ac:dyDescent="0.35">
      <c r="C439" s="118"/>
      <c r="D439" s="116"/>
      <c r="E439" s="116"/>
      <c r="F439" s="116"/>
      <c r="G439" s="116"/>
      <c r="H439" s="116"/>
      <c r="I439" s="116"/>
      <c r="J439" s="116"/>
      <c r="K439" s="116"/>
      <c r="L439" s="118"/>
      <c r="M439" s="118"/>
      <c r="N439" s="118"/>
      <c r="O439" s="118"/>
      <c r="P439" s="118"/>
      <c r="Q439" s="255"/>
    </row>
    <row r="440" spans="3:17" s="117" customFormat="1" ht="18" customHeight="1" x14ac:dyDescent="0.35">
      <c r="C440" s="118"/>
      <c r="D440" s="116"/>
      <c r="E440" s="116"/>
      <c r="F440" s="116"/>
      <c r="G440" s="116"/>
      <c r="H440" s="116"/>
      <c r="I440" s="116"/>
      <c r="J440" s="116"/>
      <c r="K440" s="116"/>
      <c r="L440" s="118"/>
      <c r="M440" s="118"/>
      <c r="N440" s="118"/>
      <c r="O440" s="118"/>
      <c r="P440" s="118"/>
      <c r="Q440" s="255"/>
    </row>
    <row r="441" spans="3:17" s="117" customFormat="1" ht="18" customHeight="1" x14ac:dyDescent="0.35">
      <c r="C441" s="118"/>
      <c r="D441" s="116"/>
      <c r="E441" s="116"/>
      <c r="F441" s="116"/>
      <c r="G441" s="116"/>
      <c r="H441" s="116"/>
      <c r="I441" s="116"/>
      <c r="J441" s="116"/>
      <c r="K441" s="116"/>
      <c r="L441" s="118"/>
      <c r="M441" s="118"/>
      <c r="N441" s="118"/>
      <c r="O441" s="118"/>
      <c r="P441" s="118"/>
      <c r="Q441" s="255"/>
    </row>
    <row r="442" spans="3:17" s="117" customFormat="1" ht="18" customHeight="1" x14ac:dyDescent="0.35">
      <c r="C442" s="118"/>
      <c r="D442" s="116"/>
      <c r="E442" s="116"/>
      <c r="F442" s="116"/>
      <c r="G442" s="116"/>
      <c r="H442" s="116"/>
      <c r="I442" s="116"/>
      <c r="J442" s="116"/>
      <c r="K442" s="116"/>
      <c r="L442" s="118"/>
      <c r="M442" s="118"/>
      <c r="N442" s="118"/>
      <c r="O442" s="118"/>
      <c r="P442" s="118"/>
      <c r="Q442" s="255"/>
    </row>
    <row r="443" spans="3:17" s="117" customFormat="1" ht="18" customHeight="1" x14ac:dyDescent="0.35">
      <c r="C443" s="118"/>
      <c r="D443" s="116"/>
      <c r="E443" s="116"/>
      <c r="F443" s="116"/>
      <c r="G443" s="116"/>
      <c r="H443" s="116"/>
      <c r="I443" s="116"/>
      <c r="J443" s="116"/>
      <c r="K443" s="116"/>
      <c r="L443" s="118"/>
      <c r="M443" s="118"/>
      <c r="N443" s="118"/>
      <c r="O443" s="118"/>
      <c r="P443" s="118"/>
      <c r="Q443" s="255"/>
    </row>
    <row r="444" spans="3:17" s="117" customFormat="1" ht="18" customHeight="1" x14ac:dyDescent="0.35">
      <c r="C444" s="118"/>
      <c r="D444" s="116"/>
      <c r="E444" s="116"/>
      <c r="F444" s="116"/>
      <c r="G444" s="116"/>
      <c r="H444" s="116"/>
      <c r="I444" s="116"/>
      <c r="J444" s="116"/>
      <c r="K444" s="116"/>
      <c r="L444" s="118"/>
      <c r="M444" s="118"/>
      <c r="N444" s="118"/>
      <c r="O444" s="118"/>
      <c r="P444" s="118"/>
      <c r="Q444" s="255"/>
    </row>
    <row r="445" spans="3:17" s="117" customFormat="1" ht="18" customHeight="1" x14ac:dyDescent="0.35">
      <c r="C445" s="118"/>
      <c r="D445" s="116"/>
      <c r="E445" s="116"/>
      <c r="F445" s="116"/>
      <c r="G445" s="116"/>
      <c r="H445" s="116"/>
      <c r="I445" s="116"/>
      <c r="J445" s="116"/>
      <c r="K445" s="116"/>
      <c r="L445" s="118"/>
      <c r="M445" s="118"/>
      <c r="N445" s="118"/>
      <c r="O445" s="118"/>
      <c r="P445" s="118"/>
      <c r="Q445" s="255"/>
    </row>
    <row r="446" spans="3:17" s="117" customFormat="1" ht="18" customHeight="1" x14ac:dyDescent="0.35">
      <c r="C446" s="118"/>
      <c r="D446" s="116"/>
      <c r="E446" s="116"/>
      <c r="F446" s="116"/>
      <c r="G446" s="116"/>
      <c r="H446" s="116"/>
      <c r="I446" s="116"/>
      <c r="J446" s="116"/>
      <c r="K446" s="116"/>
      <c r="L446" s="118"/>
      <c r="M446" s="118"/>
      <c r="N446" s="118"/>
      <c r="O446" s="118"/>
      <c r="P446" s="118"/>
      <c r="Q446" s="255"/>
    </row>
    <row r="447" spans="3:17" s="117" customFormat="1" ht="18" customHeight="1" x14ac:dyDescent="0.35">
      <c r="C447" s="118"/>
      <c r="D447" s="116"/>
      <c r="E447" s="116"/>
      <c r="F447" s="116"/>
      <c r="G447" s="116"/>
      <c r="H447" s="116"/>
      <c r="I447" s="116"/>
      <c r="J447" s="116"/>
      <c r="K447" s="116"/>
      <c r="L447" s="118"/>
      <c r="M447" s="118"/>
      <c r="N447" s="118"/>
      <c r="O447" s="118"/>
      <c r="P447" s="118"/>
      <c r="Q447" s="255"/>
    </row>
    <row r="448" spans="3:17" s="117" customFormat="1" ht="18" customHeight="1" x14ac:dyDescent="0.35">
      <c r="C448" s="118"/>
      <c r="D448" s="116"/>
      <c r="E448" s="116"/>
      <c r="F448" s="116"/>
      <c r="G448" s="116"/>
      <c r="H448" s="116"/>
      <c r="I448" s="116"/>
      <c r="J448" s="116"/>
      <c r="K448" s="116"/>
      <c r="L448" s="118"/>
      <c r="M448" s="118"/>
      <c r="N448" s="118"/>
      <c r="O448" s="118"/>
      <c r="P448" s="118"/>
      <c r="Q448" s="255"/>
    </row>
    <row r="449" spans="3:17" s="117" customFormat="1" ht="18" customHeight="1" x14ac:dyDescent="0.35">
      <c r="C449" s="118"/>
      <c r="D449" s="116"/>
      <c r="E449" s="116"/>
      <c r="F449" s="116"/>
      <c r="G449" s="116"/>
      <c r="H449" s="116"/>
      <c r="I449" s="116"/>
      <c r="J449" s="116"/>
      <c r="K449" s="116"/>
      <c r="L449" s="118"/>
      <c r="M449" s="118"/>
      <c r="N449" s="118"/>
      <c r="O449" s="118"/>
      <c r="P449" s="118"/>
      <c r="Q449" s="255"/>
    </row>
    <row r="450" spans="3:17" s="117" customFormat="1" ht="18" customHeight="1" x14ac:dyDescent="0.35">
      <c r="C450" s="118"/>
      <c r="D450" s="116"/>
      <c r="E450" s="116"/>
      <c r="F450" s="116"/>
      <c r="G450" s="116"/>
      <c r="H450" s="116"/>
      <c r="I450" s="116"/>
      <c r="J450" s="116"/>
      <c r="K450" s="116"/>
      <c r="L450" s="118"/>
      <c r="M450" s="118"/>
      <c r="N450" s="118"/>
      <c r="O450" s="118"/>
      <c r="P450" s="118"/>
      <c r="Q450" s="255"/>
    </row>
    <row r="451" spans="3:17" s="117" customFormat="1" ht="18" customHeight="1" x14ac:dyDescent="0.35">
      <c r="C451" s="118"/>
      <c r="D451" s="116"/>
      <c r="E451" s="116"/>
      <c r="F451" s="116"/>
      <c r="G451" s="116"/>
      <c r="H451" s="116"/>
      <c r="I451" s="116"/>
      <c r="J451" s="116"/>
      <c r="K451" s="116"/>
      <c r="L451" s="118"/>
      <c r="M451" s="118"/>
      <c r="N451" s="118"/>
      <c r="O451" s="118"/>
      <c r="P451" s="118"/>
      <c r="Q451" s="255"/>
    </row>
    <row r="452" spans="3:17" s="117" customFormat="1" ht="18" customHeight="1" x14ac:dyDescent="0.35">
      <c r="C452" s="118"/>
      <c r="D452" s="116"/>
      <c r="E452" s="116"/>
      <c r="F452" s="116"/>
      <c r="G452" s="116"/>
      <c r="H452" s="116"/>
      <c r="I452" s="116"/>
      <c r="J452" s="116"/>
      <c r="K452" s="116"/>
      <c r="L452" s="118"/>
      <c r="M452" s="118"/>
      <c r="N452" s="118"/>
      <c r="O452" s="118"/>
      <c r="P452" s="118"/>
      <c r="Q452" s="255"/>
    </row>
    <row r="453" spans="3:17" s="117" customFormat="1" ht="18" customHeight="1" x14ac:dyDescent="0.35">
      <c r="C453" s="118"/>
      <c r="D453" s="116"/>
      <c r="E453" s="116"/>
      <c r="F453" s="116"/>
      <c r="G453" s="116"/>
      <c r="H453" s="116"/>
      <c r="I453" s="116"/>
      <c r="J453" s="116"/>
      <c r="K453" s="116"/>
      <c r="L453" s="118"/>
      <c r="M453" s="118"/>
      <c r="N453" s="118"/>
      <c r="O453" s="118"/>
      <c r="P453" s="118"/>
      <c r="Q453" s="255"/>
    </row>
    <row r="454" spans="3:17" s="117" customFormat="1" ht="18" customHeight="1" x14ac:dyDescent="0.35">
      <c r="C454" s="118"/>
      <c r="D454" s="116"/>
      <c r="E454" s="116"/>
      <c r="F454" s="116"/>
      <c r="G454" s="116"/>
      <c r="H454" s="116"/>
      <c r="I454" s="116"/>
      <c r="J454" s="116"/>
      <c r="K454" s="116"/>
      <c r="L454" s="118"/>
      <c r="M454" s="118"/>
      <c r="N454" s="118"/>
      <c r="O454" s="118"/>
      <c r="P454" s="118"/>
      <c r="Q454" s="255"/>
    </row>
    <row r="455" spans="3:17" s="117" customFormat="1" ht="18" customHeight="1" x14ac:dyDescent="0.35">
      <c r="C455" s="118"/>
      <c r="D455" s="116"/>
      <c r="E455" s="116"/>
      <c r="F455" s="116"/>
      <c r="G455" s="116"/>
      <c r="H455" s="116"/>
      <c r="I455" s="116"/>
      <c r="J455" s="116"/>
      <c r="K455" s="116"/>
      <c r="L455" s="118"/>
      <c r="M455" s="118"/>
      <c r="N455" s="118"/>
      <c r="O455" s="118"/>
      <c r="P455" s="118"/>
      <c r="Q455" s="255"/>
    </row>
    <row r="456" spans="3:17" s="117" customFormat="1" ht="18" customHeight="1" x14ac:dyDescent="0.35">
      <c r="C456" s="118"/>
      <c r="D456" s="116"/>
      <c r="E456" s="116"/>
      <c r="F456" s="116"/>
      <c r="G456" s="116"/>
      <c r="H456" s="116"/>
      <c r="I456" s="116"/>
      <c r="J456" s="116"/>
      <c r="K456" s="116"/>
      <c r="L456" s="118"/>
      <c r="M456" s="118"/>
      <c r="N456" s="118"/>
      <c r="O456" s="118"/>
      <c r="P456" s="118"/>
      <c r="Q456" s="255"/>
    </row>
    <row r="457" spans="3:17" s="117" customFormat="1" ht="18" customHeight="1" x14ac:dyDescent="0.35">
      <c r="C457" s="118"/>
      <c r="D457" s="116"/>
      <c r="E457" s="116"/>
      <c r="F457" s="116"/>
      <c r="G457" s="116"/>
      <c r="H457" s="116"/>
      <c r="I457" s="116"/>
      <c r="J457" s="116"/>
      <c r="K457" s="116"/>
      <c r="L457" s="118"/>
      <c r="M457" s="118"/>
      <c r="N457" s="118"/>
      <c r="O457" s="118"/>
      <c r="P457" s="118"/>
      <c r="Q457" s="255"/>
    </row>
    <row r="458" spans="3:17" s="117" customFormat="1" ht="18" customHeight="1" x14ac:dyDescent="0.35">
      <c r="C458" s="118"/>
      <c r="D458" s="116"/>
      <c r="E458" s="116"/>
      <c r="F458" s="116"/>
      <c r="G458" s="116"/>
      <c r="H458" s="116"/>
      <c r="I458" s="116"/>
      <c r="J458" s="116"/>
      <c r="K458" s="116"/>
      <c r="L458" s="118"/>
      <c r="M458" s="118"/>
      <c r="N458" s="118"/>
      <c r="O458" s="118"/>
      <c r="P458" s="118"/>
      <c r="Q458" s="255"/>
    </row>
    <row r="459" spans="3:17" s="117" customFormat="1" ht="18" customHeight="1" x14ac:dyDescent="0.35">
      <c r="C459" s="118"/>
      <c r="D459" s="116"/>
      <c r="E459" s="116"/>
      <c r="F459" s="116"/>
      <c r="G459" s="116"/>
      <c r="H459" s="116"/>
      <c r="I459" s="116"/>
      <c r="J459" s="116"/>
      <c r="K459" s="116"/>
      <c r="L459" s="118"/>
      <c r="M459" s="118"/>
      <c r="N459" s="118"/>
      <c r="O459" s="118"/>
      <c r="P459" s="118"/>
      <c r="Q459" s="255"/>
    </row>
    <row r="460" spans="3:17" s="117" customFormat="1" ht="18" customHeight="1" x14ac:dyDescent="0.35">
      <c r="C460" s="118"/>
      <c r="D460" s="116"/>
      <c r="E460" s="116"/>
      <c r="F460" s="116"/>
      <c r="G460" s="116"/>
      <c r="H460" s="116"/>
      <c r="I460" s="116"/>
      <c r="J460" s="116"/>
      <c r="K460" s="116"/>
      <c r="L460" s="118"/>
      <c r="M460" s="118"/>
      <c r="N460" s="118"/>
      <c r="O460" s="118"/>
      <c r="P460" s="118"/>
      <c r="Q460" s="255"/>
    </row>
    <row r="461" spans="3:17" s="117" customFormat="1" ht="18" customHeight="1" x14ac:dyDescent="0.35">
      <c r="C461" s="118"/>
      <c r="D461" s="116"/>
      <c r="E461" s="116"/>
      <c r="F461" s="116"/>
      <c r="G461" s="116"/>
      <c r="H461" s="116"/>
      <c r="I461" s="116"/>
      <c r="J461" s="116"/>
      <c r="K461" s="116"/>
      <c r="L461" s="118"/>
      <c r="M461" s="118"/>
      <c r="N461" s="118"/>
      <c r="O461" s="118"/>
      <c r="P461" s="118"/>
      <c r="Q461" s="255"/>
    </row>
    <row r="462" spans="3:17" s="117" customFormat="1" ht="18" customHeight="1" x14ac:dyDescent="0.35">
      <c r="C462" s="118"/>
      <c r="D462" s="116"/>
      <c r="E462" s="116"/>
      <c r="F462" s="116"/>
      <c r="G462" s="116"/>
      <c r="H462" s="116"/>
      <c r="I462" s="116"/>
      <c r="J462" s="116"/>
      <c r="K462" s="116"/>
      <c r="L462" s="118"/>
      <c r="M462" s="118"/>
      <c r="N462" s="118"/>
      <c r="O462" s="118"/>
      <c r="P462" s="118"/>
      <c r="Q462" s="255"/>
    </row>
    <row r="463" spans="3:17" s="117" customFormat="1" ht="18" customHeight="1" x14ac:dyDescent="0.35">
      <c r="C463" s="118"/>
      <c r="D463" s="116"/>
      <c r="E463" s="116"/>
      <c r="F463" s="116"/>
      <c r="G463" s="116"/>
      <c r="H463" s="116"/>
      <c r="I463" s="116"/>
      <c r="J463" s="116"/>
      <c r="K463" s="116"/>
      <c r="L463" s="118"/>
      <c r="M463" s="118"/>
      <c r="N463" s="118"/>
      <c r="O463" s="118"/>
      <c r="P463" s="118"/>
      <c r="Q463" s="255"/>
    </row>
    <row r="464" spans="3:17" s="117" customFormat="1" ht="18" customHeight="1" x14ac:dyDescent="0.35">
      <c r="C464" s="118"/>
      <c r="D464" s="116"/>
      <c r="E464" s="116"/>
      <c r="F464" s="116"/>
      <c r="G464" s="116"/>
      <c r="H464" s="116"/>
      <c r="I464" s="116"/>
      <c r="J464" s="116"/>
      <c r="K464" s="116"/>
      <c r="L464" s="118"/>
      <c r="M464" s="118"/>
      <c r="N464" s="118"/>
      <c r="O464" s="118"/>
      <c r="P464" s="118"/>
      <c r="Q464" s="255"/>
    </row>
    <row r="465" spans="3:17" s="117" customFormat="1" ht="18" customHeight="1" x14ac:dyDescent="0.35">
      <c r="C465" s="118"/>
      <c r="D465" s="116"/>
      <c r="E465" s="116"/>
      <c r="F465" s="116"/>
      <c r="G465" s="116"/>
      <c r="H465" s="116"/>
      <c r="I465" s="116"/>
      <c r="J465" s="116"/>
      <c r="K465" s="116"/>
      <c r="L465" s="118"/>
      <c r="M465" s="118"/>
      <c r="N465" s="118"/>
      <c r="O465" s="118"/>
      <c r="P465" s="118"/>
      <c r="Q465" s="255"/>
    </row>
    <row r="466" spans="3:17" s="117" customFormat="1" ht="18" customHeight="1" x14ac:dyDescent="0.35">
      <c r="C466" s="118"/>
      <c r="D466" s="116"/>
      <c r="E466" s="116"/>
      <c r="F466" s="116"/>
      <c r="G466" s="116"/>
      <c r="H466" s="116"/>
      <c r="I466" s="116"/>
      <c r="J466" s="116"/>
      <c r="K466" s="116"/>
      <c r="L466" s="118"/>
      <c r="M466" s="118"/>
      <c r="N466" s="118"/>
      <c r="O466" s="118"/>
      <c r="P466" s="118"/>
      <c r="Q466" s="255"/>
    </row>
    <row r="467" spans="3:17" s="117" customFormat="1" ht="18" customHeight="1" x14ac:dyDescent="0.35">
      <c r="C467" s="118"/>
      <c r="D467" s="116"/>
      <c r="E467" s="116"/>
      <c r="F467" s="116"/>
      <c r="G467" s="116"/>
      <c r="H467" s="116"/>
      <c r="I467" s="116"/>
      <c r="J467" s="116"/>
      <c r="K467" s="116"/>
      <c r="L467" s="118"/>
      <c r="M467" s="118"/>
      <c r="N467" s="118"/>
      <c r="O467" s="118"/>
      <c r="P467" s="118"/>
      <c r="Q467" s="255"/>
    </row>
    <row r="468" spans="3:17" s="117" customFormat="1" ht="18" customHeight="1" x14ac:dyDescent="0.35">
      <c r="C468" s="118"/>
      <c r="D468" s="116"/>
      <c r="E468" s="116"/>
      <c r="F468" s="116"/>
      <c r="G468" s="116"/>
      <c r="H468" s="116"/>
      <c r="I468" s="116"/>
      <c r="J468" s="116"/>
      <c r="K468" s="116"/>
      <c r="L468" s="118"/>
      <c r="M468" s="118"/>
      <c r="N468" s="118"/>
      <c r="O468" s="118"/>
      <c r="P468" s="118"/>
      <c r="Q468" s="255"/>
    </row>
    <row r="469" spans="3:17" s="117" customFormat="1" ht="18" customHeight="1" x14ac:dyDescent="0.35">
      <c r="C469" s="118"/>
      <c r="D469" s="116"/>
      <c r="E469" s="116"/>
      <c r="F469" s="116"/>
      <c r="G469" s="116"/>
      <c r="H469" s="116"/>
      <c r="I469" s="116"/>
      <c r="J469" s="116"/>
      <c r="K469" s="116"/>
      <c r="L469" s="118"/>
      <c r="M469" s="118"/>
      <c r="N469" s="118"/>
      <c r="O469" s="118"/>
      <c r="P469" s="118"/>
      <c r="Q469" s="255"/>
    </row>
    <row r="470" spans="3:17" s="117" customFormat="1" ht="18" customHeight="1" x14ac:dyDescent="0.35">
      <c r="C470" s="118"/>
      <c r="D470" s="116"/>
      <c r="E470" s="116"/>
      <c r="F470" s="116"/>
      <c r="G470" s="116"/>
      <c r="H470" s="116"/>
      <c r="I470" s="116"/>
      <c r="J470" s="116"/>
      <c r="K470" s="116"/>
      <c r="L470" s="118"/>
      <c r="M470" s="118"/>
      <c r="N470" s="118"/>
      <c r="O470" s="118"/>
      <c r="P470" s="118"/>
      <c r="Q470" s="255"/>
    </row>
    <row r="471" spans="3:17" s="117" customFormat="1" ht="18" customHeight="1" x14ac:dyDescent="0.35">
      <c r="C471" s="118"/>
      <c r="D471" s="116"/>
      <c r="E471" s="116"/>
      <c r="F471" s="116"/>
      <c r="G471" s="116"/>
      <c r="H471" s="116"/>
      <c r="I471" s="116"/>
      <c r="J471" s="116"/>
      <c r="K471" s="116"/>
      <c r="L471" s="118"/>
      <c r="M471" s="118"/>
      <c r="N471" s="118"/>
      <c r="O471" s="118"/>
      <c r="P471" s="118"/>
      <c r="Q471" s="255"/>
    </row>
    <row r="472" spans="3:17" s="117" customFormat="1" ht="18" customHeight="1" x14ac:dyDescent="0.35">
      <c r="C472" s="118"/>
      <c r="D472" s="116"/>
      <c r="E472" s="116"/>
      <c r="F472" s="116"/>
      <c r="G472" s="116"/>
      <c r="H472" s="116"/>
      <c r="I472" s="116"/>
      <c r="J472" s="116"/>
      <c r="K472" s="116"/>
      <c r="L472" s="118"/>
      <c r="M472" s="118"/>
      <c r="N472" s="118"/>
      <c r="O472" s="118"/>
      <c r="P472" s="118"/>
      <c r="Q472" s="255"/>
    </row>
    <row r="473" spans="3:17" s="117" customFormat="1" ht="18" customHeight="1" x14ac:dyDescent="0.35">
      <c r="C473" s="118"/>
      <c r="D473" s="116"/>
      <c r="E473" s="116"/>
      <c r="F473" s="116"/>
      <c r="G473" s="116"/>
      <c r="H473" s="116"/>
      <c r="I473" s="116"/>
      <c r="J473" s="116"/>
      <c r="K473" s="116"/>
      <c r="L473" s="118"/>
      <c r="M473" s="118"/>
      <c r="N473" s="118"/>
      <c r="O473" s="118"/>
      <c r="P473" s="118"/>
      <c r="Q473" s="255"/>
    </row>
    <row r="474" spans="3:17" s="117" customFormat="1" ht="18" customHeight="1" x14ac:dyDescent="0.35">
      <c r="C474" s="118"/>
      <c r="D474" s="116"/>
      <c r="E474" s="116"/>
      <c r="F474" s="116"/>
      <c r="G474" s="116"/>
      <c r="H474" s="116"/>
      <c r="I474" s="116"/>
      <c r="J474" s="116"/>
      <c r="K474" s="116"/>
      <c r="L474" s="118"/>
      <c r="M474" s="118"/>
      <c r="N474" s="118"/>
      <c r="O474" s="118"/>
      <c r="P474" s="118"/>
      <c r="Q474" s="255"/>
    </row>
    <row r="475" spans="3:17" s="117" customFormat="1" ht="18" customHeight="1" x14ac:dyDescent="0.35">
      <c r="C475" s="118"/>
      <c r="D475" s="116"/>
      <c r="E475" s="116"/>
      <c r="F475" s="116"/>
      <c r="G475" s="116"/>
      <c r="H475" s="116"/>
      <c r="I475" s="116"/>
      <c r="J475" s="116"/>
      <c r="K475" s="116"/>
      <c r="L475" s="118"/>
      <c r="M475" s="118"/>
      <c r="N475" s="118"/>
      <c r="O475" s="118"/>
      <c r="P475" s="118"/>
      <c r="Q475" s="255"/>
    </row>
    <row r="476" spans="3:17" s="117" customFormat="1" ht="18" customHeight="1" x14ac:dyDescent="0.35">
      <c r="C476" s="118"/>
      <c r="D476" s="116"/>
      <c r="E476" s="116"/>
      <c r="F476" s="116"/>
      <c r="G476" s="116"/>
      <c r="H476" s="116"/>
      <c r="I476" s="116"/>
      <c r="J476" s="116"/>
      <c r="K476" s="116"/>
      <c r="L476" s="118"/>
      <c r="M476" s="118"/>
      <c r="N476" s="118"/>
      <c r="O476" s="118"/>
      <c r="P476" s="118"/>
      <c r="Q476" s="255"/>
    </row>
    <row r="477" spans="3:17" s="117" customFormat="1" ht="18" customHeight="1" x14ac:dyDescent="0.35">
      <c r="C477" s="118"/>
      <c r="D477" s="116"/>
      <c r="E477" s="116"/>
      <c r="F477" s="116"/>
      <c r="G477" s="116"/>
      <c r="H477" s="116"/>
      <c r="I477" s="116"/>
      <c r="J477" s="116"/>
      <c r="K477" s="116"/>
      <c r="L477" s="118"/>
      <c r="M477" s="118"/>
      <c r="N477" s="118"/>
      <c r="O477" s="118"/>
      <c r="P477" s="118"/>
      <c r="Q477" s="255"/>
    </row>
    <row r="478" spans="3:17" s="117" customFormat="1" ht="18" customHeight="1" x14ac:dyDescent="0.35">
      <c r="C478" s="118"/>
      <c r="D478" s="116"/>
      <c r="E478" s="116"/>
      <c r="F478" s="116"/>
      <c r="G478" s="116"/>
      <c r="H478" s="116"/>
      <c r="I478" s="116"/>
      <c r="J478" s="116"/>
      <c r="K478" s="116"/>
      <c r="L478" s="118"/>
      <c r="M478" s="118"/>
      <c r="N478" s="118"/>
      <c r="O478" s="118"/>
      <c r="P478" s="118"/>
      <c r="Q478" s="255"/>
    </row>
    <row r="479" spans="3:17" s="117" customFormat="1" ht="18" customHeight="1" x14ac:dyDescent="0.35">
      <c r="C479" s="118"/>
      <c r="D479" s="116"/>
      <c r="E479" s="116"/>
      <c r="F479" s="116"/>
      <c r="G479" s="116"/>
      <c r="H479" s="116"/>
      <c r="I479" s="116"/>
      <c r="J479" s="116"/>
      <c r="K479" s="116"/>
      <c r="L479" s="118"/>
      <c r="M479" s="118"/>
      <c r="N479" s="118"/>
      <c r="O479" s="118"/>
      <c r="P479" s="118"/>
      <c r="Q479" s="255"/>
    </row>
    <row r="480" spans="3:17" s="117" customFormat="1" ht="18" customHeight="1" x14ac:dyDescent="0.35">
      <c r="C480" s="118"/>
      <c r="D480" s="116"/>
      <c r="E480" s="116"/>
      <c r="F480" s="116"/>
      <c r="G480" s="116"/>
      <c r="H480" s="116"/>
      <c r="I480" s="116"/>
      <c r="J480" s="116"/>
      <c r="K480" s="116"/>
      <c r="L480" s="118"/>
      <c r="M480" s="118"/>
      <c r="N480" s="118"/>
      <c r="O480" s="118"/>
      <c r="P480" s="118"/>
      <c r="Q480" s="255"/>
    </row>
    <row r="481" spans="2:17" s="117" customFormat="1" ht="18" customHeight="1" x14ac:dyDescent="0.35">
      <c r="C481" s="118"/>
      <c r="D481" s="116"/>
      <c r="E481" s="116"/>
      <c r="F481" s="116"/>
      <c r="G481" s="116"/>
      <c r="H481" s="116"/>
      <c r="I481" s="116"/>
      <c r="J481" s="116"/>
      <c r="K481" s="116"/>
      <c r="L481" s="118"/>
      <c r="M481" s="118"/>
      <c r="N481" s="118"/>
      <c r="O481" s="118"/>
      <c r="P481" s="118"/>
      <c r="Q481" s="255"/>
    </row>
    <row r="482" spans="2:17" s="117" customFormat="1" ht="18" customHeight="1" x14ac:dyDescent="0.35">
      <c r="C482" s="118"/>
      <c r="D482" s="116"/>
      <c r="E482" s="116"/>
      <c r="F482" s="116"/>
      <c r="G482" s="116"/>
      <c r="H482" s="116"/>
      <c r="I482" s="116"/>
      <c r="J482" s="116"/>
      <c r="K482" s="116"/>
      <c r="L482" s="118"/>
      <c r="M482" s="118"/>
      <c r="N482" s="118"/>
      <c r="O482" s="118"/>
      <c r="P482" s="118"/>
      <c r="Q482" s="255"/>
    </row>
    <row r="483" spans="2:17" ht="18" customHeight="1" x14ac:dyDescent="0.35"/>
    <row r="484" spans="2:17" ht="18" customHeight="1" x14ac:dyDescent="0.35"/>
    <row r="485" spans="2:17" ht="18" customHeight="1" x14ac:dyDescent="0.35"/>
    <row r="486" spans="2:17" ht="18" customHeight="1" x14ac:dyDescent="0.35"/>
    <row r="487" spans="2:17" ht="18" customHeight="1" x14ac:dyDescent="0.35"/>
    <row r="488" spans="2:17" ht="18" customHeight="1" x14ac:dyDescent="0.35"/>
    <row r="489" spans="2:17" ht="18" customHeight="1" x14ac:dyDescent="0.35">
      <c r="B489" s="117" t="s">
        <v>614</v>
      </c>
      <c r="C489" s="134"/>
      <c r="D489" s="140"/>
      <c r="E489" s="140"/>
      <c r="F489" s="140"/>
      <c r="G489" s="140"/>
      <c r="H489" s="140"/>
      <c r="I489" s="140"/>
      <c r="J489" s="140"/>
    </row>
    <row r="490" spans="2:17" ht="18" customHeight="1" x14ac:dyDescent="0.35">
      <c r="B490" s="114"/>
      <c r="C490" s="196"/>
      <c r="D490" s="126"/>
      <c r="E490" s="126"/>
      <c r="F490" s="126"/>
      <c r="G490" s="126"/>
      <c r="H490" s="126"/>
      <c r="I490" s="126"/>
      <c r="J490" s="126"/>
      <c r="K490" s="113"/>
      <c r="L490" s="125"/>
      <c r="M490" s="125"/>
      <c r="N490" s="125"/>
      <c r="O490" s="125"/>
      <c r="P490" s="125"/>
    </row>
    <row r="491" spans="2:17" ht="18" customHeight="1" x14ac:dyDescent="0.35">
      <c r="B491" s="114"/>
      <c r="C491" s="125" t="s">
        <v>157</v>
      </c>
      <c r="D491" s="126"/>
      <c r="E491" s="126"/>
      <c r="F491" s="126"/>
      <c r="G491" s="126"/>
      <c r="H491" s="126"/>
      <c r="I491" s="126"/>
      <c r="J491" s="126"/>
      <c r="K491" s="113"/>
      <c r="L491" s="125"/>
      <c r="M491" s="125"/>
      <c r="N491" s="125"/>
      <c r="O491" s="125"/>
      <c r="P491" s="125"/>
    </row>
    <row r="492" spans="2:17" ht="18" customHeight="1" x14ac:dyDescent="0.35">
      <c r="B492" s="114"/>
      <c r="C492" s="118" t="s">
        <v>158</v>
      </c>
      <c r="D492" s="126"/>
      <c r="E492" s="126"/>
      <c r="F492" s="126"/>
      <c r="G492" s="126"/>
      <c r="H492" s="126"/>
      <c r="I492" s="126"/>
      <c r="J492" s="126"/>
      <c r="K492" s="113"/>
    </row>
    <row r="493" spans="2:17" ht="18" customHeight="1" x14ac:dyDescent="0.35">
      <c r="B493" s="114"/>
      <c r="C493" s="196"/>
      <c r="D493" s="126"/>
      <c r="E493" s="126"/>
      <c r="F493" s="126"/>
      <c r="G493" s="126"/>
      <c r="H493" s="126"/>
      <c r="I493" s="126"/>
      <c r="J493" s="126"/>
      <c r="K493" s="113"/>
      <c r="L493" s="125"/>
      <c r="M493" s="125"/>
      <c r="N493" s="125"/>
      <c r="O493" s="125"/>
      <c r="P493" s="125"/>
    </row>
    <row r="494" spans="2:17" ht="18" customHeight="1" x14ac:dyDescent="0.35">
      <c r="B494" s="114"/>
      <c r="C494" s="196"/>
      <c r="D494" s="126"/>
      <c r="E494" s="126"/>
      <c r="F494" s="126"/>
      <c r="G494" s="126"/>
      <c r="H494" s="126"/>
      <c r="I494" s="126"/>
      <c r="J494" s="126"/>
      <c r="K494" s="113"/>
      <c r="L494" s="125"/>
      <c r="M494" s="125"/>
      <c r="N494" s="125"/>
      <c r="O494" s="125"/>
      <c r="P494" s="125"/>
    </row>
    <row r="495" spans="2:17" x14ac:dyDescent="0.35">
      <c r="F495" s="140"/>
    </row>
    <row r="496" spans="2:17" x14ac:dyDescent="0.35">
      <c r="B496" s="114" t="s">
        <v>615</v>
      </c>
      <c r="F496" s="140"/>
    </row>
    <row r="497" spans="2:6" x14ac:dyDescent="0.35">
      <c r="B497" s="117" t="s">
        <v>616</v>
      </c>
      <c r="C497" s="118" t="s">
        <v>159</v>
      </c>
      <c r="F497" s="140"/>
    </row>
    <row r="498" spans="2:6" ht="36" x14ac:dyDescent="0.35">
      <c r="B498" s="117" t="s">
        <v>617</v>
      </c>
      <c r="C498" s="118" t="s">
        <v>160</v>
      </c>
      <c r="F498" s="140"/>
    </row>
    <row r="499" spans="2:6" ht="36" x14ac:dyDescent="0.35">
      <c r="B499" s="117" t="s">
        <v>618</v>
      </c>
      <c r="C499" s="118" t="s">
        <v>161</v>
      </c>
      <c r="F499" s="140"/>
    </row>
    <row r="500" spans="2:6" x14ac:dyDescent="0.35">
      <c r="B500" s="117" t="s">
        <v>619</v>
      </c>
      <c r="C500" s="118" t="s">
        <v>162</v>
      </c>
      <c r="F500" s="140"/>
    </row>
    <row r="501" spans="2:6" x14ac:dyDescent="0.35">
      <c r="F501" s="140"/>
    </row>
    <row r="502" spans="2:6" x14ac:dyDescent="0.35">
      <c r="B502" s="117" t="s">
        <v>620</v>
      </c>
      <c r="F502" s="140"/>
    </row>
    <row r="503" spans="2:6" x14ac:dyDescent="0.35">
      <c r="B503" s="117" t="s">
        <v>621</v>
      </c>
      <c r="F503" s="140"/>
    </row>
    <row r="504" spans="2:6" x14ac:dyDescent="0.35">
      <c r="F504" s="140"/>
    </row>
    <row r="505" spans="2:6" x14ac:dyDescent="0.35">
      <c r="B505" s="114" t="s">
        <v>622</v>
      </c>
      <c r="C505" s="125"/>
      <c r="F505" s="140"/>
    </row>
    <row r="506" spans="2:6" ht="54" x14ac:dyDescent="0.35">
      <c r="B506" s="117" t="s">
        <v>10</v>
      </c>
      <c r="C506" s="118" t="s">
        <v>163</v>
      </c>
      <c r="F506" s="140"/>
    </row>
    <row r="507" spans="2:6" ht="54" x14ac:dyDescent="0.35">
      <c r="B507" s="117" t="s">
        <v>12</v>
      </c>
      <c r="C507" s="118" t="s">
        <v>164</v>
      </c>
      <c r="F507" s="140"/>
    </row>
    <row r="508" spans="2:6" ht="36" x14ac:dyDescent="0.35">
      <c r="B508" s="117" t="s">
        <v>33</v>
      </c>
      <c r="C508" s="118" t="s">
        <v>165</v>
      </c>
      <c r="F508" s="140"/>
    </row>
    <row r="509" spans="2:6" ht="54" x14ac:dyDescent="0.35">
      <c r="B509" s="117" t="s">
        <v>41</v>
      </c>
      <c r="C509" s="118" t="s">
        <v>166</v>
      </c>
      <c r="F509" s="140"/>
    </row>
    <row r="510" spans="2:6" x14ac:dyDescent="0.35">
      <c r="F510" s="140"/>
    </row>
    <row r="511" spans="2:6" x14ac:dyDescent="0.35">
      <c r="B511" s="114" t="s">
        <v>623</v>
      </c>
      <c r="C511" s="125"/>
      <c r="F511" s="140"/>
    </row>
    <row r="512" spans="2:6" ht="54" x14ac:dyDescent="0.35">
      <c r="B512" s="117" t="s">
        <v>10</v>
      </c>
      <c r="C512" s="118" t="s">
        <v>167</v>
      </c>
      <c r="F512" s="140"/>
    </row>
    <row r="513" spans="2:8" ht="54" x14ac:dyDescent="0.35">
      <c r="B513" s="117" t="s">
        <v>12</v>
      </c>
      <c r="C513" s="118" t="s">
        <v>168</v>
      </c>
      <c r="F513" s="140"/>
    </row>
    <row r="514" spans="2:8" ht="36" x14ac:dyDescent="0.35">
      <c r="B514" s="117" t="s">
        <v>33</v>
      </c>
      <c r="C514" s="118" t="s">
        <v>169</v>
      </c>
      <c r="F514" s="140"/>
    </row>
    <row r="515" spans="2:8" x14ac:dyDescent="0.35">
      <c r="B515" s="117" t="s">
        <v>41</v>
      </c>
      <c r="C515" s="118" t="s">
        <v>170</v>
      </c>
      <c r="F515" s="140"/>
    </row>
    <row r="516" spans="2:8" x14ac:dyDescent="0.35">
      <c r="F516" s="140"/>
    </row>
    <row r="517" spans="2:8" x14ac:dyDescent="0.35">
      <c r="B517" s="114" t="s">
        <v>624</v>
      </c>
      <c r="C517" s="125"/>
      <c r="F517" s="113" t="s">
        <v>625</v>
      </c>
      <c r="G517" s="113"/>
    </row>
    <row r="518" spans="2:8" ht="36" x14ac:dyDescent="0.35">
      <c r="B518" s="117" t="s">
        <v>10</v>
      </c>
      <c r="C518" s="118" t="s">
        <v>171</v>
      </c>
      <c r="F518" s="116" t="s">
        <v>10</v>
      </c>
      <c r="G518" s="116" t="s">
        <v>626</v>
      </c>
    </row>
    <row r="519" spans="2:8" x14ac:dyDescent="0.35">
      <c r="B519" s="117" t="s">
        <v>12</v>
      </c>
      <c r="C519" s="118" t="s">
        <v>172</v>
      </c>
      <c r="F519" s="116" t="s">
        <v>12</v>
      </c>
      <c r="G519" s="116" t="s">
        <v>627</v>
      </c>
    </row>
    <row r="520" spans="2:8" ht="36" x14ac:dyDescent="0.35">
      <c r="B520" s="117" t="s">
        <v>33</v>
      </c>
      <c r="C520" s="118" t="s">
        <v>173</v>
      </c>
      <c r="F520" s="116" t="s">
        <v>33</v>
      </c>
      <c r="G520" s="116" t="s">
        <v>628</v>
      </c>
    </row>
    <row r="521" spans="2:8" x14ac:dyDescent="0.35">
      <c r="B521" s="117" t="s">
        <v>629</v>
      </c>
      <c r="C521" s="118" t="s">
        <v>174</v>
      </c>
      <c r="F521" s="116" t="s">
        <v>41</v>
      </c>
      <c r="G521" s="116" t="s">
        <v>630</v>
      </c>
    </row>
    <row r="522" spans="2:8" x14ac:dyDescent="0.35">
      <c r="G522" s="140"/>
    </row>
    <row r="523" spans="2:8" x14ac:dyDescent="0.35">
      <c r="B523" s="114" t="s">
        <v>631</v>
      </c>
      <c r="C523" s="125"/>
      <c r="F523" s="113" t="s">
        <v>632</v>
      </c>
      <c r="G523" s="140"/>
    </row>
    <row r="524" spans="2:8" x14ac:dyDescent="0.35">
      <c r="B524" s="117" t="s">
        <v>10</v>
      </c>
      <c r="C524" s="118" t="s">
        <v>175</v>
      </c>
      <c r="F524" s="116" t="s">
        <v>633</v>
      </c>
      <c r="G524" s="116" t="s">
        <v>634</v>
      </c>
    </row>
    <row r="525" spans="2:8" ht="36" x14ac:dyDescent="0.35">
      <c r="B525" s="117" t="s">
        <v>635</v>
      </c>
      <c r="C525" s="118" t="s">
        <v>176</v>
      </c>
      <c r="F525" s="116" t="s">
        <v>636</v>
      </c>
      <c r="G525" s="116" t="s">
        <v>637</v>
      </c>
    </row>
    <row r="526" spans="2:8" ht="36" x14ac:dyDescent="0.35">
      <c r="B526" s="117" t="s">
        <v>638</v>
      </c>
      <c r="C526" s="118" t="s">
        <v>177</v>
      </c>
      <c r="F526" s="116" t="s">
        <v>639</v>
      </c>
    </row>
    <row r="527" spans="2:8" ht="36" x14ac:dyDescent="0.35">
      <c r="B527" s="117" t="s">
        <v>640</v>
      </c>
      <c r="C527" s="118" t="s">
        <v>178</v>
      </c>
      <c r="F527" s="140"/>
    </row>
    <row r="528" spans="2:8" x14ac:dyDescent="0.35">
      <c r="D528" s="256"/>
      <c r="E528" s="256"/>
      <c r="H528" s="116" t="s">
        <v>641</v>
      </c>
    </row>
    <row r="535" spans="2:17" s="113" customFormat="1" ht="18" customHeight="1" x14ac:dyDescent="0.35">
      <c r="B535" s="257"/>
      <c r="C535" s="258" t="s">
        <v>179</v>
      </c>
      <c r="D535" s="259" t="s">
        <v>180</v>
      </c>
      <c r="E535" s="259"/>
      <c r="F535" s="259" t="s">
        <v>642</v>
      </c>
      <c r="G535" s="259" t="s">
        <v>643</v>
      </c>
      <c r="H535" s="259" t="s">
        <v>644</v>
      </c>
      <c r="I535" s="259" t="s">
        <v>645</v>
      </c>
      <c r="J535" s="259"/>
      <c r="K535" s="259"/>
      <c r="L535" s="258"/>
      <c r="M535" s="125"/>
      <c r="N535" s="125"/>
      <c r="O535" s="125"/>
      <c r="P535" s="125"/>
      <c r="Q535" s="115"/>
    </row>
    <row r="536" spans="2:17" s="113" customFormat="1" ht="18" customHeight="1" x14ac:dyDescent="0.35">
      <c r="B536" s="260"/>
      <c r="C536" s="231"/>
      <c r="D536" s="261" t="s">
        <v>181</v>
      </c>
      <c r="E536" s="261"/>
      <c r="F536" s="261" t="s">
        <v>646</v>
      </c>
      <c r="G536" s="261" t="s">
        <v>646</v>
      </c>
      <c r="H536" s="261" t="s">
        <v>646</v>
      </c>
      <c r="I536" s="261" t="s">
        <v>646</v>
      </c>
      <c r="J536" s="261"/>
      <c r="K536" s="262"/>
      <c r="L536" s="263"/>
      <c r="M536" s="125"/>
      <c r="N536" s="125"/>
      <c r="O536" s="125"/>
      <c r="P536" s="125"/>
      <c r="Q536" s="115"/>
    </row>
    <row r="537" spans="2:17" ht="18" customHeight="1" x14ac:dyDescent="0.35">
      <c r="B537" s="264"/>
      <c r="C537" s="138" t="s">
        <v>182</v>
      </c>
      <c r="D537" s="137">
        <f t="shared" ref="D537:D560" si="36">SUM(F537:I537)</f>
        <v>90.859999999999985</v>
      </c>
      <c r="E537" s="137"/>
      <c r="F537" s="137">
        <f>+F35</f>
        <v>58.249999999999993</v>
      </c>
      <c r="G537" s="137"/>
      <c r="H537" s="137">
        <f>+H35</f>
        <v>0</v>
      </c>
      <c r="I537" s="137">
        <f>+I35</f>
        <v>32.61</v>
      </c>
      <c r="J537" s="137"/>
      <c r="K537" s="239"/>
      <c r="L537" s="240"/>
      <c r="M537" s="125"/>
      <c r="N537" s="125"/>
      <c r="O537" s="125"/>
      <c r="P537" s="125"/>
    </row>
    <row r="538" spans="2:17" ht="18" customHeight="1" x14ac:dyDescent="0.35">
      <c r="B538" s="264"/>
      <c r="C538" s="138" t="s">
        <v>183</v>
      </c>
      <c r="D538" s="137">
        <f t="shared" si="36"/>
        <v>96.17</v>
      </c>
      <c r="E538" s="137"/>
      <c r="F538" s="137">
        <f>+F71</f>
        <v>31.400000000000006</v>
      </c>
      <c r="G538" s="137"/>
      <c r="H538" s="137"/>
      <c r="I538" s="137">
        <f>+I71</f>
        <v>64.77</v>
      </c>
      <c r="J538" s="137"/>
      <c r="K538" s="141"/>
      <c r="L538" s="138"/>
    </row>
    <row r="539" spans="2:17" ht="18" customHeight="1" x14ac:dyDescent="0.35">
      <c r="B539" s="264"/>
      <c r="C539" s="138" t="s">
        <v>184</v>
      </c>
      <c r="D539" s="137">
        <f t="shared" si="36"/>
        <v>42.16</v>
      </c>
      <c r="E539" s="137"/>
      <c r="F539" s="137">
        <f>+F88</f>
        <v>5.7200000000000006</v>
      </c>
      <c r="G539" s="137"/>
      <c r="H539" s="137"/>
      <c r="I539" s="137">
        <f>+I88</f>
        <v>36.44</v>
      </c>
      <c r="J539" s="137"/>
      <c r="K539" s="239"/>
      <c r="L539" s="240"/>
      <c r="M539" s="125"/>
      <c r="N539" s="125"/>
      <c r="O539" s="125"/>
      <c r="P539" s="125"/>
    </row>
    <row r="540" spans="2:17" ht="18" customHeight="1" x14ac:dyDescent="0.35">
      <c r="B540" s="265"/>
      <c r="C540" s="266" t="s">
        <v>185</v>
      </c>
      <c r="D540" s="137">
        <f t="shared" si="36"/>
        <v>3.2800000000000002</v>
      </c>
      <c r="E540" s="173"/>
      <c r="F540" s="173">
        <f>+F95</f>
        <v>0.48</v>
      </c>
      <c r="G540" s="173"/>
      <c r="H540" s="173"/>
      <c r="I540" s="173">
        <f>+I95</f>
        <v>2.8000000000000003</v>
      </c>
      <c r="J540" s="173"/>
      <c r="K540" s="239"/>
      <c r="L540" s="240"/>
      <c r="M540" s="125"/>
      <c r="N540" s="125"/>
      <c r="O540" s="125"/>
      <c r="P540" s="125"/>
    </row>
    <row r="541" spans="2:17" ht="18" customHeight="1" x14ac:dyDescent="0.35">
      <c r="B541" s="265"/>
      <c r="C541" s="266" t="s">
        <v>186</v>
      </c>
      <c r="D541" s="137">
        <f t="shared" si="36"/>
        <v>53.149999999999991</v>
      </c>
      <c r="E541" s="173"/>
      <c r="F541" s="173">
        <f>+F112</f>
        <v>14.190000000000001</v>
      </c>
      <c r="G541" s="173"/>
      <c r="H541" s="173"/>
      <c r="I541" s="173">
        <f>+I112</f>
        <v>38.959999999999994</v>
      </c>
      <c r="J541" s="173"/>
      <c r="K541" s="239"/>
      <c r="L541" s="240"/>
      <c r="M541" s="125"/>
      <c r="N541" s="125"/>
      <c r="O541" s="125"/>
      <c r="P541" s="125"/>
    </row>
    <row r="542" spans="2:17" ht="18" customHeight="1" x14ac:dyDescent="0.35">
      <c r="B542" s="265"/>
      <c r="C542" s="266" t="s">
        <v>187</v>
      </c>
      <c r="D542" s="137">
        <f t="shared" si="36"/>
        <v>112.92</v>
      </c>
      <c r="E542" s="173"/>
      <c r="F542" s="173">
        <f>+F154</f>
        <v>43.19</v>
      </c>
      <c r="G542" s="173"/>
      <c r="H542" s="173"/>
      <c r="I542" s="173">
        <f>+I154</f>
        <v>69.73</v>
      </c>
      <c r="J542" s="173"/>
      <c r="K542" s="239"/>
      <c r="L542" s="240"/>
      <c r="M542" s="125"/>
      <c r="N542" s="125"/>
      <c r="O542" s="125"/>
      <c r="P542" s="125"/>
    </row>
    <row r="543" spans="2:17" ht="18" customHeight="1" x14ac:dyDescent="0.35">
      <c r="B543" s="265"/>
      <c r="C543" s="266" t="s">
        <v>188</v>
      </c>
      <c r="D543" s="137">
        <f t="shared" si="36"/>
        <v>46.92</v>
      </c>
      <c r="E543" s="173"/>
      <c r="F543" s="173">
        <f>+F176</f>
        <v>4.5600000000000005</v>
      </c>
      <c r="G543" s="173"/>
      <c r="H543" s="173"/>
      <c r="I543" s="173">
        <f>+I176</f>
        <v>42.36</v>
      </c>
      <c r="J543" s="173"/>
      <c r="K543" s="239"/>
      <c r="L543" s="240"/>
      <c r="M543" s="125"/>
      <c r="N543" s="125"/>
      <c r="O543" s="125"/>
      <c r="P543" s="125"/>
    </row>
    <row r="544" spans="2:17" ht="18" customHeight="1" x14ac:dyDescent="0.35">
      <c r="B544" s="265"/>
      <c r="C544" s="266" t="s">
        <v>189</v>
      </c>
      <c r="D544" s="137">
        <f t="shared" si="36"/>
        <v>18.489999999999998</v>
      </c>
      <c r="E544" s="173"/>
      <c r="F544" s="173">
        <f>+F184</f>
        <v>17.809999999999999</v>
      </c>
      <c r="G544" s="173"/>
      <c r="H544" s="173"/>
      <c r="I544" s="173">
        <f>+I184</f>
        <v>0.67999999999999994</v>
      </c>
      <c r="J544" s="173"/>
      <c r="K544" s="239"/>
      <c r="L544" s="240"/>
      <c r="M544" s="125"/>
      <c r="N544" s="125"/>
      <c r="O544" s="125"/>
      <c r="P544" s="125"/>
    </row>
    <row r="545" spans="2:17" s="113" customFormat="1" ht="18" customHeight="1" x14ac:dyDescent="0.35">
      <c r="B545" s="265"/>
      <c r="C545" s="267" t="s">
        <v>190</v>
      </c>
      <c r="D545" s="248">
        <f t="shared" si="36"/>
        <v>463.95000000000005</v>
      </c>
      <c r="E545" s="268"/>
      <c r="F545" s="268">
        <f>SUM(F537:F544)</f>
        <v>175.60000000000002</v>
      </c>
      <c r="G545" s="268">
        <f>SUM(G537:G544)</f>
        <v>0</v>
      </c>
      <c r="H545" s="268">
        <f>SUM(H537:H544)</f>
        <v>0</v>
      </c>
      <c r="I545" s="268">
        <f>SUM(I537:I544)</f>
        <v>288.35000000000002</v>
      </c>
      <c r="J545" s="268"/>
      <c r="K545" s="239"/>
      <c r="L545" s="240"/>
      <c r="M545" s="125"/>
      <c r="N545" s="125"/>
      <c r="O545" s="125"/>
      <c r="P545" s="125"/>
      <c r="Q545" s="115"/>
    </row>
    <row r="546" spans="2:17" ht="18" customHeight="1" x14ac:dyDescent="0.35">
      <c r="B546" s="265"/>
      <c r="C546" s="266" t="s">
        <v>191</v>
      </c>
      <c r="D546" s="137">
        <f t="shared" si="36"/>
        <v>136</v>
      </c>
      <c r="E546" s="173"/>
      <c r="F546" s="173">
        <f>+F213</f>
        <v>35.667000000000002</v>
      </c>
      <c r="G546" s="173">
        <f>+G213</f>
        <v>0</v>
      </c>
      <c r="H546" s="173"/>
      <c r="I546" s="173">
        <f>+I213</f>
        <v>100.33299999999998</v>
      </c>
      <c r="J546" s="173"/>
      <c r="K546" s="239"/>
      <c r="L546" s="240"/>
      <c r="M546" s="125"/>
      <c r="N546" s="125"/>
      <c r="O546" s="125"/>
      <c r="P546" s="125"/>
    </row>
    <row r="547" spans="2:17" ht="18" customHeight="1" x14ac:dyDescent="0.35">
      <c r="B547" s="265"/>
      <c r="C547" s="266" t="s">
        <v>192</v>
      </c>
      <c r="D547" s="137">
        <f t="shared" si="36"/>
        <v>88.76</v>
      </c>
      <c r="E547" s="173"/>
      <c r="F547" s="173">
        <f>+F232</f>
        <v>33.61</v>
      </c>
      <c r="G547" s="173"/>
      <c r="H547" s="173"/>
      <c r="I547" s="173">
        <f>+I232</f>
        <v>55.150000000000006</v>
      </c>
      <c r="J547" s="173"/>
      <c r="K547" s="239"/>
      <c r="L547" s="240"/>
      <c r="M547" s="125"/>
      <c r="N547" s="125"/>
      <c r="O547" s="125"/>
      <c r="P547" s="125"/>
    </row>
    <row r="548" spans="2:17" ht="18" customHeight="1" x14ac:dyDescent="0.35">
      <c r="B548" s="265"/>
      <c r="C548" s="266" t="s">
        <v>193</v>
      </c>
      <c r="D548" s="137">
        <f t="shared" si="36"/>
        <v>90.350000000000009</v>
      </c>
      <c r="E548" s="173"/>
      <c r="F548" s="173">
        <f>+F247</f>
        <v>14.2</v>
      </c>
      <c r="G548" s="173"/>
      <c r="H548" s="173"/>
      <c r="I548" s="173">
        <f>+I247</f>
        <v>76.150000000000006</v>
      </c>
      <c r="J548" s="173"/>
      <c r="K548" s="239"/>
      <c r="L548" s="240"/>
      <c r="M548" s="125"/>
      <c r="N548" s="125"/>
      <c r="O548" s="125"/>
      <c r="P548" s="125"/>
    </row>
    <row r="549" spans="2:17" ht="18" customHeight="1" x14ac:dyDescent="0.35">
      <c r="B549" s="265"/>
      <c r="C549" s="266" t="s">
        <v>194</v>
      </c>
      <c r="D549" s="137">
        <f t="shared" si="36"/>
        <v>29.659999999999997</v>
      </c>
      <c r="E549" s="173"/>
      <c r="F549" s="173">
        <f>+F260</f>
        <v>8.7899999999999991</v>
      </c>
      <c r="G549" s="173"/>
      <c r="H549" s="173"/>
      <c r="I549" s="173">
        <f>+I260</f>
        <v>20.869999999999997</v>
      </c>
      <c r="J549" s="173"/>
      <c r="K549" s="239"/>
      <c r="L549" s="240"/>
      <c r="M549" s="125"/>
      <c r="N549" s="125"/>
      <c r="O549" s="125"/>
      <c r="P549" s="125"/>
    </row>
    <row r="550" spans="2:17" ht="18" customHeight="1" x14ac:dyDescent="0.35">
      <c r="B550" s="265"/>
      <c r="C550" s="266" t="s">
        <v>195</v>
      </c>
      <c r="D550" s="137">
        <f t="shared" si="36"/>
        <v>77.03</v>
      </c>
      <c r="E550" s="173"/>
      <c r="F550" s="173">
        <f>+F284</f>
        <v>26.582000000000001</v>
      </c>
      <c r="G550" s="173"/>
      <c r="H550" s="173"/>
      <c r="I550" s="173">
        <f>+I284</f>
        <v>50.448</v>
      </c>
      <c r="J550" s="173"/>
      <c r="K550" s="239"/>
      <c r="L550" s="240"/>
      <c r="M550" s="125"/>
      <c r="N550" s="125"/>
      <c r="O550" s="125"/>
      <c r="P550" s="125"/>
    </row>
    <row r="551" spans="2:17" ht="18" customHeight="1" x14ac:dyDescent="0.35">
      <c r="B551" s="265"/>
      <c r="C551" s="266" t="s">
        <v>196</v>
      </c>
      <c r="D551" s="137">
        <f t="shared" si="36"/>
        <v>62</v>
      </c>
      <c r="E551" s="173"/>
      <c r="F551" s="173">
        <f>+F303</f>
        <v>14.170000000000002</v>
      </c>
      <c r="G551" s="173">
        <f>+G303</f>
        <v>0</v>
      </c>
      <c r="H551" s="173"/>
      <c r="I551" s="173">
        <f>+I303</f>
        <v>47.83</v>
      </c>
      <c r="J551" s="173"/>
      <c r="K551" s="239"/>
      <c r="L551" s="240"/>
      <c r="M551" s="125"/>
      <c r="N551" s="125"/>
      <c r="O551" s="125"/>
      <c r="P551" s="125"/>
    </row>
    <row r="552" spans="2:17" ht="18" customHeight="1" x14ac:dyDescent="0.35">
      <c r="B552" s="265"/>
      <c r="C552" s="266" t="s">
        <v>197</v>
      </c>
      <c r="D552" s="137">
        <f t="shared" si="36"/>
        <v>41.973000000000006</v>
      </c>
      <c r="E552" s="173"/>
      <c r="F552" s="173">
        <f>+F318</f>
        <v>26.39</v>
      </c>
      <c r="G552" s="173">
        <f>+G318</f>
        <v>6.593</v>
      </c>
      <c r="H552" s="173"/>
      <c r="I552" s="173">
        <f>+I318</f>
        <v>8.99</v>
      </c>
      <c r="J552" s="173"/>
      <c r="K552" s="239"/>
      <c r="L552" s="240"/>
      <c r="M552" s="125"/>
      <c r="N552" s="125"/>
      <c r="O552" s="125"/>
      <c r="P552" s="125"/>
    </row>
    <row r="553" spans="2:17" ht="18" customHeight="1" x14ac:dyDescent="0.35">
      <c r="B553" s="265"/>
      <c r="C553" s="266" t="s">
        <v>198</v>
      </c>
      <c r="D553" s="137">
        <f t="shared" si="36"/>
        <v>34.235999999999997</v>
      </c>
      <c r="E553" s="173"/>
      <c r="F553" s="173">
        <f>+F341</f>
        <v>21.585999999999999</v>
      </c>
      <c r="G553" s="173">
        <f>+G341</f>
        <v>5.75</v>
      </c>
      <c r="H553" s="173"/>
      <c r="I553" s="173">
        <f>+I341</f>
        <v>6.9</v>
      </c>
      <c r="J553" s="173"/>
      <c r="K553" s="239"/>
      <c r="L553" s="240"/>
      <c r="M553" s="125"/>
      <c r="N553" s="125"/>
      <c r="O553" s="125"/>
      <c r="P553" s="125"/>
    </row>
    <row r="554" spans="2:17" ht="18" customHeight="1" x14ac:dyDescent="0.35">
      <c r="B554" s="265"/>
      <c r="C554" s="266" t="s">
        <v>199</v>
      </c>
      <c r="D554" s="137">
        <f t="shared" si="36"/>
        <v>7.25</v>
      </c>
      <c r="E554" s="173"/>
      <c r="F554" s="173">
        <f>+F350</f>
        <v>3.3</v>
      </c>
      <c r="G554" s="173"/>
      <c r="H554" s="173"/>
      <c r="I554" s="173">
        <f>+I350</f>
        <v>3.9499999999999997</v>
      </c>
      <c r="J554" s="173"/>
      <c r="K554" s="239"/>
      <c r="L554" s="240"/>
      <c r="M554" s="125"/>
      <c r="N554" s="125"/>
      <c r="O554" s="125"/>
      <c r="P554" s="125"/>
    </row>
    <row r="555" spans="2:17" ht="18" customHeight="1" x14ac:dyDescent="0.35">
      <c r="B555" s="265"/>
      <c r="C555" s="266" t="s">
        <v>200</v>
      </c>
      <c r="D555" s="137">
        <f t="shared" si="36"/>
        <v>113.11499999999999</v>
      </c>
      <c r="E555" s="173"/>
      <c r="F555" s="173">
        <f>+F371</f>
        <v>57.059999999999995</v>
      </c>
      <c r="G555" s="173"/>
      <c r="H555" s="173"/>
      <c r="I555" s="173">
        <f>+I371</f>
        <v>56.055</v>
      </c>
      <c r="J555" s="173"/>
      <c r="K555" s="239"/>
      <c r="L555" s="240"/>
      <c r="M555" s="125"/>
      <c r="N555" s="125"/>
      <c r="O555" s="125"/>
      <c r="P555" s="125"/>
    </row>
    <row r="556" spans="2:17" ht="18" customHeight="1" x14ac:dyDescent="0.35">
      <c r="B556" s="265"/>
      <c r="C556" s="266" t="s">
        <v>201</v>
      </c>
      <c r="D556" s="137">
        <f t="shared" si="36"/>
        <v>46.961999999999996</v>
      </c>
      <c r="E556" s="173"/>
      <c r="F556" s="173">
        <f>+F385</f>
        <v>11.612</v>
      </c>
      <c r="G556" s="173"/>
      <c r="H556" s="173"/>
      <c r="I556" s="173">
        <f>+I385</f>
        <v>35.349999999999994</v>
      </c>
      <c r="J556" s="173"/>
      <c r="K556" s="239"/>
      <c r="L556" s="240"/>
      <c r="M556" s="125"/>
      <c r="N556" s="125"/>
      <c r="O556" s="125"/>
      <c r="P556" s="125"/>
    </row>
    <row r="557" spans="2:17" ht="18" customHeight="1" x14ac:dyDescent="0.35">
      <c r="B557" s="265"/>
      <c r="C557" s="266" t="s">
        <v>202</v>
      </c>
      <c r="D557" s="137">
        <f t="shared" si="36"/>
        <v>20.183999999999997</v>
      </c>
      <c r="E557" s="173"/>
      <c r="F557" s="173">
        <f>+F399</f>
        <v>15.156999999999998</v>
      </c>
      <c r="G557" s="173"/>
      <c r="H557" s="173"/>
      <c r="I557" s="173">
        <f>+I399</f>
        <v>5.0270000000000001</v>
      </c>
      <c r="J557" s="173"/>
      <c r="K557" s="239"/>
      <c r="L557" s="240"/>
      <c r="M557" s="125"/>
      <c r="N557" s="125"/>
      <c r="O557" s="125"/>
      <c r="P557" s="125"/>
    </row>
    <row r="558" spans="2:17" ht="18" customHeight="1" x14ac:dyDescent="0.35">
      <c r="B558" s="265"/>
      <c r="C558" s="266" t="s">
        <v>203</v>
      </c>
      <c r="D558" s="137">
        <f t="shared" si="36"/>
        <v>8.7409999999999997</v>
      </c>
      <c r="E558" s="173"/>
      <c r="F558" s="173">
        <f>+F407</f>
        <v>1.18</v>
      </c>
      <c r="G558" s="173"/>
      <c r="H558" s="173"/>
      <c r="I558" s="173">
        <f>+I407</f>
        <v>7.5609999999999999</v>
      </c>
      <c r="J558" s="173"/>
      <c r="K558" s="239"/>
      <c r="L558" s="240"/>
      <c r="M558" s="125"/>
      <c r="N558" s="125"/>
      <c r="O558" s="125"/>
      <c r="P558" s="125"/>
    </row>
    <row r="559" spans="2:17" s="113" customFormat="1" ht="18" customHeight="1" x14ac:dyDescent="0.35">
      <c r="B559" s="265"/>
      <c r="C559" s="267" t="s">
        <v>190</v>
      </c>
      <c r="D559" s="248">
        <f t="shared" si="36"/>
        <v>756.26099999999997</v>
      </c>
      <c r="E559" s="268"/>
      <c r="F559" s="268">
        <f>SUM(F546:F558)</f>
        <v>269.30400000000003</v>
      </c>
      <c r="G559" s="268">
        <f>SUM(G546:G558)</f>
        <v>12.343</v>
      </c>
      <c r="H559" s="268"/>
      <c r="I559" s="268">
        <f>SUM(I546:I558)</f>
        <v>474.61399999999992</v>
      </c>
      <c r="J559" s="268"/>
      <c r="K559" s="239"/>
      <c r="L559" s="240"/>
      <c r="M559" s="125"/>
      <c r="N559" s="125"/>
      <c r="O559" s="125"/>
      <c r="P559" s="125"/>
      <c r="Q559" s="115"/>
    </row>
    <row r="560" spans="2:17" ht="18" customHeight="1" x14ac:dyDescent="0.35">
      <c r="B560" s="264"/>
      <c r="C560" s="269" t="s">
        <v>204</v>
      </c>
      <c r="D560" s="248">
        <f t="shared" si="36"/>
        <v>1220.211</v>
      </c>
      <c r="E560" s="268"/>
      <c r="F560" s="268">
        <f>+F559+F545</f>
        <v>444.90400000000005</v>
      </c>
      <c r="G560" s="268">
        <f>+G559+G545</f>
        <v>12.343</v>
      </c>
      <c r="H560" s="268">
        <f>+H559+H545</f>
        <v>0</v>
      </c>
      <c r="I560" s="268">
        <f>+I559+I545</f>
        <v>762.96399999999994</v>
      </c>
      <c r="J560" s="268"/>
      <c r="K560" s="239"/>
      <c r="L560" s="269"/>
      <c r="M560" s="125"/>
      <c r="N560" s="125"/>
      <c r="O560" s="125"/>
      <c r="P560" s="125"/>
    </row>
    <row r="562" spans="4:12" ht="36" x14ac:dyDescent="0.35">
      <c r="D562" s="256">
        <v>1149.9349999999999</v>
      </c>
      <c r="E562" s="256"/>
      <c r="L562" s="118" t="s">
        <v>647</v>
      </c>
    </row>
  </sheetData>
  <autoFilter ref="K1:K562" xr:uid="{00000000-0009-0000-0000-000002000000}"/>
  <mergeCells count="211">
    <mergeCell ref="B1:M1"/>
    <mergeCell ref="B2:M2"/>
    <mergeCell ref="B3:M3"/>
    <mergeCell ref="B6:M6"/>
    <mergeCell ref="B8:B9"/>
    <mergeCell ref="C8:C9"/>
    <mergeCell ref="D8:D9"/>
    <mergeCell ref="E8:E9"/>
    <mergeCell ref="F8:J8"/>
    <mergeCell ref="K8:K9"/>
    <mergeCell ref="L8:L9"/>
    <mergeCell ref="M8:M9"/>
    <mergeCell ref="B39:M39"/>
    <mergeCell ref="B41:B42"/>
    <mergeCell ref="C41:C42"/>
    <mergeCell ref="D41:D42"/>
    <mergeCell ref="F41:J41"/>
    <mergeCell ref="K41:K42"/>
    <mergeCell ref="L41:L42"/>
    <mergeCell ref="M41:M42"/>
    <mergeCell ref="B90:M90"/>
    <mergeCell ref="B92:B93"/>
    <mergeCell ref="C92:C93"/>
    <mergeCell ref="D92:D93"/>
    <mergeCell ref="F92:J92"/>
    <mergeCell ref="K92:K93"/>
    <mergeCell ref="L92:L93"/>
    <mergeCell ref="M92:M93"/>
    <mergeCell ref="B76:M76"/>
    <mergeCell ref="B78:B79"/>
    <mergeCell ref="C78:C79"/>
    <mergeCell ref="D78:D79"/>
    <mergeCell ref="F78:J78"/>
    <mergeCell ref="K78:K79"/>
    <mergeCell ref="L78:L79"/>
    <mergeCell ref="M78:M79"/>
    <mergeCell ref="B115:M115"/>
    <mergeCell ref="B117:B118"/>
    <mergeCell ref="C117:C118"/>
    <mergeCell ref="D117:D118"/>
    <mergeCell ref="F117:J117"/>
    <mergeCell ref="K117:K118"/>
    <mergeCell ref="L117:L118"/>
    <mergeCell ref="M117:M118"/>
    <mergeCell ref="B97:M97"/>
    <mergeCell ref="B99:B100"/>
    <mergeCell ref="C99:C100"/>
    <mergeCell ref="D99:D100"/>
    <mergeCell ref="F99:J99"/>
    <mergeCell ref="K99:K100"/>
    <mergeCell ref="L99:L100"/>
    <mergeCell ref="M99:M100"/>
    <mergeCell ref="B178:M178"/>
    <mergeCell ref="B180:B181"/>
    <mergeCell ref="C180:C181"/>
    <mergeCell ref="D180:D181"/>
    <mergeCell ref="F180:J180"/>
    <mergeCell ref="K180:K181"/>
    <mergeCell ref="L180:L181"/>
    <mergeCell ref="M180:M181"/>
    <mergeCell ref="M144:M145"/>
    <mergeCell ref="B157:M157"/>
    <mergeCell ref="B159:B160"/>
    <mergeCell ref="C159:C160"/>
    <mergeCell ref="D159:D160"/>
    <mergeCell ref="F159:J159"/>
    <mergeCell ref="K159:K160"/>
    <mergeCell ref="L159:L160"/>
    <mergeCell ref="M159:M160"/>
    <mergeCell ref="B144:B145"/>
    <mergeCell ref="C144:C145"/>
    <mergeCell ref="D144:D145"/>
    <mergeCell ref="F144:J144"/>
    <mergeCell ref="K144:K145"/>
    <mergeCell ref="L144:L145"/>
    <mergeCell ref="B186:C186"/>
    <mergeCell ref="B189:M189"/>
    <mergeCell ref="B191:B192"/>
    <mergeCell ref="C191:C192"/>
    <mergeCell ref="D191:D192"/>
    <mergeCell ref="F191:J191"/>
    <mergeCell ref="K191:K192"/>
    <mergeCell ref="L191:L192"/>
    <mergeCell ref="M191:M192"/>
    <mergeCell ref="B234:M234"/>
    <mergeCell ref="B236:B237"/>
    <mergeCell ref="C236:C237"/>
    <mergeCell ref="D236:D237"/>
    <mergeCell ref="F236:J236"/>
    <mergeCell ref="K236:K237"/>
    <mergeCell ref="L236:L237"/>
    <mergeCell ref="M236:M237"/>
    <mergeCell ref="M205:M206"/>
    <mergeCell ref="B219:M219"/>
    <mergeCell ref="B221:B222"/>
    <mergeCell ref="C221:C222"/>
    <mergeCell ref="D221:D222"/>
    <mergeCell ref="F221:J221"/>
    <mergeCell ref="K221:K222"/>
    <mergeCell ref="L221:L222"/>
    <mergeCell ref="M221:M222"/>
    <mergeCell ref="B205:B206"/>
    <mergeCell ref="C205:C206"/>
    <mergeCell ref="D205:D206"/>
    <mergeCell ref="F205:J205"/>
    <mergeCell ref="K205:K206"/>
    <mergeCell ref="L205:L206"/>
    <mergeCell ref="B262:M262"/>
    <mergeCell ref="B264:B265"/>
    <mergeCell ref="C264:C265"/>
    <mergeCell ref="D264:D265"/>
    <mergeCell ref="F264:J264"/>
    <mergeCell ref="K264:K265"/>
    <mergeCell ref="L264:L265"/>
    <mergeCell ref="M264:M265"/>
    <mergeCell ref="B250:M250"/>
    <mergeCell ref="B252:B253"/>
    <mergeCell ref="C252:C253"/>
    <mergeCell ref="D252:D253"/>
    <mergeCell ref="F252:J252"/>
    <mergeCell ref="K252:K253"/>
    <mergeCell ref="L252:L253"/>
    <mergeCell ref="M252:M253"/>
    <mergeCell ref="M270:M271"/>
    <mergeCell ref="Q277:Q279"/>
    <mergeCell ref="B287:M287"/>
    <mergeCell ref="B289:B290"/>
    <mergeCell ref="C289:C290"/>
    <mergeCell ref="D289:D290"/>
    <mergeCell ref="F289:J289"/>
    <mergeCell ref="K289:K290"/>
    <mergeCell ref="L289:L290"/>
    <mergeCell ref="M289:M290"/>
    <mergeCell ref="B270:B271"/>
    <mergeCell ref="C270:C271"/>
    <mergeCell ref="D270:D271"/>
    <mergeCell ref="F270:J270"/>
    <mergeCell ref="K270:K271"/>
    <mergeCell ref="L270:L271"/>
    <mergeCell ref="B322:M322"/>
    <mergeCell ref="B324:B325"/>
    <mergeCell ref="C324:C325"/>
    <mergeCell ref="D324:D325"/>
    <mergeCell ref="F324:J324"/>
    <mergeCell ref="K324:K325"/>
    <mergeCell ref="L324:L325"/>
    <mergeCell ref="M324:M325"/>
    <mergeCell ref="B305:M305"/>
    <mergeCell ref="B307:B308"/>
    <mergeCell ref="C307:C308"/>
    <mergeCell ref="D307:D308"/>
    <mergeCell ref="F307:J307"/>
    <mergeCell ref="K307:K308"/>
    <mergeCell ref="L307:L308"/>
    <mergeCell ref="M307:M308"/>
    <mergeCell ref="B353:M353"/>
    <mergeCell ref="B355:B356"/>
    <mergeCell ref="C355:C356"/>
    <mergeCell ref="D355:D356"/>
    <mergeCell ref="F355:J355"/>
    <mergeCell ref="K355:K356"/>
    <mergeCell ref="L355:L356"/>
    <mergeCell ref="M355:M356"/>
    <mergeCell ref="M333:M334"/>
    <mergeCell ref="B343:M343"/>
    <mergeCell ref="B345:B346"/>
    <mergeCell ref="C345:C346"/>
    <mergeCell ref="D345:D346"/>
    <mergeCell ref="F345:J345"/>
    <mergeCell ref="K345:K346"/>
    <mergeCell ref="L345:L346"/>
    <mergeCell ref="M345:M346"/>
    <mergeCell ref="B333:B334"/>
    <mergeCell ref="C333:C334"/>
    <mergeCell ref="D333:D334"/>
    <mergeCell ref="F333:J333"/>
    <mergeCell ref="K333:K334"/>
    <mergeCell ref="L333:L334"/>
    <mergeCell ref="B388:M388"/>
    <mergeCell ref="B390:B391"/>
    <mergeCell ref="C390:C391"/>
    <mergeCell ref="D390:D391"/>
    <mergeCell ref="F390:J390"/>
    <mergeCell ref="K390:K391"/>
    <mergeCell ref="L390:L391"/>
    <mergeCell ref="M390:M391"/>
    <mergeCell ref="B373:M373"/>
    <mergeCell ref="B375:B376"/>
    <mergeCell ref="C375:C376"/>
    <mergeCell ref="D375:D376"/>
    <mergeCell ref="F375:J375"/>
    <mergeCell ref="K375:K376"/>
    <mergeCell ref="L375:L376"/>
    <mergeCell ref="M375:M376"/>
    <mergeCell ref="B409:C409"/>
    <mergeCell ref="B410:C410"/>
    <mergeCell ref="M396:M397"/>
    <mergeCell ref="B401:M401"/>
    <mergeCell ref="B403:B404"/>
    <mergeCell ref="C403:C404"/>
    <mergeCell ref="D403:D404"/>
    <mergeCell ref="F403:J403"/>
    <mergeCell ref="K403:K404"/>
    <mergeCell ref="L403:L404"/>
    <mergeCell ref="M403:M404"/>
    <mergeCell ref="B396:B397"/>
    <mergeCell ref="C396:C397"/>
    <mergeCell ref="D396:D397"/>
    <mergeCell ref="F396:J396"/>
    <mergeCell ref="K396:K397"/>
    <mergeCell ref="L396:L397"/>
  </mergeCells>
  <printOptions horizontalCentered="1"/>
  <pageMargins left="0" right="0" top="0.63" bottom="0.46" header="0.41" footer="0"/>
  <pageSetup paperSize="9" scale="79" firstPageNumber="11" fitToHeight="0" orientation="landscape" useFirstPageNumber="1" horizontalDpi="300" verticalDpi="300" r:id="rId1"/>
  <headerFooter scaleWithDoc="0" alignWithMargins="0">
    <firstFooter>&amp;R&amp;P</firstFooter>
  </headerFooter>
  <rowBreaks count="11" manualBreakCount="11">
    <brk id="37" min="1" max="12" man="1"/>
    <brk id="74" min="1" max="12" man="1"/>
    <brk id="113" min="1" max="12" man="1"/>
    <brk id="155" min="1" max="12" man="1"/>
    <brk id="187" min="1" max="12" man="1"/>
    <brk id="217" min="1" max="12" man="1"/>
    <brk id="248" min="1" max="12" man="1"/>
    <brk id="285" min="1" max="12" man="1"/>
    <brk id="320" min="1" max="12" man="1"/>
    <brk id="351" min="1" max="12" man="1"/>
    <brk id="386" min="1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B1:AJ241"/>
  <sheetViews>
    <sheetView zoomScale="138" workbookViewId="0">
      <pane ySplit="1" topLeftCell="A2" activePane="bottomLeft" state="frozen"/>
      <selection activeCell="R66" sqref="R66"/>
      <selection pane="bottomLeft" activeCell="W38" sqref="W38"/>
    </sheetView>
  </sheetViews>
  <sheetFormatPr defaultColWidth="9.1796875" defaultRowHeight="14" x14ac:dyDescent="0.3"/>
  <cols>
    <col min="1" max="2" width="9.1796875" style="93"/>
    <col min="3" max="7" width="15" style="93" customWidth="1"/>
    <col min="8" max="8" width="0" style="270" hidden="1" customWidth="1"/>
    <col min="9" max="9" width="5" style="93" hidden="1" customWidth="1"/>
    <col min="10" max="10" width="28.26953125" style="93" hidden="1" customWidth="1"/>
    <col min="11" max="16" width="0" style="270" hidden="1" customWidth="1"/>
    <col min="17" max="21" width="0" style="93" hidden="1" customWidth="1"/>
    <col min="22" max="22" width="9.1796875" style="93"/>
    <col min="23" max="23" width="15.81640625" style="301" bestFit="1" customWidth="1"/>
    <col min="24" max="25" width="13.453125" style="301" customWidth="1"/>
    <col min="26" max="27" width="14.7265625" style="301" customWidth="1"/>
    <col min="28" max="28" width="16.7265625" style="93" customWidth="1"/>
    <col min="29" max="29" width="15.1796875" style="93" customWidth="1"/>
    <col min="30" max="30" width="2.26953125" style="93" customWidth="1"/>
    <col min="31" max="31" width="9.453125" style="280" customWidth="1"/>
    <col min="32" max="32" width="20.54296875" style="286" hidden="1" customWidth="1"/>
    <col min="33" max="35" width="0" style="286" hidden="1" customWidth="1"/>
    <col min="36" max="36" width="0" style="94" hidden="1" customWidth="1"/>
    <col min="37" max="16384" width="9.1796875" style="93"/>
  </cols>
  <sheetData>
    <row r="1" spans="2:31" x14ac:dyDescent="0.3">
      <c r="J1" s="93" t="s">
        <v>209</v>
      </c>
      <c r="L1" s="270" t="s">
        <v>511</v>
      </c>
      <c r="M1" s="270" t="s">
        <v>649</v>
      </c>
      <c r="N1" s="270" t="s">
        <v>650</v>
      </c>
      <c r="O1" s="270" t="s">
        <v>651</v>
      </c>
      <c r="P1" s="270" t="s">
        <v>652</v>
      </c>
    </row>
    <row r="2" spans="2:31" ht="22.5" x14ac:dyDescent="0.45">
      <c r="C2" s="1188" t="s">
        <v>657</v>
      </c>
      <c r="D2" s="1188"/>
      <c r="E2" s="1188"/>
      <c r="F2" s="1188"/>
      <c r="G2" s="1188"/>
    </row>
    <row r="3" spans="2:31" ht="9" customHeight="1" thickBot="1" x14ac:dyDescent="0.35"/>
    <row r="4" spans="2:31" x14ac:dyDescent="0.3">
      <c r="B4" s="273"/>
      <c r="C4" s="472" t="s">
        <v>308</v>
      </c>
      <c r="D4" s="274" t="s">
        <v>309</v>
      </c>
      <c r="E4" s="274" t="s">
        <v>310</v>
      </c>
      <c r="F4" s="274" t="s">
        <v>311</v>
      </c>
      <c r="G4" s="275"/>
      <c r="I4" s="93">
        <v>1</v>
      </c>
      <c r="J4" s="93" t="s">
        <v>314</v>
      </c>
      <c r="K4" s="270">
        <v>5.4799999999999995</v>
      </c>
      <c r="L4" s="270">
        <v>4.88</v>
      </c>
      <c r="M4" s="270">
        <v>0</v>
      </c>
      <c r="N4" s="270">
        <v>0</v>
      </c>
      <c r="O4" s="270">
        <v>0.6</v>
      </c>
      <c r="P4" s="270">
        <v>0</v>
      </c>
      <c r="Q4" s="93" t="s">
        <v>209</v>
      </c>
      <c r="R4" s="93" t="s">
        <v>315</v>
      </c>
      <c r="W4" s="301" t="s">
        <v>308</v>
      </c>
      <c r="X4" s="301" t="s">
        <v>309</v>
      </c>
      <c r="Y4" s="301" t="s">
        <v>310</v>
      </c>
      <c r="Z4" s="301" t="s">
        <v>311</v>
      </c>
      <c r="AA4" s="301" t="s">
        <v>312</v>
      </c>
      <c r="AC4" s="93" t="s">
        <v>653</v>
      </c>
      <c r="AD4" s="93" t="s">
        <v>655</v>
      </c>
      <c r="AE4" s="280">
        <f>(C5+E5+D5+F5+G5)+(C6+D6+E6+F6+G6)</f>
        <v>927.61320000000001</v>
      </c>
    </row>
    <row r="5" spans="2:31" x14ac:dyDescent="0.3">
      <c r="B5" s="471" t="s">
        <v>209</v>
      </c>
      <c r="C5" s="473">
        <f>'SUMMARY 2021'!K45</f>
        <v>221.18819999999997</v>
      </c>
      <c r="D5" s="297">
        <f>'SUMMARY 2021'!L45</f>
        <v>2.0830000000000002</v>
      </c>
      <c r="E5" s="297">
        <f>'SUMMARY 2021'!M45</f>
        <v>3.42</v>
      </c>
      <c r="F5" s="297">
        <f>'SUMMARY 2021'!N45</f>
        <v>76.465999999999994</v>
      </c>
      <c r="G5" s="298"/>
      <c r="H5" s="270">
        <f>SUM(C5:G5)</f>
        <v>303.15719999999993</v>
      </c>
      <c r="I5" s="93">
        <v>6</v>
      </c>
      <c r="J5" s="93" t="s">
        <v>220</v>
      </c>
      <c r="K5" s="270">
        <v>3.96</v>
      </c>
      <c r="L5" s="270">
        <v>3.5</v>
      </c>
      <c r="M5" s="270">
        <v>0</v>
      </c>
      <c r="N5" s="270">
        <v>0</v>
      </c>
      <c r="O5" s="270">
        <v>0.46</v>
      </c>
      <c r="P5" s="270">
        <v>0</v>
      </c>
      <c r="Q5" s="93" t="s">
        <v>209</v>
      </c>
      <c r="R5" s="93" t="s">
        <v>315</v>
      </c>
      <c r="W5" s="301">
        <f>C5*15000000</f>
        <v>3317822999.9999995</v>
      </c>
      <c r="X5" s="301">
        <f t="shared" ref="X5:AA8" si="0">D5*100000</f>
        <v>208300.00000000003</v>
      </c>
      <c r="Y5" s="301">
        <f t="shared" si="0"/>
        <v>342000</v>
      </c>
      <c r="Z5" s="301">
        <f t="shared" si="0"/>
        <v>7646599.9999999991</v>
      </c>
      <c r="AA5" s="301">
        <f t="shared" si="0"/>
        <v>0</v>
      </c>
      <c r="AC5" s="93" t="s">
        <v>654</v>
      </c>
      <c r="AD5" s="93" t="s">
        <v>655</v>
      </c>
      <c r="AE5" s="280">
        <f>(C7+D7+E7+F7+G7)+(C8+D8+E8+F8+G8)</f>
        <v>301.93799999999999</v>
      </c>
    </row>
    <row r="6" spans="2:31" x14ac:dyDescent="0.3">
      <c r="B6" s="471" t="s">
        <v>206</v>
      </c>
      <c r="C6" s="473">
        <f>'SUMMARY 2021'!K46</f>
        <v>171.76400000000004</v>
      </c>
      <c r="D6" s="297">
        <f>'SUMMARY 2021'!L46</f>
        <v>0</v>
      </c>
      <c r="E6" s="297">
        <f>'SUMMARY 2021'!M46</f>
        <v>1.72</v>
      </c>
      <c r="F6" s="297">
        <f>'SUMMARY 2021'!N46</f>
        <v>450.97199999999998</v>
      </c>
      <c r="G6" s="298"/>
      <c r="H6" s="270">
        <f>SUM(C6:G6)</f>
        <v>624.45600000000002</v>
      </c>
      <c r="I6" s="93">
        <v>9</v>
      </c>
      <c r="J6" s="93" t="s">
        <v>19</v>
      </c>
      <c r="K6" s="270">
        <v>9.3000000000000007</v>
      </c>
      <c r="L6" s="270">
        <v>9.3000000000000007</v>
      </c>
      <c r="M6" s="270">
        <v>0</v>
      </c>
      <c r="N6" s="270">
        <v>0</v>
      </c>
      <c r="O6" s="270">
        <v>0</v>
      </c>
      <c r="P6" s="270">
        <v>0</v>
      </c>
      <c r="Q6" s="93" t="s">
        <v>209</v>
      </c>
      <c r="R6" s="93" t="s">
        <v>326</v>
      </c>
      <c r="W6" s="301">
        <f>C6*15000000</f>
        <v>2576460000.0000005</v>
      </c>
      <c r="X6" s="301">
        <f t="shared" si="0"/>
        <v>0</v>
      </c>
      <c r="Y6" s="301">
        <f t="shared" si="0"/>
        <v>172000</v>
      </c>
      <c r="Z6" s="301">
        <f t="shared" si="0"/>
        <v>45097200</v>
      </c>
      <c r="AA6" s="301">
        <f t="shared" si="0"/>
        <v>0</v>
      </c>
      <c r="AC6" s="93" t="s">
        <v>656</v>
      </c>
      <c r="AD6" s="93" t="s">
        <v>655</v>
      </c>
      <c r="AE6" s="280">
        <f>AE4+AE5</f>
        <v>1229.5511999999999</v>
      </c>
    </row>
    <row r="7" spans="2:31" x14ac:dyDescent="0.3">
      <c r="B7" s="471" t="s">
        <v>207</v>
      </c>
      <c r="C7" s="473">
        <f>'SUMMARY 2021'!K47</f>
        <v>33.223999999999997</v>
      </c>
      <c r="D7" s="297">
        <f>'SUMMARY 2021'!L47</f>
        <v>2.5499999999999998</v>
      </c>
      <c r="E7" s="297">
        <f>'SUMMARY 2021'!M47</f>
        <v>0</v>
      </c>
      <c r="F7" s="297">
        <f>'SUMMARY 2021'!N47</f>
        <v>149.18100000000001</v>
      </c>
      <c r="G7" s="298"/>
      <c r="H7" s="270">
        <f>SUM(C7:G7)</f>
        <v>184.95500000000001</v>
      </c>
      <c r="I7" s="93">
        <v>10</v>
      </c>
      <c r="J7" s="93" t="s">
        <v>23</v>
      </c>
      <c r="K7" s="270">
        <v>13.790000000000001</v>
      </c>
      <c r="L7" s="270">
        <v>10.120000000000001</v>
      </c>
      <c r="M7" s="270">
        <v>0</v>
      </c>
      <c r="N7" s="270">
        <v>0</v>
      </c>
      <c r="O7" s="270">
        <v>3.67</v>
      </c>
      <c r="P7" s="270">
        <v>0</v>
      </c>
      <c r="Q7" s="93" t="s">
        <v>209</v>
      </c>
      <c r="R7" s="93" t="s">
        <v>327</v>
      </c>
      <c r="W7" s="301">
        <f>C7*15000000</f>
        <v>498359999.99999994</v>
      </c>
      <c r="X7" s="301">
        <f t="shared" si="0"/>
        <v>254999.99999999997</v>
      </c>
      <c r="Y7" s="301">
        <f t="shared" si="0"/>
        <v>0</v>
      </c>
      <c r="Z7" s="301">
        <f t="shared" si="0"/>
        <v>14918100.000000002</v>
      </c>
      <c r="AA7" s="301">
        <f t="shared" si="0"/>
        <v>0</v>
      </c>
    </row>
    <row r="8" spans="2:31" x14ac:dyDescent="0.3">
      <c r="B8" s="471" t="s">
        <v>210</v>
      </c>
      <c r="C8" s="473">
        <f>'SUMMARY 2021'!K48</f>
        <v>14.332000000000001</v>
      </c>
      <c r="D8" s="297">
        <f>'SUMMARY 2021'!L48</f>
        <v>6.1099999999999994</v>
      </c>
      <c r="E8" s="297">
        <f>'SUMMARY 2021'!M48</f>
        <v>5.5439999999999996</v>
      </c>
      <c r="F8" s="297">
        <f>'SUMMARY 2021'!N48</f>
        <v>90.997</v>
      </c>
      <c r="G8" s="298"/>
      <c r="H8" s="270">
        <f>SUM(C8:G8)</f>
        <v>116.983</v>
      </c>
      <c r="I8" s="93">
        <v>17</v>
      </c>
      <c r="J8" s="93" t="s">
        <v>216</v>
      </c>
      <c r="K8" s="270">
        <v>4.18</v>
      </c>
      <c r="L8" s="270">
        <v>4.18</v>
      </c>
      <c r="M8" s="270">
        <v>0</v>
      </c>
      <c r="N8" s="270">
        <v>0</v>
      </c>
      <c r="O8" s="270">
        <v>0</v>
      </c>
      <c r="P8" s="270">
        <v>0</v>
      </c>
      <c r="Q8" s="93" t="s">
        <v>209</v>
      </c>
      <c r="R8" s="93" t="s">
        <v>339</v>
      </c>
      <c r="W8" s="301">
        <f>C8*15000000</f>
        <v>214980000</v>
      </c>
      <c r="X8" s="301">
        <f t="shared" si="0"/>
        <v>611000</v>
      </c>
      <c r="Y8" s="301">
        <f t="shared" si="0"/>
        <v>554400</v>
      </c>
      <c r="Z8" s="301">
        <f t="shared" si="0"/>
        <v>9099700</v>
      </c>
      <c r="AA8" s="301">
        <f t="shared" si="0"/>
        <v>0</v>
      </c>
    </row>
    <row r="9" spans="2:31" ht="14.5" thickBot="1" x14ac:dyDescent="0.35">
      <c r="B9" s="277"/>
      <c r="C9" s="474">
        <f>SUM(C5:C8)</f>
        <v>440.50819999999999</v>
      </c>
      <c r="D9" s="475">
        <f>SUM(D5:D8)</f>
        <v>10.742999999999999</v>
      </c>
      <c r="E9" s="475">
        <f>SUM(E5:E8)</f>
        <v>10.683999999999999</v>
      </c>
      <c r="F9" s="475">
        <f>SUM(F5:F8)</f>
        <v>767.61599999999999</v>
      </c>
      <c r="G9" s="476">
        <f>SUM(C9:F9)</f>
        <v>1229.5511999999999</v>
      </c>
      <c r="H9" s="270">
        <f>SUM(H5:H8)</f>
        <v>1229.5511999999999</v>
      </c>
      <c r="I9" s="93">
        <v>21</v>
      </c>
      <c r="J9" s="93" t="s">
        <v>241</v>
      </c>
      <c r="K9" s="270">
        <v>4.32</v>
      </c>
      <c r="L9" s="270">
        <v>4.32</v>
      </c>
      <c r="M9" s="270">
        <v>0</v>
      </c>
      <c r="N9" s="270">
        <v>0</v>
      </c>
      <c r="O9" s="270">
        <v>0</v>
      </c>
      <c r="P9" s="270">
        <v>0</v>
      </c>
      <c r="Q9" s="93" t="s">
        <v>209</v>
      </c>
      <c r="R9" s="93" t="s">
        <v>345</v>
      </c>
      <c r="W9" s="301">
        <f>SUM(W5:W8)</f>
        <v>6607623000</v>
      </c>
      <c r="X9" s="301">
        <f>SUM(X5:X8)</f>
        <v>1074300</v>
      </c>
      <c r="Y9" s="301">
        <f>SUM(Y5:Y8)</f>
        <v>1068400</v>
      </c>
      <c r="Z9" s="301">
        <f>SUM(Z5:Z8)</f>
        <v>76761600</v>
      </c>
      <c r="AA9" s="301">
        <f>SUM(AA5:AA8)</f>
        <v>0</v>
      </c>
      <c r="AB9" s="300">
        <f>SUM(W9:AA9)</f>
        <v>6686527300</v>
      </c>
    </row>
    <row r="10" spans="2:31" x14ac:dyDescent="0.3">
      <c r="H10" s="270">
        <f>SUM(C9:G9)</f>
        <v>2459.1023999999998</v>
      </c>
      <c r="I10" s="93">
        <v>26</v>
      </c>
      <c r="J10" s="93" t="s">
        <v>350</v>
      </c>
      <c r="K10" s="270">
        <v>6.0600000000000005</v>
      </c>
      <c r="L10" s="270">
        <v>3.81</v>
      </c>
      <c r="M10" s="270">
        <v>0</v>
      </c>
      <c r="N10" s="270">
        <v>0</v>
      </c>
      <c r="O10" s="270">
        <v>2.25</v>
      </c>
      <c r="P10" s="270">
        <v>0</v>
      </c>
      <c r="Q10" s="93" t="s">
        <v>209</v>
      </c>
      <c r="R10" s="93" t="s">
        <v>348</v>
      </c>
    </row>
    <row r="11" spans="2:31" x14ac:dyDescent="0.3">
      <c r="I11" s="93">
        <v>30</v>
      </c>
      <c r="J11" s="93" t="s">
        <v>354</v>
      </c>
      <c r="K11" s="270">
        <v>0</v>
      </c>
      <c r="L11" s="270">
        <v>0</v>
      </c>
      <c r="M11" s="270">
        <v>0</v>
      </c>
      <c r="N11" s="270">
        <v>0</v>
      </c>
      <c r="O11" s="270">
        <v>0</v>
      </c>
      <c r="P11" s="270">
        <v>0</v>
      </c>
      <c r="Q11" s="93" t="s">
        <v>10</v>
      </c>
      <c r="R11" s="93" t="s">
        <v>355</v>
      </c>
      <c r="S11" s="93" t="s">
        <v>356</v>
      </c>
    </row>
    <row r="12" spans="2:31" x14ac:dyDescent="0.3">
      <c r="I12" s="93">
        <v>106</v>
      </c>
      <c r="J12" s="93" t="s">
        <v>238</v>
      </c>
      <c r="K12" s="270">
        <v>3.21</v>
      </c>
      <c r="L12" s="270">
        <v>3.21</v>
      </c>
      <c r="M12" s="270">
        <v>0</v>
      </c>
      <c r="N12" s="270">
        <v>0</v>
      </c>
      <c r="O12" s="270">
        <v>0</v>
      </c>
      <c r="P12" s="270">
        <v>0</v>
      </c>
      <c r="Q12" s="93" t="s">
        <v>209</v>
      </c>
      <c r="R12" s="93" t="s">
        <v>358</v>
      </c>
    </row>
    <row r="13" spans="2:31" x14ac:dyDescent="0.3">
      <c r="I13" s="93">
        <v>40</v>
      </c>
      <c r="J13" s="93" t="s">
        <v>231</v>
      </c>
      <c r="K13" s="270">
        <v>1.55</v>
      </c>
      <c r="L13" s="270">
        <v>1.1000000000000001</v>
      </c>
      <c r="M13" s="270">
        <v>0</v>
      </c>
      <c r="N13" s="270">
        <v>0</v>
      </c>
      <c r="O13" s="270">
        <v>0.45</v>
      </c>
      <c r="P13" s="270">
        <v>0</v>
      </c>
      <c r="Q13" s="93" t="s">
        <v>209</v>
      </c>
      <c r="R13" s="93" t="s">
        <v>373</v>
      </c>
    </row>
    <row r="14" spans="2:31" x14ac:dyDescent="0.3">
      <c r="I14" s="93">
        <v>101</v>
      </c>
      <c r="J14" s="93" t="s">
        <v>384</v>
      </c>
      <c r="K14" s="270">
        <v>0</v>
      </c>
      <c r="L14" s="270">
        <v>0</v>
      </c>
      <c r="M14" s="270">
        <v>0</v>
      </c>
      <c r="N14" s="270">
        <v>0</v>
      </c>
      <c r="O14" s="270">
        <v>0</v>
      </c>
      <c r="P14" s="270">
        <v>0</v>
      </c>
      <c r="Q14" s="93" t="s">
        <v>10</v>
      </c>
      <c r="R14" s="93" t="s">
        <v>385</v>
      </c>
      <c r="S14" s="93" t="s">
        <v>356</v>
      </c>
    </row>
    <row r="15" spans="2:31" x14ac:dyDescent="0.3">
      <c r="I15" s="93">
        <v>217</v>
      </c>
      <c r="J15" s="93" t="s">
        <v>243</v>
      </c>
      <c r="K15" s="270">
        <v>1.1399999999999999</v>
      </c>
      <c r="L15" s="270">
        <v>1.1399999999999999</v>
      </c>
      <c r="M15" s="270">
        <v>0</v>
      </c>
      <c r="N15" s="270">
        <v>0</v>
      </c>
      <c r="O15" s="270">
        <v>0</v>
      </c>
      <c r="P15" s="270">
        <v>0</v>
      </c>
      <c r="Q15" s="93" t="s">
        <v>209</v>
      </c>
      <c r="R15" s="93" t="s">
        <v>402</v>
      </c>
    </row>
    <row r="16" spans="2:31" x14ac:dyDescent="0.3">
      <c r="I16" s="93">
        <v>226</v>
      </c>
      <c r="J16" s="93" t="s">
        <v>45</v>
      </c>
      <c r="K16" s="270">
        <v>4.01</v>
      </c>
      <c r="L16" s="270">
        <v>0.86</v>
      </c>
      <c r="M16" s="270">
        <v>0</v>
      </c>
      <c r="N16" s="270">
        <v>0</v>
      </c>
      <c r="O16" s="270">
        <v>3.15</v>
      </c>
      <c r="P16" s="270">
        <v>0</v>
      </c>
      <c r="Q16" s="93" t="s">
        <v>209</v>
      </c>
      <c r="R16" s="93" t="s">
        <v>405</v>
      </c>
      <c r="V16" s="271">
        <f>(C9/$AE$6)*100</f>
        <v>35.82674719035694</v>
      </c>
      <c r="W16" s="302"/>
      <c r="X16" s="302"/>
      <c r="Y16" s="302"/>
      <c r="Z16" s="302"/>
      <c r="AA16" s="302"/>
      <c r="AB16" s="271"/>
      <c r="AC16" s="278" t="s">
        <v>658</v>
      </c>
    </row>
    <row r="17" spans="3:36" x14ac:dyDescent="0.3">
      <c r="I17" s="93">
        <v>46</v>
      </c>
      <c r="J17" s="93" t="s">
        <v>406</v>
      </c>
      <c r="K17" s="270">
        <v>1.3</v>
      </c>
      <c r="L17" s="270">
        <v>1.3</v>
      </c>
      <c r="M17" s="270">
        <v>0</v>
      </c>
      <c r="N17" s="270">
        <v>0</v>
      </c>
      <c r="O17" s="270">
        <v>0</v>
      </c>
      <c r="P17" s="270">
        <v>0</v>
      </c>
      <c r="Q17" s="93" t="s">
        <v>209</v>
      </c>
      <c r="R17" s="93" t="s">
        <v>407</v>
      </c>
      <c r="V17" s="271">
        <f>(D9/$AE$6)*100</f>
        <v>0.87373344029919209</v>
      </c>
      <c r="W17" s="302"/>
      <c r="X17" s="302"/>
      <c r="Y17" s="302"/>
      <c r="Z17" s="302"/>
      <c r="AA17" s="302"/>
      <c r="AB17" s="271"/>
      <c r="AC17" s="278" t="s">
        <v>658</v>
      </c>
    </row>
    <row r="18" spans="3:36" x14ac:dyDescent="0.3">
      <c r="I18" s="93">
        <v>54</v>
      </c>
      <c r="J18" s="93" t="s">
        <v>252</v>
      </c>
      <c r="K18" s="270">
        <v>1.69</v>
      </c>
      <c r="L18" s="270">
        <v>1.18</v>
      </c>
      <c r="M18" s="270">
        <v>0</v>
      </c>
      <c r="N18" s="270">
        <v>0</v>
      </c>
      <c r="O18" s="270">
        <v>0.51</v>
      </c>
      <c r="P18" s="270">
        <v>0</v>
      </c>
      <c r="Q18" s="93" t="s">
        <v>209</v>
      </c>
      <c r="R18" s="93" t="s">
        <v>417</v>
      </c>
      <c r="V18" s="271">
        <f>(E9/$AE$6)*100</f>
        <v>0.86893494146482075</v>
      </c>
      <c r="W18" s="302"/>
      <c r="X18" s="302"/>
      <c r="Y18" s="302"/>
      <c r="Z18" s="302"/>
      <c r="AA18" s="302"/>
      <c r="AB18" s="271"/>
      <c r="AC18" s="278" t="s">
        <v>658</v>
      </c>
    </row>
    <row r="19" spans="3:36" x14ac:dyDescent="0.3">
      <c r="I19" s="93">
        <v>60</v>
      </c>
      <c r="J19" s="93" t="s">
        <v>253</v>
      </c>
      <c r="K19" s="270">
        <v>9.1999999999999993</v>
      </c>
      <c r="L19" s="270">
        <v>7.1</v>
      </c>
      <c r="M19" s="270">
        <v>0</v>
      </c>
      <c r="N19" s="270">
        <v>0</v>
      </c>
      <c r="O19" s="270">
        <v>2.1</v>
      </c>
      <c r="P19" s="270">
        <v>0</v>
      </c>
      <c r="Q19" s="93" t="s">
        <v>209</v>
      </c>
      <c r="R19" s="93" t="s">
        <v>424</v>
      </c>
      <c r="V19" s="271">
        <f>(F9/$AE$6)*100</f>
        <v>62.430584427879054</v>
      </c>
      <c r="W19" s="302"/>
      <c r="X19" s="302"/>
      <c r="Y19" s="302"/>
      <c r="Z19" s="302"/>
      <c r="AA19" s="302"/>
      <c r="AB19" s="271"/>
      <c r="AC19" s="278" t="s">
        <v>658</v>
      </c>
    </row>
    <row r="20" spans="3:36" x14ac:dyDescent="0.3">
      <c r="I20" s="93">
        <v>98</v>
      </c>
      <c r="J20" s="93" t="s">
        <v>247</v>
      </c>
      <c r="K20" s="270">
        <v>4.9800000000000004</v>
      </c>
      <c r="L20" s="270">
        <v>4.9800000000000004</v>
      </c>
      <c r="M20" s="270">
        <v>0</v>
      </c>
      <c r="N20" s="270">
        <v>0</v>
      </c>
      <c r="O20" s="270">
        <v>0</v>
      </c>
      <c r="P20" s="270">
        <v>0</v>
      </c>
      <c r="Q20" s="93" t="s">
        <v>209</v>
      </c>
      <c r="R20" s="93" t="s">
        <v>428</v>
      </c>
      <c r="V20" s="272">
        <f>SUM(V16:V19)</f>
        <v>100</v>
      </c>
      <c r="W20" s="302"/>
      <c r="X20" s="302"/>
      <c r="Y20" s="302"/>
      <c r="Z20" s="302"/>
      <c r="AA20" s="302"/>
      <c r="AB20" s="271"/>
      <c r="AC20" s="278" t="s">
        <v>658</v>
      </c>
    </row>
    <row r="21" spans="3:36" x14ac:dyDescent="0.3">
      <c r="I21" s="93">
        <v>64</v>
      </c>
      <c r="J21" s="93" t="s">
        <v>246</v>
      </c>
      <c r="K21" s="270">
        <v>3.6399999999999997</v>
      </c>
      <c r="L21" s="270">
        <v>3.6399999999999997</v>
      </c>
      <c r="M21" s="270">
        <v>0</v>
      </c>
      <c r="N21" s="270">
        <v>0</v>
      </c>
      <c r="O21" s="270">
        <v>0</v>
      </c>
      <c r="P21" s="270">
        <v>0</v>
      </c>
      <c r="Q21" s="93" t="s">
        <v>209</v>
      </c>
      <c r="R21" s="93" t="s">
        <v>429</v>
      </c>
      <c r="W21" s="302"/>
      <c r="X21" s="302"/>
      <c r="Y21" s="302"/>
      <c r="Z21" s="302"/>
      <c r="AA21" s="302"/>
      <c r="AB21" s="272"/>
      <c r="AC21" s="278" t="s">
        <v>658</v>
      </c>
    </row>
    <row r="22" spans="3:36" x14ac:dyDescent="0.3">
      <c r="I22" s="93">
        <v>77</v>
      </c>
      <c r="J22" s="93" t="s">
        <v>271</v>
      </c>
      <c r="K22" s="270">
        <v>0.76</v>
      </c>
      <c r="L22" s="270">
        <v>0</v>
      </c>
      <c r="M22" s="270">
        <v>0</v>
      </c>
      <c r="N22" s="270">
        <v>0</v>
      </c>
      <c r="O22" s="270">
        <v>0.76</v>
      </c>
      <c r="P22" s="270">
        <v>0</v>
      </c>
      <c r="Q22" s="93" t="s">
        <v>209</v>
      </c>
      <c r="R22" s="93" t="s">
        <v>443</v>
      </c>
    </row>
    <row r="23" spans="3:36" x14ac:dyDescent="0.3">
      <c r="I23" s="93">
        <v>94</v>
      </c>
      <c r="J23" s="93" t="s">
        <v>278</v>
      </c>
      <c r="K23" s="270">
        <v>0.6</v>
      </c>
      <c r="L23" s="270">
        <v>0</v>
      </c>
      <c r="M23" s="270">
        <v>0</v>
      </c>
      <c r="N23" s="270">
        <v>0</v>
      </c>
      <c r="O23" s="270">
        <v>0.6</v>
      </c>
      <c r="P23" s="270">
        <v>0</v>
      </c>
      <c r="Q23" s="93" t="s">
        <v>209</v>
      </c>
      <c r="R23" s="93" t="s">
        <v>444</v>
      </c>
    </row>
    <row r="24" spans="3:36" x14ac:dyDescent="0.3">
      <c r="I24" s="93">
        <v>91</v>
      </c>
      <c r="J24" s="93" t="s">
        <v>62</v>
      </c>
      <c r="K24" s="270">
        <v>12.889999999999999</v>
      </c>
      <c r="L24" s="270">
        <v>12.209999999999999</v>
      </c>
      <c r="M24" s="270">
        <v>0</v>
      </c>
      <c r="N24" s="270">
        <v>0</v>
      </c>
      <c r="O24" s="270">
        <v>0.67999999999999994</v>
      </c>
      <c r="P24" s="270">
        <v>0</v>
      </c>
      <c r="Q24" s="93" t="s">
        <v>209</v>
      </c>
      <c r="R24" s="93" t="s">
        <v>456</v>
      </c>
      <c r="AF24" s="281" t="s">
        <v>660</v>
      </c>
      <c r="AG24" s="281"/>
      <c r="AH24" s="281"/>
      <c r="AI24" s="281"/>
      <c r="AJ24" s="287"/>
    </row>
    <row r="25" spans="3:36" x14ac:dyDescent="0.3">
      <c r="I25" s="93">
        <v>89</v>
      </c>
      <c r="J25" s="93" t="s">
        <v>462</v>
      </c>
      <c r="K25" s="270">
        <v>0.63</v>
      </c>
      <c r="L25" s="270">
        <v>0.3</v>
      </c>
      <c r="M25" s="270">
        <v>0</v>
      </c>
      <c r="N25" s="270">
        <v>0</v>
      </c>
      <c r="O25" s="270">
        <v>0.33</v>
      </c>
      <c r="P25" s="270">
        <v>0</v>
      </c>
      <c r="Q25" s="93" t="s">
        <v>209</v>
      </c>
      <c r="R25" s="93" t="s">
        <v>360</v>
      </c>
      <c r="AF25" s="286" t="s">
        <v>16</v>
      </c>
      <c r="AG25" s="286" t="s">
        <v>17</v>
      </c>
      <c r="AH25" s="286">
        <v>45</v>
      </c>
      <c r="AI25" s="286" t="s">
        <v>18</v>
      </c>
      <c r="AJ25" s="94" t="s">
        <v>10</v>
      </c>
    </row>
    <row r="26" spans="3:36" x14ac:dyDescent="0.3">
      <c r="I26" s="93">
        <v>109</v>
      </c>
      <c r="J26" s="93" t="s">
        <v>285</v>
      </c>
      <c r="K26" s="270">
        <v>2.5</v>
      </c>
      <c r="L26" s="270">
        <v>0.25700000000000001</v>
      </c>
      <c r="M26" s="270">
        <v>0</v>
      </c>
      <c r="N26" s="270">
        <v>0</v>
      </c>
      <c r="O26" s="270">
        <v>2.2429999999999999</v>
      </c>
      <c r="P26" s="270">
        <v>0</v>
      </c>
      <c r="Q26" s="93" t="s">
        <v>209</v>
      </c>
      <c r="R26" s="93" t="s">
        <v>463</v>
      </c>
      <c r="AF26" s="286" t="s">
        <v>25</v>
      </c>
      <c r="AG26" s="286" t="s">
        <v>26</v>
      </c>
      <c r="AH26" s="286">
        <v>26</v>
      </c>
      <c r="AI26" s="286" t="s">
        <v>18</v>
      </c>
      <c r="AJ26" s="94" t="s">
        <v>10</v>
      </c>
    </row>
    <row r="27" spans="3:36" x14ac:dyDescent="0.3">
      <c r="I27" s="93">
        <v>115</v>
      </c>
      <c r="J27" s="93" t="s">
        <v>77</v>
      </c>
      <c r="K27" s="270">
        <v>10.71</v>
      </c>
      <c r="L27" s="270">
        <v>10.71</v>
      </c>
      <c r="M27" s="270">
        <v>0</v>
      </c>
      <c r="N27" s="270">
        <v>0</v>
      </c>
      <c r="O27" s="270">
        <v>0</v>
      </c>
      <c r="P27" s="270">
        <v>0</v>
      </c>
      <c r="Q27" s="93" t="s">
        <v>209</v>
      </c>
      <c r="R27" s="93" t="s">
        <v>470</v>
      </c>
      <c r="AF27" s="286" t="s">
        <v>27</v>
      </c>
      <c r="AH27" s="286">
        <v>44</v>
      </c>
      <c r="AI27" s="286" t="s">
        <v>18</v>
      </c>
      <c r="AJ27" s="94" t="s">
        <v>10</v>
      </c>
    </row>
    <row r="28" spans="3:36" x14ac:dyDescent="0.3">
      <c r="I28" s="93">
        <v>132</v>
      </c>
      <c r="J28" s="93" t="s">
        <v>85</v>
      </c>
      <c r="K28" s="270">
        <v>13.5</v>
      </c>
      <c r="L28" s="270">
        <v>8.82</v>
      </c>
      <c r="M28" s="270">
        <v>0</v>
      </c>
      <c r="N28" s="270">
        <v>0</v>
      </c>
      <c r="O28" s="270">
        <v>4.68</v>
      </c>
      <c r="P28" s="270">
        <v>0</v>
      </c>
      <c r="Q28" s="93" t="s">
        <v>209</v>
      </c>
      <c r="R28" s="93" t="s">
        <v>473</v>
      </c>
      <c r="AF28" s="286" t="s">
        <v>62</v>
      </c>
      <c r="AG28" s="286" t="s">
        <v>63</v>
      </c>
      <c r="AH28" s="286">
        <v>25</v>
      </c>
      <c r="AI28" s="286" t="s">
        <v>18</v>
      </c>
      <c r="AJ28" s="94" t="s">
        <v>10</v>
      </c>
    </row>
    <row r="29" spans="3:36" ht="22.5" x14ac:dyDescent="0.45">
      <c r="C29" s="1188" t="s">
        <v>659</v>
      </c>
      <c r="D29" s="1188"/>
      <c r="E29" s="1188"/>
      <c r="F29" s="1188"/>
      <c r="G29" s="1188"/>
      <c r="I29" s="93">
        <v>136</v>
      </c>
      <c r="J29" s="93" t="s">
        <v>93</v>
      </c>
      <c r="K29" s="270">
        <v>11.309999999999999</v>
      </c>
      <c r="L29" s="270">
        <v>8.6999999999999993</v>
      </c>
      <c r="M29" s="270">
        <v>0</v>
      </c>
      <c r="N29" s="270">
        <v>0</v>
      </c>
      <c r="O29" s="270">
        <v>2.61</v>
      </c>
      <c r="P29" s="270">
        <v>0</v>
      </c>
      <c r="Q29" s="93" t="s">
        <v>209</v>
      </c>
      <c r="R29" s="93" t="s">
        <v>480</v>
      </c>
      <c r="AF29" s="288"/>
      <c r="AG29" s="288"/>
      <c r="AH29" s="288"/>
      <c r="AI29" s="288"/>
      <c r="AJ29" s="289"/>
    </row>
    <row r="30" spans="3:36" ht="14.5" thickBot="1" x14ac:dyDescent="0.35">
      <c r="I30" s="93">
        <v>137</v>
      </c>
      <c r="J30" s="93" t="s">
        <v>95</v>
      </c>
      <c r="K30" s="270">
        <v>12.59</v>
      </c>
      <c r="L30" s="270">
        <v>8.74</v>
      </c>
      <c r="M30" s="270">
        <v>0</v>
      </c>
      <c r="N30" s="270">
        <v>0</v>
      </c>
      <c r="O30" s="270">
        <v>3.85</v>
      </c>
      <c r="P30" s="270">
        <v>0</v>
      </c>
      <c r="Q30" s="93" t="s">
        <v>209</v>
      </c>
      <c r="R30" s="93" t="s">
        <v>481</v>
      </c>
    </row>
    <row r="31" spans="3:36" ht="21.5" x14ac:dyDescent="0.3">
      <c r="C31" s="273"/>
      <c r="D31" s="274" t="s">
        <v>660</v>
      </c>
      <c r="E31" s="274" t="s">
        <v>661</v>
      </c>
      <c r="F31" s="274" t="s">
        <v>662</v>
      </c>
      <c r="G31" s="274" t="s">
        <v>663</v>
      </c>
      <c r="I31" s="93">
        <v>120</v>
      </c>
      <c r="J31" s="93" t="s">
        <v>99</v>
      </c>
      <c r="K31" s="270">
        <v>10.85</v>
      </c>
      <c r="L31" s="270">
        <v>10.24</v>
      </c>
      <c r="M31" s="270">
        <v>0</v>
      </c>
      <c r="N31" s="270">
        <v>0</v>
      </c>
      <c r="O31" s="270">
        <v>0.61</v>
      </c>
      <c r="P31" s="270">
        <v>0</v>
      </c>
      <c r="Q31" s="93" t="s">
        <v>209</v>
      </c>
      <c r="R31" s="93" t="s">
        <v>483</v>
      </c>
      <c r="AF31" s="290" t="s">
        <v>34</v>
      </c>
      <c r="AG31" s="290" t="s">
        <v>35</v>
      </c>
      <c r="AH31" s="292">
        <v>29</v>
      </c>
      <c r="AI31" s="290" t="s">
        <v>18</v>
      </c>
      <c r="AJ31" s="291" t="s">
        <v>12</v>
      </c>
    </row>
    <row r="32" spans="3:36" x14ac:dyDescent="0.3">
      <c r="C32" s="276" t="s">
        <v>209</v>
      </c>
      <c r="D32" s="295">
        <f>AH26+AH27+AH28+AH25</f>
        <v>140</v>
      </c>
      <c r="E32" s="295">
        <f>AH36+AH37</f>
        <v>78</v>
      </c>
      <c r="F32" s="295">
        <f>SUM(AH56:AH104)</f>
        <v>919.88000000000011</v>
      </c>
      <c r="G32" s="295">
        <v>0</v>
      </c>
      <c r="I32" s="93">
        <v>126</v>
      </c>
      <c r="J32" s="93" t="s">
        <v>110</v>
      </c>
      <c r="K32" s="270">
        <v>9.9499999999999993</v>
      </c>
      <c r="L32" s="270">
        <v>9.9499999999999993</v>
      </c>
      <c r="M32" s="270">
        <v>0</v>
      </c>
      <c r="N32" s="270">
        <v>0</v>
      </c>
      <c r="O32" s="270">
        <v>0</v>
      </c>
      <c r="P32" s="270">
        <v>0</v>
      </c>
      <c r="Q32" s="93" t="s">
        <v>209</v>
      </c>
      <c r="R32" s="93" t="s">
        <v>493</v>
      </c>
    </row>
    <row r="33" spans="3:36" x14ac:dyDescent="0.3">
      <c r="C33" s="276" t="s">
        <v>206</v>
      </c>
      <c r="D33" s="295">
        <f>AH31</f>
        <v>29</v>
      </c>
      <c r="E33" s="295">
        <f>AH39+AH40+AH41</f>
        <v>69</v>
      </c>
      <c r="F33" s="295">
        <f>SUM(AH106:AH128)</f>
        <v>507.59999999999997</v>
      </c>
      <c r="G33" s="295">
        <f>SUM(AH137:AH144)</f>
        <v>143</v>
      </c>
      <c r="I33" s="93">
        <v>147</v>
      </c>
      <c r="J33" s="93" t="s">
        <v>289</v>
      </c>
      <c r="K33" s="270">
        <v>4.59</v>
      </c>
      <c r="L33" s="270">
        <v>0.2</v>
      </c>
      <c r="M33" s="270">
        <v>0</v>
      </c>
      <c r="N33" s="270">
        <v>0</v>
      </c>
      <c r="O33" s="270">
        <v>4.3899999999999997</v>
      </c>
      <c r="P33" s="270">
        <v>0</v>
      </c>
      <c r="Q33" s="93" t="s">
        <v>209</v>
      </c>
    </row>
    <row r="34" spans="3:36" x14ac:dyDescent="0.3">
      <c r="C34" s="276" t="s">
        <v>207</v>
      </c>
      <c r="D34" s="295">
        <f>L243</f>
        <v>0</v>
      </c>
      <c r="E34" s="295">
        <f>SUM(AH43:AH49)</f>
        <v>195.10000000000002</v>
      </c>
      <c r="F34" s="295">
        <f>SUM(AH131:AH133)</f>
        <v>113.4</v>
      </c>
      <c r="G34" s="295">
        <f>SUM(AH147:AH155)</f>
        <v>114.5</v>
      </c>
      <c r="I34" s="93">
        <v>150</v>
      </c>
      <c r="J34" s="93" t="s">
        <v>116</v>
      </c>
      <c r="K34" s="270">
        <v>11.27</v>
      </c>
      <c r="L34" s="270">
        <v>5.8699999999999992</v>
      </c>
      <c r="M34" s="270">
        <v>0</v>
      </c>
      <c r="N34" s="270">
        <v>0</v>
      </c>
      <c r="O34" s="270">
        <v>5.3999999999999995</v>
      </c>
      <c r="P34" s="270">
        <v>0</v>
      </c>
      <c r="Q34" s="93" t="s">
        <v>209</v>
      </c>
      <c r="R34" s="93" t="s">
        <v>498</v>
      </c>
      <c r="AF34" s="281" t="s">
        <v>661</v>
      </c>
      <c r="AG34" s="281"/>
      <c r="AH34" s="281"/>
      <c r="AI34" s="281"/>
      <c r="AJ34" s="287"/>
    </row>
    <row r="35" spans="3:36" x14ac:dyDescent="0.3">
      <c r="C35" s="276" t="s">
        <v>210</v>
      </c>
      <c r="D35" s="295">
        <f>L268</f>
        <v>0</v>
      </c>
      <c r="E35" s="295">
        <f>AH52+1</f>
        <v>17</v>
      </c>
      <c r="F35" s="295">
        <f>N268</f>
        <v>0</v>
      </c>
      <c r="G35" s="295">
        <f>AH157</f>
        <v>5</v>
      </c>
      <c r="I35" s="93">
        <v>127</v>
      </c>
      <c r="J35" s="93" t="s">
        <v>504</v>
      </c>
      <c r="K35" s="270">
        <v>2.7</v>
      </c>
      <c r="L35" s="270">
        <v>1.29</v>
      </c>
      <c r="M35" s="270">
        <v>0</v>
      </c>
      <c r="N35" s="270">
        <v>0.9</v>
      </c>
      <c r="O35" s="270">
        <v>0.51</v>
      </c>
      <c r="P35" s="270">
        <v>0</v>
      </c>
      <c r="Q35" s="93" t="s">
        <v>209</v>
      </c>
      <c r="R35" s="93" t="s">
        <v>505</v>
      </c>
      <c r="V35" s="93">
        <f>SUM(D36:G36)</f>
        <v>2331.48</v>
      </c>
    </row>
    <row r="36" spans="3:36" ht="14.5" thickBot="1" x14ac:dyDescent="0.35">
      <c r="C36" s="277"/>
      <c r="D36" s="296">
        <f>SUM(D32:D35)</f>
        <v>169</v>
      </c>
      <c r="E36" s="296">
        <f>SUM(E32:E35)</f>
        <v>359.1</v>
      </c>
      <c r="F36" s="296">
        <f>SUM(F32:F35)</f>
        <v>1540.88</v>
      </c>
      <c r="G36" s="296">
        <f>SUM(G32:G35)</f>
        <v>262.5</v>
      </c>
      <c r="I36" s="93">
        <v>128</v>
      </c>
      <c r="J36" s="93" t="s">
        <v>507</v>
      </c>
      <c r="K36" s="270">
        <v>2.2999999999999998</v>
      </c>
      <c r="L36" s="270">
        <v>2.2999999999999998</v>
      </c>
      <c r="M36" s="270">
        <v>0</v>
      </c>
      <c r="N36" s="270">
        <v>0</v>
      </c>
      <c r="O36" s="270">
        <v>0</v>
      </c>
      <c r="P36" s="270">
        <v>0</v>
      </c>
      <c r="Q36" s="93" t="s">
        <v>209</v>
      </c>
      <c r="R36" s="93" t="s">
        <v>508</v>
      </c>
      <c r="AC36" s="93" t="s">
        <v>702</v>
      </c>
      <c r="AG36" s="286" t="s">
        <v>119</v>
      </c>
      <c r="AH36" s="286">
        <v>33</v>
      </c>
      <c r="AI36" s="286" t="s">
        <v>32</v>
      </c>
      <c r="AJ36" s="94" t="s">
        <v>10</v>
      </c>
    </row>
    <row r="37" spans="3:36" x14ac:dyDescent="0.3">
      <c r="I37" s="93">
        <v>197</v>
      </c>
      <c r="J37" s="93" t="s">
        <v>550</v>
      </c>
      <c r="K37" s="270">
        <v>4.9269999999999996</v>
      </c>
      <c r="L37" s="270">
        <v>3.0939999999999999</v>
      </c>
      <c r="M37" s="270">
        <v>1.833</v>
      </c>
      <c r="N37" s="270">
        <v>0</v>
      </c>
      <c r="O37" s="270">
        <v>0</v>
      </c>
      <c r="P37" s="270">
        <v>0</v>
      </c>
      <c r="Q37" s="93" t="s">
        <v>209</v>
      </c>
      <c r="R37" s="93" t="s">
        <v>551</v>
      </c>
      <c r="AF37" s="286" t="s">
        <v>120</v>
      </c>
      <c r="AH37" s="286">
        <v>45</v>
      </c>
      <c r="AI37" s="286" t="s">
        <v>32</v>
      </c>
      <c r="AJ37" s="94" t="s">
        <v>10</v>
      </c>
    </row>
    <row r="38" spans="3:36" x14ac:dyDescent="0.3">
      <c r="I38" s="93">
        <v>200</v>
      </c>
      <c r="J38" s="93" t="s">
        <v>291</v>
      </c>
      <c r="K38" s="270">
        <v>1.1000000000000001</v>
      </c>
      <c r="L38" s="270">
        <v>1.1000000000000001</v>
      </c>
      <c r="M38" s="270">
        <v>0</v>
      </c>
      <c r="N38" s="270">
        <v>0</v>
      </c>
      <c r="O38" s="270">
        <v>0</v>
      </c>
      <c r="P38" s="270">
        <v>0</v>
      </c>
      <c r="Q38" s="93" t="s">
        <v>209</v>
      </c>
      <c r="R38" s="93" t="s">
        <v>554</v>
      </c>
    </row>
    <row r="39" spans="3:36" x14ac:dyDescent="0.3">
      <c r="I39" s="93">
        <v>201</v>
      </c>
      <c r="J39" s="93" t="s">
        <v>555</v>
      </c>
      <c r="K39" s="270">
        <v>2.7</v>
      </c>
      <c r="L39" s="270">
        <v>2.7</v>
      </c>
      <c r="M39" s="270">
        <v>0</v>
      </c>
      <c r="N39" s="270">
        <v>0</v>
      </c>
      <c r="O39" s="270">
        <v>0</v>
      </c>
      <c r="P39" s="270">
        <v>0</v>
      </c>
      <c r="Q39" s="93" t="s">
        <v>209</v>
      </c>
      <c r="R39" s="93" t="s">
        <v>556</v>
      </c>
      <c r="AG39" s="286" t="s">
        <v>670</v>
      </c>
      <c r="AH39" s="286">
        <v>18</v>
      </c>
      <c r="AI39" s="286" t="s">
        <v>32</v>
      </c>
      <c r="AJ39" s="94" t="s">
        <v>12</v>
      </c>
    </row>
    <row r="40" spans="3:36" x14ac:dyDescent="0.3">
      <c r="I40" s="93">
        <v>202</v>
      </c>
      <c r="J40" s="93" t="s">
        <v>557</v>
      </c>
      <c r="K40" s="270">
        <v>1.37</v>
      </c>
      <c r="L40" s="270">
        <v>1.37</v>
      </c>
      <c r="M40" s="270">
        <v>0</v>
      </c>
      <c r="N40" s="270">
        <v>0</v>
      </c>
      <c r="O40" s="270">
        <v>0</v>
      </c>
      <c r="P40" s="270">
        <v>0</v>
      </c>
      <c r="Q40" s="93" t="s">
        <v>209</v>
      </c>
      <c r="R40" s="93" t="s">
        <v>556</v>
      </c>
      <c r="AF40" s="286" t="s">
        <v>671</v>
      </c>
      <c r="AG40" s="286" t="s">
        <v>672</v>
      </c>
      <c r="AH40" s="286">
        <v>30</v>
      </c>
      <c r="AI40" s="286" t="s">
        <v>32</v>
      </c>
      <c r="AJ40" s="94" t="s">
        <v>12</v>
      </c>
    </row>
    <row r="41" spans="3:36" x14ac:dyDescent="0.3">
      <c r="I41" s="93">
        <v>203</v>
      </c>
      <c r="J41" s="93" t="s">
        <v>558</v>
      </c>
      <c r="K41" s="270">
        <v>5.6349999999999998</v>
      </c>
      <c r="L41" s="270">
        <v>2.5350000000000001</v>
      </c>
      <c r="M41" s="270">
        <v>1.45</v>
      </c>
      <c r="N41" s="270">
        <v>0</v>
      </c>
      <c r="O41" s="270">
        <v>1.65</v>
      </c>
      <c r="P41" s="270">
        <v>0</v>
      </c>
      <c r="Q41" s="93" t="s">
        <v>209</v>
      </c>
      <c r="R41" s="93" t="s">
        <v>559</v>
      </c>
      <c r="AF41" s="286" t="s">
        <v>673</v>
      </c>
      <c r="AG41" s="286" t="s">
        <v>672</v>
      </c>
      <c r="AH41" s="286">
        <v>21</v>
      </c>
      <c r="AI41" s="286" t="s">
        <v>32</v>
      </c>
      <c r="AJ41" s="94" t="s">
        <v>12</v>
      </c>
    </row>
    <row r="42" spans="3:36" x14ac:dyDescent="0.3">
      <c r="I42" s="93">
        <v>228</v>
      </c>
      <c r="J42" s="93" t="s">
        <v>141</v>
      </c>
      <c r="K42" s="270">
        <v>9.3000000000000007</v>
      </c>
      <c r="L42" s="270">
        <v>7.22</v>
      </c>
      <c r="M42" s="270">
        <v>0</v>
      </c>
      <c r="N42" s="270">
        <v>0</v>
      </c>
      <c r="O42" s="270">
        <v>2.08</v>
      </c>
      <c r="P42" s="270">
        <v>0</v>
      </c>
      <c r="Q42" s="93" t="s">
        <v>209</v>
      </c>
      <c r="V42" s="293">
        <f>(D36/V$35)*100</f>
        <v>7.248614613893321</v>
      </c>
    </row>
    <row r="43" spans="3:36" x14ac:dyDescent="0.3">
      <c r="I43" s="93">
        <v>205</v>
      </c>
      <c r="J43" s="93" t="s">
        <v>563</v>
      </c>
      <c r="K43" s="270">
        <v>0.37</v>
      </c>
      <c r="L43" s="270">
        <v>0.37</v>
      </c>
      <c r="M43" s="270">
        <v>0</v>
      </c>
      <c r="N43" s="270">
        <v>0</v>
      </c>
      <c r="O43" s="270">
        <v>0</v>
      </c>
      <c r="P43" s="270">
        <v>0</v>
      </c>
      <c r="Q43" s="93" t="s">
        <v>209</v>
      </c>
      <c r="R43" s="93" t="s">
        <v>564</v>
      </c>
      <c r="V43" s="293">
        <f>(E36/V$35)*100</f>
        <v>15.402233774254981</v>
      </c>
      <c r="W43" s="303"/>
      <c r="X43" s="303"/>
      <c r="Y43" s="303"/>
      <c r="Z43" s="303"/>
      <c r="AA43" s="303"/>
      <c r="AB43" s="293"/>
      <c r="AF43" s="286" t="s">
        <v>30</v>
      </c>
      <c r="AG43" s="286" t="s">
        <v>31</v>
      </c>
      <c r="AH43" s="286">
        <v>60</v>
      </c>
      <c r="AI43" s="286" t="s">
        <v>32</v>
      </c>
      <c r="AJ43" s="94" t="s">
        <v>33</v>
      </c>
    </row>
    <row r="44" spans="3:36" x14ac:dyDescent="0.3">
      <c r="I44" s="93">
        <v>208</v>
      </c>
      <c r="J44" s="93" t="s">
        <v>572</v>
      </c>
      <c r="K44" s="270">
        <v>2.2599999999999998</v>
      </c>
      <c r="L44" s="270">
        <v>2.0099999999999998</v>
      </c>
      <c r="M44" s="270">
        <v>0.25</v>
      </c>
      <c r="N44" s="270">
        <v>0</v>
      </c>
      <c r="O44" s="270">
        <v>0</v>
      </c>
      <c r="P44" s="270">
        <v>0</v>
      </c>
      <c r="Q44" s="93" t="s">
        <v>209</v>
      </c>
      <c r="R44" s="93" t="s">
        <v>573</v>
      </c>
      <c r="V44" s="293">
        <f>(F36/V$35)*100</f>
        <v>66.090208794413854</v>
      </c>
      <c r="W44" s="303"/>
      <c r="X44" s="303"/>
      <c r="Y44" s="303"/>
      <c r="Z44" s="303"/>
      <c r="AA44" s="303"/>
      <c r="AB44" s="293"/>
      <c r="AG44" s="286" t="s">
        <v>68</v>
      </c>
      <c r="AH44" s="286">
        <v>15.7</v>
      </c>
      <c r="AI44" s="286" t="s">
        <v>32</v>
      </c>
      <c r="AJ44" s="94" t="s">
        <v>33</v>
      </c>
    </row>
    <row r="45" spans="3:36" x14ac:dyDescent="0.3">
      <c r="I45" s="93">
        <v>173</v>
      </c>
      <c r="J45" s="93" t="s">
        <v>584</v>
      </c>
      <c r="K45" s="270">
        <v>1.5</v>
      </c>
      <c r="L45" s="270">
        <v>1.5</v>
      </c>
      <c r="M45" s="270">
        <v>0</v>
      </c>
      <c r="N45" s="270">
        <v>0</v>
      </c>
      <c r="O45" s="270">
        <v>0</v>
      </c>
      <c r="P45" s="270">
        <v>0</v>
      </c>
      <c r="Q45" s="93" t="s">
        <v>209</v>
      </c>
      <c r="V45" s="293">
        <f>(G36/V$35)*100</f>
        <v>11.25894281743785</v>
      </c>
      <c r="W45" s="303"/>
      <c r="X45" s="303"/>
      <c r="Y45" s="303"/>
      <c r="Z45" s="303"/>
      <c r="AA45" s="303"/>
      <c r="AB45" s="293"/>
      <c r="AH45" s="286">
        <v>24.6</v>
      </c>
      <c r="AI45" s="286" t="s">
        <v>32</v>
      </c>
      <c r="AJ45" s="94" t="s">
        <v>33</v>
      </c>
    </row>
    <row r="46" spans="3:36" x14ac:dyDescent="0.3">
      <c r="I46" s="93">
        <v>177</v>
      </c>
      <c r="J46" s="93" t="s">
        <v>588</v>
      </c>
      <c r="K46" s="270">
        <v>13.55</v>
      </c>
      <c r="L46" s="270">
        <v>13.55</v>
      </c>
      <c r="M46" s="270">
        <v>0</v>
      </c>
      <c r="N46" s="270">
        <v>0</v>
      </c>
      <c r="O46" s="270">
        <v>0</v>
      </c>
      <c r="P46" s="270">
        <v>0</v>
      </c>
      <c r="Q46" s="93" t="s">
        <v>209</v>
      </c>
      <c r="V46" s="294">
        <f ca="1">SUM(V42:V46)</f>
        <v>0</v>
      </c>
      <c r="W46" s="303"/>
      <c r="X46" s="303"/>
      <c r="Y46" s="303"/>
      <c r="Z46" s="303"/>
      <c r="AA46" s="303"/>
      <c r="AB46" s="293"/>
      <c r="AG46" s="286" t="s">
        <v>102</v>
      </c>
      <c r="AH46" s="286">
        <v>24.8</v>
      </c>
      <c r="AI46" s="286" t="s">
        <v>32</v>
      </c>
      <c r="AJ46" s="94" t="s">
        <v>33</v>
      </c>
    </row>
    <row r="47" spans="3:36" x14ac:dyDescent="0.3">
      <c r="I47" s="93">
        <v>172</v>
      </c>
      <c r="J47" s="93" t="s">
        <v>589</v>
      </c>
      <c r="K47" s="270">
        <v>5.266</v>
      </c>
      <c r="L47" s="270">
        <v>1.02</v>
      </c>
      <c r="M47" s="270">
        <v>0</v>
      </c>
      <c r="N47" s="270">
        <v>0</v>
      </c>
      <c r="O47" s="270">
        <v>0.82600000000000007</v>
      </c>
      <c r="P47" s="270">
        <v>3.42</v>
      </c>
      <c r="Q47" s="93" t="s">
        <v>209</v>
      </c>
      <c r="W47" s="303"/>
      <c r="X47" s="303"/>
      <c r="Y47" s="303"/>
      <c r="Z47" s="303"/>
      <c r="AA47" s="303"/>
      <c r="AB47" s="294"/>
      <c r="AH47" s="286">
        <v>16</v>
      </c>
      <c r="AI47" s="286" t="s">
        <v>32</v>
      </c>
      <c r="AJ47" s="94" t="s">
        <v>33</v>
      </c>
    </row>
    <row r="48" spans="3:36" x14ac:dyDescent="0.3">
      <c r="I48" s="93">
        <v>181</v>
      </c>
      <c r="J48" s="93" t="s">
        <v>592</v>
      </c>
      <c r="K48" s="270">
        <v>4.03</v>
      </c>
      <c r="L48" s="270">
        <v>4.03</v>
      </c>
      <c r="M48" s="270">
        <v>0</v>
      </c>
      <c r="N48" s="270">
        <v>0</v>
      </c>
      <c r="O48" s="270">
        <v>0</v>
      </c>
      <c r="P48" s="270">
        <v>0</v>
      </c>
      <c r="Q48" s="93" t="s">
        <v>209</v>
      </c>
      <c r="AG48" s="286" t="s">
        <v>106</v>
      </c>
      <c r="AH48" s="286">
        <v>36</v>
      </c>
      <c r="AI48" s="286" t="s">
        <v>32</v>
      </c>
      <c r="AJ48" s="94" t="s">
        <v>33</v>
      </c>
    </row>
    <row r="49" spans="3:36" x14ac:dyDescent="0.3">
      <c r="I49" s="93">
        <v>182</v>
      </c>
      <c r="J49" s="93" t="s">
        <v>593</v>
      </c>
      <c r="K49" s="270">
        <v>16.57</v>
      </c>
      <c r="L49" s="270">
        <v>16.57</v>
      </c>
      <c r="M49" s="270">
        <v>0</v>
      </c>
      <c r="N49" s="270">
        <v>0</v>
      </c>
      <c r="O49" s="270">
        <v>0</v>
      </c>
      <c r="P49" s="270">
        <v>0</v>
      </c>
      <c r="Q49" s="93" t="s">
        <v>209</v>
      </c>
      <c r="AF49" s="286" t="s">
        <v>109</v>
      </c>
      <c r="AH49" s="286">
        <v>18</v>
      </c>
      <c r="AI49" s="286" t="s">
        <v>32</v>
      </c>
      <c r="AJ49" s="94" t="s">
        <v>33</v>
      </c>
    </row>
    <row r="50" spans="3:36" x14ac:dyDescent="0.3">
      <c r="I50" s="93">
        <v>184</v>
      </c>
      <c r="J50" s="93" t="s">
        <v>595</v>
      </c>
      <c r="K50" s="270">
        <v>12.03</v>
      </c>
      <c r="L50" s="270">
        <v>10.01</v>
      </c>
      <c r="M50" s="270">
        <v>0</v>
      </c>
      <c r="N50" s="270">
        <v>0</v>
      </c>
      <c r="O50" s="270">
        <v>2.02</v>
      </c>
      <c r="P50" s="270">
        <v>0</v>
      </c>
      <c r="Q50" s="93" t="s">
        <v>209</v>
      </c>
    </row>
    <row r="51" spans="3:36" x14ac:dyDescent="0.3">
      <c r="I51" s="93">
        <v>185</v>
      </c>
      <c r="J51" s="93" t="s">
        <v>600</v>
      </c>
      <c r="K51" s="270">
        <v>12.03</v>
      </c>
      <c r="L51" s="270">
        <v>10.01</v>
      </c>
      <c r="M51" s="270">
        <v>0</v>
      </c>
      <c r="N51" s="270">
        <v>0</v>
      </c>
      <c r="O51" s="270">
        <v>2.02</v>
      </c>
      <c r="P51" s="270">
        <v>0</v>
      </c>
      <c r="Q51" s="93" t="s">
        <v>209</v>
      </c>
    </row>
    <row r="52" spans="3:36" x14ac:dyDescent="0.3">
      <c r="I52" s="93">
        <v>192</v>
      </c>
      <c r="J52" s="93" t="s">
        <v>606</v>
      </c>
      <c r="K52" s="270">
        <v>9.4560000000000013</v>
      </c>
      <c r="L52" s="270">
        <v>8.8859999999999992</v>
      </c>
      <c r="M52" s="270">
        <v>0</v>
      </c>
      <c r="N52" s="270">
        <v>0.06</v>
      </c>
      <c r="O52" s="270">
        <v>0.05</v>
      </c>
      <c r="P52" s="270">
        <v>0.46</v>
      </c>
      <c r="Q52" s="93" t="s">
        <v>209</v>
      </c>
      <c r="AG52" s="286" t="s">
        <v>40</v>
      </c>
      <c r="AH52" s="286">
        <v>16</v>
      </c>
      <c r="AI52" s="286" t="s">
        <v>32</v>
      </c>
      <c r="AJ52" s="94" t="s">
        <v>41</v>
      </c>
    </row>
    <row r="53" spans="3:36" x14ac:dyDescent="0.3">
      <c r="L53" s="270">
        <f>SUM(L4:L52)</f>
        <v>230.18199999999996</v>
      </c>
      <c r="M53" s="270">
        <f>SUM(M4:M52)</f>
        <v>3.5329999999999999</v>
      </c>
      <c r="N53" s="270">
        <f>SUM(N4:N52)</f>
        <v>0.96</v>
      </c>
      <c r="O53" s="270">
        <f>SUM(O4:O52)</f>
        <v>48.498999999999995</v>
      </c>
      <c r="P53" s="270">
        <f>SUM(P4:P52)</f>
        <v>3.88</v>
      </c>
    </row>
    <row r="54" spans="3:36" x14ac:dyDescent="0.3">
      <c r="AF54" s="281" t="s">
        <v>674</v>
      </c>
      <c r="AG54" s="281"/>
      <c r="AH54" s="281"/>
      <c r="AI54" s="281"/>
      <c r="AJ54" s="287"/>
    </row>
    <row r="55" spans="3:36" x14ac:dyDescent="0.3">
      <c r="J55" s="93" t="s">
        <v>206</v>
      </c>
      <c r="L55" s="270" t="s">
        <v>511</v>
      </c>
      <c r="M55" s="270" t="s">
        <v>649</v>
      </c>
      <c r="N55" s="270" t="s">
        <v>650</v>
      </c>
      <c r="O55" s="270" t="s">
        <v>651</v>
      </c>
      <c r="P55" s="270" t="s">
        <v>652</v>
      </c>
    </row>
    <row r="56" spans="3:36" ht="22.5" x14ac:dyDescent="0.45">
      <c r="C56" s="1189"/>
      <c r="D56" s="1189"/>
      <c r="E56" s="1189"/>
      <c r="F56" s="1189"/>
      <c r="G56" s="1189"/>
      <c r="I56" s="93">
        <v>219</v>
      </c>
      <c r="J56" s="93" t="s">
        <v>214</v>
      </c>
      <c r="K56" s="270">
        <v>0.4</v>
      </c>
      <c r="L56" s="270">
        <v>0.25</v>
      </c>
      <c r="M56" s="270">
        <v>0</v>
      </c>
      <c r="N56" s="270">
        <v>0</v>
      </c>
      <c r="O56" s="270">
        <v>0.15</v>
      </c>
      <c r="P56" s="270">
        <v>0</v>
      </c>
      <c r="Q56" s="93" t="s">
        <v>206</v>
      </c>
      <c r="R56" s="93" t="s">
        <v>313</v>
      </c>
      <c r="AF56" s="286" t="s">
        <v>42</v>
      </c>
      <c r="AG56" s="286" t="s">
        <v>43</v>
      </c>
      <c r="AH56" s="286">
        <v>22.3</v>
      </c>
      <c r="AI56" s="286" t="s">
        <v>15</v>
      </c>
      <c r="AJ56" s="94" t="s">
        <v>10</v>
      </c>
    </row>
    <row r="57" spans="3:36" x14ac:dyDescent="0.3">
      <c r="I57" s="93">
        <v>2</v>
      </c>
      <c r="J57" s="93" t="s">
        <v>212</v>
      </c>
      <c r="K57" s="270">
        <v>0.91999999999999993</v>
      </c>
      <c r="L57" s="270">
        <v>7.0000000000000007E-2</v>
      </c>
      <c r="M57" s="270">
        <v>0</v>
      </c>
      <c r="N57" s="270">
        <v>0</v>
      </c>
      <c r="O57" s="270">
        <v>0.85</v>
      </c>
      <c r="P57" s="270">
        <v>0</v>
      </c>
      <c r="Q57" s="93" t="s">
        <v>206</v>
      </c>
      <c r="R57" s="93" t="s">
        <v>316</v>
      </c>
      <c r="AF57" s="286" t="s">
        <v>44</v>
      </c>
      <c r="AH57" s="286">
        <v>26.5</v>
      </c>
      <c r="AI57" s="286" t="s">
        <v>15</v>
      </c>
      <c r="AJ57" s="94" t="s">
        <v>10</v>
      </c>
    </row>
    <row r="58" spans="3:36" x14ac:dyDescent="0.3">
      <c r="I58" s="93">
        <v>3</v>
      </c>
      <c r="J58" s="93" t="s">
        <v>217</v>
      </c>
      <c r="K58" s="270">
        <v>4.97</v>
      </c>
      <c r="L58" s="270">
        <v>0</v>
      </c>
      <c r="M58" s="270">
        <v>0</v>
      </c>
      <c r="N58" s="270">
        <v>0</v>
      </c>
      <c r="O58" s="270">
        <v>4.97</v>
      </c>
      <c r="P58" s="270">
        <v>0</v>
      </c>
      <c r="Q58" s="93" t="s">
        <v>206</v>
      </c>
      <c r="R58" s="93" t="s">
        <v>318</v>
      </c>
      <c r="AF58" s="286" t="s">
        <v>45</v>
      </c>
      <c r="AG58" s="286" t="s">
        <v>46</v>
      </c>
      <c r="AH58" s="286">
        <v>45.6</v>
      </c>
      <c r="AI58" s="286" t="s">
        <v>15</v>
      </c>
      <c r="AJ58" s="94" t="s">
        <v>10</v>
      </c>
    </row>
    <row r="59" spans="3:36" x14ac:dyDescent="0.3">
      <c r="I59" s="93">
        <v>4</v>
      </c>
      <c r="J59" s="93" t="s">
        <v>211</v>
      </c>
      <c r="K59" s="270">
        <v>2.67</v>
      </c>
      <c r="L59" s="270">
        <v>0</v>
      </c>
      <c r="M59" s="270">
        <v>0</v>
      </c>
      <c r="N59" s="270">
        <v>0</v>
      </c>
      <c r="O59" s="270">
        <v>2.67</v>
      </c>
      <c r="P59" s="270">
        <v>0</v>
      </c>
      <c r="Q59" s="93" t="s">
        <v>206</v>
      </c>
      <c r="R59" s="93" t="s">
        <v>320</v>
      </c>
      <c r="AF59" s="286" t="s">
        <v>47</v>
      </c>
      <c r="AG59" s="286" t="s">
        <v>48</v>
      </c>
      <c r="AH59" s="286">
        <v>24.5</v>
      </c>
      <c r="AI59" s="286" t="s">
        <v>15</v>
      </c>
      <c r="AJ59" s="94" t="s">
        <v>10</v>
      </c>
    </row>
    <row r="60" spans="3:36" x14ac:dyDescent="0.3">
      <c r="I60" s="93">
        <v>93</v>
      </c>
      <c r="J60" s="93" t="s">
        <v>13</v>
      </c>
      <c r="K60" s="270">
        <v>3.9</v>
      </c>
      <c r="L60" s="270">
        <v>3.79</v>
      </c>
      <c r="M60" s="270">
        <v>0</v>
      </c>
      <c r="N60" s="270">
        <v>0</v>
      </c>
      <c r="O60" s="270">
        <v>0.11</v>
      </c>
      <c r="P60" s="270">
        <v>0</v>
      </c>
      <c r="Q60" s="93" t="s">
        <v>206</v>
      </c>
      <c r="R60" s="93" t="s">
        <v>320</v>
      </c>
      <c r="AG60" s="286" t="s">
        <v>49</v>
      </c>
      <c r="AH60" s="286">
        <v>15</v>
      </c>
      <c r="AI60" s="286" t="s">
        <v>15</v>
      </c>
      <c r="AJ60" s="94" t="s">
        <v>10</v>
      </c>
    </row>
    <row r="61" spans="3:36" x14ac:dyDescent="0.3">
      <c r="I61" s="93">
        <v>218</v>
      </c>
      <c r="J61" s="93" t="s">
        <v>213</v>
      </c>
      <c r="K61" s="270">
        <v>5.61</v>
      </c>
      <c r="L61" s="270">
        <v>0</v>
      </c>
      <c r="M61" s="270">
        <v>0</v>
      </c>
      <c r="N61" s="270">
        <v>0</v>
      </c>
      <c r="O61" s="270">
        <v>5.61</v>
      </c>
      <c r="P61" s="270">
        <v>0</v>
      </c>
      <c r="Q61" s="93" t="s">
        <v>206</v>
      </c>
      <c r="R61" s="93" t="s">
        <v>316</v>
      </c>
      <c r="AF61" s="286" t="s">
        <v>50</v>
      </c>
      <c r="AH61" s="286">
        <v>24.5</v>
      </c>
      <c r="AI61" s="286" t="s">
        <v>15</v>
      </c>
      <c r="AJ61" s="94" t="s">
        <v>10</v>
      </c>
    </row>
    <row r="62" spans="3:36" x14ac:dyDescent="0.3">
      <c r="I62" s="93">
        <v>5</v>
      </c>
      <c r="J62" s="93" t="s">
        <v>16</v>
      </c>
      <c r="K62" s="270">
        <v>2.85</v>
      </c>
      <c r="L62" s="270">
        <v>2.85</v>
      </c>
      <c r="M62" s="270">
        <v>0</v>
      </c>
      <c r="N62" s="270">
        <v>0</v>
      </c>
      <c r="O62" s="270">
        <v>0</v>
      </c>
      <c r="P62" s="270">
        <v>0</v>
      </c>
      <c r="Q62" s="93" t="s">
        <v>206</v>
      </c>
      <c r="R62" s="93" t="s">
        <v>320</v>
      </c>
      <c r="AH62" s="286">
        <v>15</v>
      </c>
      <c r="AI62" s="286" t="s">
        <v>15</v>
      </c>
      <c r="AJ62" s="94" t="s">
        <v>10</v>
      </c>
    </row>
    <row r="63" spans="3:36" x14ac:dyDescent="0.3">
      <c r="I63" s="93">
        <v>7</v>
      </c>
      <c r="J63" s="93" t="s">
        <v>205</v>
      </c>
      <c r="K63" s="270">
        <v>1.1499999999999999</v>
      </c>
      <c r="L63" s="270">
        <v>1.1499999999999999</v>
      </c>
      <c r="M63" s="270">
        <v>0</v>
      </c>
      <c r="N63" s="270">
        <v>0</v>
      </c>
      <c r="O63" s="270">
        <v>0</v>
      </c>
      <c r="P63" s="270">
        <v>0</v>
      </c>
      <c r="Q63" s="93" t="s">
        <v>206</v>
      </c>
      <c r="R63" s="93" t="s">
        <v>321</v>
      </c>
      <c r="AF63" s="286" t="s">
        <v>54</v>
      </c>
      <c r="AG63" s="286" t="s">
        <v>55</v>
      </c>
      <c r="AH63" s="286">
        <v>29</v>
      </c>
      <c r="AI63" s="286" t="s">
        <v>15</v>
      </c>
      <c r="AJ63" s="94" t="s">
        <v>10</v>
      </c>
    </row>
    <row r="64" spans="3:36" x14ac:dyDescent="0.3">
      <c r="I64" s="93">
        <v>8</v>
      </c>
      <c r="J64" s="93" t="s">
        <v>324</v>
      </c>
      <c r="K64" s="270">
        <v>0.64</v>
      </c>
      <c r="L64" s="270">
        <v>0.64</v>
      </c>
      <c r="M64" s="270">
        <v>0</v>
      </c>
      <c r="N64" s="270">
        <v>0</v>
      </c>
      <c r="O64" s="270">
        <v>0</v>
      </c>
      <c r="P64" s="270">
        <v>0</v>
      </c>
      <c r="Q64" s="93" t="s">
        <v>206</v>
      </c>
      <c r="R64" s="93" t="s">
        <v>325</v>
      </c>
      <c r="AF64" s="286" t="s">
        <v>58</v>
      </c>
      <c r="AG64" s="286" t="s">
        <v>59</v>
      </c>
      <c r="AH64" s="286">
        <v>28.8</v>
      </c>
      <c r="AI64" s="286" t="s">
        <v>15</v>
      </c>
      <c r="AJ64" s="94" t="s">
        <v>10</v>
      </c>
    </row>
    <row r="65" spans="9:36" x14ac:dyDescent="0.3">
      <c r="I65" s="93">
        <v>11</v>
      </c>
      <c r="J65" s="93" t="s">
        <v>223</v>
      </c>
      <c r="K65" s="270">
        <v>2.27</v>
      </c>
      <c r="L65" s="270">
        <v>1.3</v>
      </c>
      <c r="M65" s="270">
        <v>0</v>
      </c>
      <c r="N65" s="270">
        <v>0</v>
      </c>
      <c r="O65" s="270">
        <v>0.97</v>
      </c>
      <c r="P65" s="270">
        <v>0</v>
      </c>
      <c r="Q65" s="93" t="s">
        <v>206</v>
      </c>
      <c r="R65" s="93" t="s">
        <v>328</v>
      </c>
      <c r="AF65" s="286" t="s">
        <v>66</v>
      </c>
      <c r="AG65" s="286" t="s">
        <v>67</v>
      </c>
      <c r="AH65" s="286">
        <v>15</v>
      </c>
      <c r="AI65" s="286" t="s">
        <v>15</v>
      </c>
      <c r="AJ65" s="94" t="s">
        <v>10</v>
      </c>
    </row>
    <row r="66" spans="9:36" x14ac:dyDescent="0.3">
      <c r="I66" s="93">
        <v>14</v>
      </c>
      <c r="J66" s="93" t="s">
        <v>215</v>
      </c>
      <c r="K66" s="270">
        <v>4.12</v>
      </c>
      <c r="L66" s="270">
        <v>4.12</v>
      </c>
      <c r="M66" s="270">
        <v>0</v>
      </c>
      <c r="N66" s="270">
        <v>0</v>
      </c>
      <c r="O66" s="270">
        <v>0</v>
      </c>
      <c r="P66" s="270">
        <v>0</v>
      </c>
      <c r="Q66" s="93" t="s">
        <v>206</v>
      </c>
      <c r="R66" s="93" t="s">
        <v>327</v>
      </c>
      <c r="AG66" s="286" t="s">
        <v>69</v>
      </c>
      <c r="AH66" s="286">
        <v>12.6</v>
      </c>
      <c r="AI66" s="286" t="s">
        <v>15</v>
      </c>
      <c r="AJ66" s="94" t="s">
        <v>10</v>
      </c>
    </row>
    <row r="67" spans="9:36" x14ac:dyDescent="0.3">
      <c r="I67" s="93">
        <v>16</v>
      </c>
      <c r="J67" s="93" t="s">
        <v>25</v>
      </c>
      <c r="K67" s="270">
        <v>1.05</v>
      </c>
      <c r="L67" s="270">
        <v>0</v>
      </c>
      <c r="M67" s="270">
        <v>0</v>
      </c>
      <c r="N67" s="270">
        <v>0</v>
      </c>
      <c r="O67" s="270">
        <v>1.05</v>
      </c>
      <c r="P67" s="270">
        <v>0</v>
      </c>
      <c r="Q67" s="93" t="s">
        <v>206</v>
      </c>
      <c r="R67" s="93" t="s">
        <v>337</v>
      </c>
      <c r="AG67" s="286" t="s">
        <v>70</v>
      </c>
      <c r="AH67" s="286">
        <v>12.3</v>
      </c>
      <c r="AI67" s="286" t="s">
        <v>15</v>
      </c>
      <c r="AJ67" s="94" t="s">
        <v>10</v>
      </c>
    </row>
    <row r="68" spans="9:36" x14ac:dyDescent="0.3">
      <c r="I68" s="93">
        <v>18</v>
      </c>
      <c r="J68" s="93" t="s">
        <v>27</v>
      </c>
      <c r="K68" s="270">
        <v>10.52</v>
      </c>
      <c r="L68" s="270">
        <v>9.0299999999999994</v>
      </c>
      <c r="M68" s="270">
        <v>0</v>
      </c>
      <c r="N68" s="270">
        <v>0</v>
      </c>
      <c r="O68" s="270">
        <v>1.49</v>
      </c>
      <c r="P68" s="270">
        <v>0</v>
      </c>
      <c r="Q68" s="93" t="s">
        <v>206</v>
      </c>
      <c r="R68" s="93" t="s">
        <v>335</v>
      </c>
      <c r="AG68" s="286" t="s">
        <v>71</v>
      </c>
      <c r="AH68" s="286">
        <v>18.8</v>
      </c>
      <c r="AI68" s="286" t="s">
        <v>15</v>
      </c>
      <c r="AJ68" s="94" t="s">
        <v>10</v>
      </c>
    </row>
    <row r="69" spans="9:36" x14ac:dyDescent="0.3">
      <c r="I69" s="93">
        <v>221</v>
      </c>
      <c r="J69" s="93" t="s">
        <v>219</v>
      </c>
      <c r="K69" s="270">
        <v>4.5299999999999994</v>
      </c>
      <c r="L69" s="270">
        <v>1.17</v>
      </c>
      <c r="M69" s="270">
        <v>0</v>
      </c>
      <c r="N69" s="270">
        <v>0</v>
      </c>
      <c r="O69" s="270">
        <v>3.36</v>
      </c>
      <c r="P69" s="270">
        <v>0</v>
      </c>
      <c r="Q69" s="93" t="s">
        <v>206</v>
      </c>
      <c r="R69" s="93" t="s">
        <v>340</v>
      </c>
      <c r="AG69" s="286" t="s">
        <v>72</v>
      </c>
      <c r="AH69" s="286">
        <v>19</v>
      </c>
      <c r="AI69" s="286" t="s">
        <v>15</v>
      </c>
      <c r="AJ69" s="94" t="s">
        <v>10</v>
      </c>
    </row>
    <row r="70" spans="9:36" x14ac:dyDescent="0.3">
      <c r="I70" s="93">
        <v>23</v>
      </c>
      <c r="J70" s="93" t="s">
        <v>237</v>
      </c>
      <c r="K70" s="270">
        <v>4.42</v>
      </c>
      <c r="L70" s="270">
        <v>2.9</v>
      </c>
      <c r="M70" s="270">
        <v>0</v>
      </c>
      <c r="N70" s="270">
        <v>0</v>
      </c>
      <c r="O70" s="270">
        <v>1.52</v>
      </c>
      <c r="P70" s="270">
        <v>0</v>
      </c>
      <c r="Q70" s="93" t="s">
        <v>206</v>
      </c>
      <c r="R70" s="93" t="s">
        <v>347</v>
      </c>
      <c r="AF70" s="286" t="s">
        <v>73</v>
      </c>
      <c r="AG70" s="286" t="s">
        <v>74</v>
      </c>
      <c r="AH70" s="286">
        <v>21.6</v>
      </c>
      <c r="AI70" s="286" t="s">
        <v>15</v>
      </c>
      <c r="AJ70" s="94" t="s">
        <v>10</v>
      </c>
    </row>
    <row r="71" spans="9:36" x14ac:dyDescent="0.3">
      <c r="I71" s="93">
        <v>24</v>
      </c>
      <c r="J71" s="93" t="s">
        <v>236</v>
      </c>
      <c r="K71" s="270">
        <v>8.25</v>
      </c>
      <c r="L71" s="270">
        <v>8.25</v>
      </c>
      <c r="M71" s="270">
        <v>0</v>
      </c>
      <c r="N71" s="270">
        <v>0</v>
      </c>
      <c r="O71" s="270">
        <v>0</v>
      </c>
      <c r="P71" s="270">
        <v>0</v>
      </c>
      <c r="Q71" s="93" t="s">
        <v>206</v>
      </c>
      <c r="R71" s="93" t="s">
        <v>347</v>
      </c>
      <c r="AF71" s="286" t="s">
        <v>77</v>
      </c>
      <c r="AG71" s="286" t="s">
        <v>78</v>
      </c>
      <c r="AH71" s="286">
        <v>26</v>
      </c>
      <c r="AI71" s="286" t="s">
        <v>15</v>
      </c>
      <c r="AJ71" s="94" t="s">
        <v>10</v>
      </c>
    </row>
    <row r="72" spans="9:36" x14ac:dyDescent="0.3">
      <c r="I72" s="93">
        <v>25</v>
      </c>
      <c r="J72" s="93" t="s">
        <v>30</v>
      </c>
      <c r="K72" s="270">
        <v>0.88</v>
      </c>
      <c r="L72" s="270">
        <v>0</v>
      </c>
      <c r="M72" s="270">
        <v>0</v>
      </c>
      <c r="N72" s="270">
        <v>0</v>
      </c>
      <c r="O72" s="270">
        <v>0.88</v>
      </c>
      <c r="P72" s="270">
        <v>0</v>
      </c>
      <c r="Q72" s="93" t="s">
        <v>206</v>
      </c>
      <c r="R72" s="93" t="s">
        <v>348</v>
      </c>
      <c r="AF72" s="286" t="s">
        <v>79</v>
      </c>
      <c r="AG72" s="286" t="s">
        <v>80</v>
      </c>
      <c r="AH72" s="286">
        <v>24.5</v>
      </c>
      <c r="AI72" s="286" t="s">
        <v>15</v>
      </c>
      <c r="AJ72" s="94" t="s">
        <v>10</v>
      </c>
    </row>
    <row r="73" spans="9:36" x14ac:dyDescent="0.3">
      <c r="I73" s="93">
        <v>27</v>
      </c>
      <c r="J73" s="93" t="s">
        <v>224</v>
      </c>
      <c r="K73" s="270">
        <v>1.93</v>
      </c>
      <c r="L73" s="270">
        <v>0.28000000000000003</v>
      </c>
      <c r="M73" s="270">
        <v>0</v>
      </c>
      <c r="N73" s="270">
        <v>0</v>
      </c>
      <c r="O73" s="270">
        <v>1.65</v>
      </c>
      <c r="P73" s="270">
        <v>0</v>
      </c>
      <c r="Q73" s="93" t="s">
        <v>206</v>
      </c>
      <c r="R73" s="93" t="s">
        <v>351</v>
      </c>
      <c r="AG73" s="286" t="s">
        <v>81</v>
      </c>
      <c r="AH73" s="286">
        <v>15</v>
      </c>
      <c r="AI73" s="286" t="s">
        <v>15</v>
      </c>
      <c r="AJ73" s="94" t="s">
        <v>10</v>
      </c>
    </row>
    <row r="74" spans="9:36" x14ac:dyDescent="0.3">
      <c r="I74" s="93">
        <v>29</v>
      </c>
      <c r="J74" s="93" t="s">
        <v>239</v>
      </c>
      <c r="K74" s="270">
        <v>0.86</v>
      </c>
      <c r="L74" s="270">
        <v>0.86</v>
      </c>
      <c r="M74" s="270">
        <v>0</v>
      </c>
      <c r="N74" s="270">
        <v>0</v>
      </c>
      <c r="O74" s="270">
        <v>0</v>
      </c>
      <c r="P74" s="270">
        <v>0</v>
      </c>
      <c r="Q74" s="93" t="s">
        <v>206</v>
      </c>
      <c r="R74" s="93" t="s">
        <v>353</v>
      </c>
      <c r="AF74" s="286" t="s">
        <v>85</v>
      </c>
      <c r="AG74" s="286" t="s">
        <v>84</v>
      </c>
      <c r="AH74" s="286">
        <v>45</v>
      </c>
      <c r="AI74" s="286" t="s">
        <v>15</v>
      </c>
      <c r="AJ74" s="94" t="s">
        <v>10</v>
      </c>
    </row>
    <row r="75" spans="9:36" x14ac:dyDescent="0.3">
      <c r="I75" s="93">
        <v>31</v>
      </c>
      <c r="J75" s="93" t="s">
        <v>359</v>
      </c>
      <c r="K75" s="270">
        <v>0.78</v>
      </c>
      <c r="L75" s="270">
        <v>0.78</v>
      </c>
      <c r="M75" s="270">
        <v>0</v>
      </c>
      <c r="N75" s="270">
        <v>0</v>
      </c>
      <c r="O75" s="270">
        <v>0</v>
      </c>
      <c r="P75" s="270">
        <v>0</v>
      </c>
      <c r="Q75" s="93" t="s">
        <v>206</v>
      </c>
      <c r="R75" s="93" t="s">
        <v>360</v>
      </c>
      <c r="AG75" s="286" t="s">
        <v>86</v>
      </c>
      <c r="AH75" s="286">
        <v>16.8</v>
      </c>
      <c r="AI75" s="286" t="s">
        <v>15</v>
      </c>
      <c r="AJ75" s="94" t="s">
        <v>10</v>
      </c>
    </row>
    <row r="76" spans="9:36" x14ac:dyDescent="0.3">
      <c r="I76" s="93">
        <v>35</v>
      </c>
      <c r="J76" s="93" t="s">
        <v>364</v>
      </c>
      <c r="K76" s="270">
        <v>2.97</v>
      </c>
      <c r="L76" s="270">
        <v>0.80999999999999994</v>
      </c>
      <c r="M76" s="270">
        <v>0</v>
      </c>
      <c r="N76" s="270">
        <v>0</v>
      </c>
      <c r="O76" s="270">
        <v>2.16</v>
      </c>
      <c r="P76" s="270">
        <v>0</v>
      </c>
      <c r="Q76" s="93" t="s">
        <v>206</v>
      </c>
      <c r="R76" s="93" t="s">
        <v>365</v>
      </c>
      <c r="AF76" s="286" t="s">
        <v>87</v>
      </c>
      <c r="AG76" s="286" t="s">
        <v>88</v>
      </c>
      <c r="AH76" s="286">
        <v>20.3</v>
      </c>
      <c r="AI76" s="286" t="s">
        <v>15</v>
      </c>
      <c r="AJ76" s="94" t="s">
        <v>10</v>
      </c>
    </row>
    <row r="77" spans="9:36" x14ac:dyDescent="0.3">
      <c r="I77" s="93">
        <v>36</v>
      </c>
      <c r="J77" s="93" t="s">
        <v>366</v>
      </c>
      <c r="K77" s="270">
        <v>6.01</v>
      </c>
      <c r="L77" s="270">
        <v>0</v>
      </c>
      <c r="M77" s="270">
        <v>0</v>
      </c>
      <c r="N77" s="270">
        <v>0</v>
      </c>
      <c r="O77" s="270">
        <v>6.01</v>
      </c>
      <c r="P77" s="270">
        <v>0</v>
      </c>
      <c r="Q77" s="93" t="s">
        <v>206</v>
      </c>
      <c r="R77" s="93" t="s">
        <v>367</v>
      </c>
      <c r="AG77" s="286" t="s">
        <v>89</v>
      </c>
      <c r="AH77" s="286">
        <v>10</v>
      </c>
      <c r="AI77" s="286" t="s">
        <v>15</v>
      </c>
      <c r="AJ77" s="94" t="s">
        <v>10</v>
      </c>
    </row>
    <row r="78" spans="9:36" x14ac:dyDescent="0.3">
      <c r="I78" s="93">
        <v>38</v>
      </c>
      <c r="J78" s="93" t="s">
        <v>36</v>
      </c>
      <c r="K78" s="270">
        <v>3.9</v>
      </c>
      <c r="L78" s="270">
        <v>1.58</v>
      </c>
      <c r="M78" s="270">
        <v>0</v>
      </c>
      <c r="N78" s="270">
        <v>0</v>
      </c>
      <c r="O78" s="270">
        <v>2.3199999999999998</v>
      </c>
      <c r="P78" s="270">
        <v>0</v>
      </c>
      <c r="Q78" s="93" t="s">
        <v>206</v>
      </c>
      <c r="R78" s="93" t="s">
        <v>369</v>
      </c>
      <c r="AF78" s="286" t="s">
        <v>91</v>
      </c>
      <c r="AG78" s="286" t="s">
        <v>92</v>
      </c>
      <c r="AH78" s="286">
        <v>18.5</v>
      </c>
      <c r="AI78" s="286" t="s">
        <v>15</v>
      </c>
      <c r="AJ78" s="94" t="s">
        <v>10</v>
      </c>
    </row>
    <row r="79" spans="9:36" x14ac:dyDescent="0.3">
      <c r="I79" s="93">
        <v>39</v>
      </c>
      <c r="J79" s="93" t="s">
        <v>370</v>
      </c>
      <c r="K79" s="270">
        <v>4.9399999999999995</v>
      </c>
      <c r="L79" s="270">
        <v>0.14000000000000001</v>
      </c>
      <c r="M79" s="270">
        <v>0</v>
      </c>
      <c r="N79" s="270">
        <v>0</v>
      </c>
      <c r="O79" s="270">
        <v>4.8</v>
      </c>
      <c r="P79" s="270">
        <v>0</v>
      </c>
      <c r="Q79" s="93" t="s">
        <v>206</v>
      </c>
      <c r="R79" s="93" t="s">
        <v>371</v>
      </c>
      <c r="AG79" s="286" t="s">
        <v>49</v>
      </c>
      <c r="AH79" s="286">
        <v>12.3</v>
      </c>
      <c r="AI79" s="286" t="s">
        <v>15</v>
      </c>
      <c r="AJ79" s="94" t="s">
        <v>10</v>
      </c>
    </row>
    <row r="80" spans="9:36" x14ac:dyDescent="0.3">
      <c r="I80" s="93">
        <v>105</v>
      </c>
      <c r="J80" s="93" t="s">
        <v>228</v>
      </c>
      <c r="K80" s="270">
        <v>3.65</v>
      </c>
      <c r="L80" s="270">
        <v>0</v>
      </c>
      <c r="M80" s="270">
        <v>0</v>
      </c>
      <c r="N80" s="270">
        <v>0</v>
      </c>
      <c r="O80" s="270">
        <v>3.65</v>
      </c>
      <c r="P80" s="270">
        <v>0</v>
      </c>
      <c r="Q80" s="93" t="s">
        <v>206</v>
      </c>
      <c r="R80" s="93" t="s">
        <v>372</v>
      </c>
      <c r="AF80" s="286" t="s">
        <v>93</v>
      </c>
      <c r="AG80" s="286" t="s">
        <v>94</v>
      </c>
      <c r="AH80" s="286">
        <v>22.5</v>
      </c>
      <c r="AI80" s="286" t="s">
        <v>15</v>
      </c>
      <c r="AJ80" s="94" t="s">
        <v>10</v>
      </c>
    </row>
    <row r="81" spans="9:36" x14ac:dyDescent="0.3">
      <c r="I81" s="93">
        <v>41</v>
      </c>
      <c r="J81" s="93" t="s">
        <v>230</v>
      </c>
      <c r="K81" s="270">
        <v>2.81</v>
      </c>
      <c r="L81" s="270">
        <v>0</v>
      </c>
      <c r="M81" s="270">
        <v>0</v>
      </c>
      <c r="N81" s="270">
        <v>0</v>
      </c>
      <c r="O81" s="270">
        <v>2.81</v>
      </c>
      <c r="P81" s="270">
        <v>0</v>
      </c>
      <c r="Q81" s="93" t="s">
        <v>206</v>
      </c>
      <c r="R81" s="93" t="s">
        <v>374</v>
      </c>
      <c r="AF81" s="286" t="s">
        <v>95</v>
      </c>
      <c r="AG81" s="286" t="s">
        <v>96</v>
      </c>
      <c r="AH81" s="286">
        <v>43</v>
      </c>
      <c r="AI81" s="286" t="s">
        <v>15</v>
      </c>
      <c r="AJ81" s="94" t="s">
        <v>10</v>
      </c>
    </row>
    <row r="82" spans="9:36" x14ac:dyDescent="0.3">
      <c r="I82" s="93">
        <v>104</v>
      </c>
      <c r="J82" s="93" t="s">
        <v>240</v>
      </c>
      <c r="K82" s="270">
        <v>3.13</v>
      </c>
      <c r="L82" s="270">
        <v>0</v>
      </c>
      <c r="M82" s="270">
        <v>0</v>
      </c>
      <c r="N82" s="270">
        <v>0</v>
      </c>
      <c r="O82" s="270">
        <v>3.13</v>
      </c>
      <c r="P82" s="270">
        <v>0</v>
      </c>
      <c r="Q82" s="93" t="s">
        <v>206</v>
      </c>
      <c r="R82" s="93" t="s">
        <v>379</v>
      </c>
      <c r="AF82" s="286" t="s">
        <v>99</v>
      </c>
      <c r="AG82" s="286" t="s">
        <v>100</v>
      </c>
      <c r="AH82" s="286">
        <v>16.8</v>
      </c>
      <c r="AI82" s="286" t="s">
        <v>15</v>
      </c>
      <c r="AJ82" s="94" t="s">
        <v>10</v>
      </c>
    </row>
    <row r="83" spans="9:36" x14ac:dyDescent="0.3">
      <c r="I83" s="93">
        <v>116</v>
      </c>
      <c r="J83" s="93" t="s">
        <v>47</v>
      </c>
      <c r="K83" s="270">
        <v>12.3</v>
      </c>
      <c r="L83" s="270">
        <v>6.67</v>
      </c>
      <c r="M83" s="270">
        <v>0</v>
      </c>
      <c r="N83" s="270">
        <v>0</v>
      </c>
      <c r="O83" s="270">
        <v>5.63</v>
      </c>
      <c r="P83" s="270">
        <v>0</v>
      </c>
      <c r="Q83" s="93" t="s">
        <v>206</v>
      </c>
      <c r="R83" s="93" t="s">
        <v>405</v>
      </c>
      <c r="AF83" s="286" t="s">
        <v>101</v>
      </c>
      <c r="AH83" s="286">
        <v>15.8</v>
      </c>
      <c r="AI83" s="286" t="s">
        <v>15</v>
      </c>
      <c r="AJ83" s="94" t="s">
        <v>10</v>
      </c>
    </row>
    <row r="84" spans="9:36" x14ac:dyDescent="0.3">
      <c r="I84" s="93">
        <v>50</v>
      </c>
      <c r="J84" s="93" t="s">
        <v>255</v>
      </c>
      <c r="K84" s="270">
        <v>7.69</v>
      </c>
      <c r="L84" s="270">
        <v>2</v>
      </c>
      <c r="M84" s="270">
        <v>0</v>
      </c>
      <c r="N84" s="270">
        <v>0</v>
      </c>
      <c r="O84" s="270">
        <v>5.69</v>
      </c>
      <c r="P84" s="270">
        <v>0</v>
      </c>
      <c r="Q84" s="93" t="s">
        <v>206</v>
      </c>
      <c r="R84" s="93" t="s">
        <v>413</v>
      </c>
      <c r="AF84" s="286" t="s">
        <v>103</v>
      </c>
      <c r="AH84" s="286">
        <v>16.5</v>
      </c>
      <c r="AI84" s="286" t="s">
        <v>15</v>
      </c>
      <c r="AJ84" s="94" t="s">
        <v>10</v>
      </c>
    </row>
    <row r="85" spans="9:36" x14ac:dyDescent="0.3">
      <c r="I85" s="93">
        <v>52</v>
      </c>
      <c r="J85" s="93" t="s">
        <v>251</v>
      </c>
      <c r="K85" s="270">
        <v>6.64</v>
      </c>
      <c r="L85" s="270">
        <v>0</v>
      </c>
      <c r="M85" s="270">
        <v>0</v>
      </c>
      <c r="N85" s="270">
        <v>0</v>
      </c>
      <c r="O85" s="270">
        <v>6.64</v>
      </c>
      <c r="P85" s="270">
        <v>0</v>
      </c>
      <c r="Q85" s="93" t="s">
        <v>206</v>
      </c>
      <c r="R85" s="93" t="s">
        <v>415</v>
      </c>
      <c r="AF85" s="286" t="s">
        <v>104</v>
      </c>
      <c r="AG85" s="286" t="s">
        <v>105</v>
      </c>
      <c r="AH85" s="286">
        <v>10</v>
      </c>
      <c r="AI85" s="286" t="s">
        <v>15</v>
      </c>
      <c r="AJ85" s="94" t="s">
        <v>10</v>
      </c>
    </row>
    <row r="86" spans="9:36" x14ac:dyDescent="0.3">
      <c r="I86" s="93">
        <v>53</v>
      </c>
      <c r="J86" s="93" t="s">
        <v>249</v>
      </c>
      <c r="K86" s="270">
        <v>6.46</v>
      </c>
      <c r="L86" s="270">
        <v>5.64</v>
      </c>
      <c r="M86" s="270">
        <v>0</v>
      </c>
      <c r="N86" s="270">
        <v>0</v>
      </c>
      <c r="O86" s="270">
        <v>0.82</v>
      </c>
      <c r="P86" s="270">
        <v>0</v>
      </c>
      <c r="Q86" s="93" t="s">
        <v>206</v>
      </c>
      <c r="R86" s="93" t="s">
        <v>416</v>
      </c>
      <c r="AG86" s="286" t="s">
        <v>107</v>
      </c>
      <c r="AH86" s="286">
        <v>18</v>
      </c>
      <c r="AI86" s="286" t="s">
        <v>15</v>
      </c>
      <c r="AJ86" s="94" t="s">
        <v>10</v>
      </c>
    </row>
    <row r="87" spans="9:36" x14ac:dyDescent="0.3">
      <c r="I87" s="93">
        <v>103</v>
      </c>
      <c r="J87" s="93" t="s">
        <v>245</v>
      </c>
      <c r="K87" s="270">
        <v>1.24</v>
      </c>
      <c r="L87" s="270">
        <v>0.19</v>
      </c>
      <c r="M87" s="270">
        <v>0</v>
      </c>
      <c r="N87" s="270">
        <v>0</v>
      </c>
      <c r="O87" s="270">
        <v>1.05</v>
      </c>
      <c r="P87" s="270">
        <v>0</v>
      </c>
      <c r="Q87" s="93" t="s">
        <v>206</v>
      </c>
      <c r="R87" s="93" t="s">
        <v>418</v>
      </c>
      <c r="AG87" s="286" t="s">
        <v>108</v>
      </c>
      <c r="AH87" s="286">
        <v>15</v>
      </c>
      <c r="AI87" s="286" t="s">
        <v>15</v>
      </c>
      <c r="AJ87" s="94" t="s">
        <v>10</v>
      </c>
    </row>
    <row r="88" spans="9:36" x14ac:dyDescent="0.3">
      <c r="I88" s="93">
        <v>57</v>
      </c>
      <c r="J88" s="93" t="s">
        <v>268</v>
      </c>
      <c r="K88" s="270">
        <v>1.36</v>
      </c>
      <c r="L88" s="270">
        <v>0.3</v>
      </c>
      <c r="M88" s="270">
        <v>0</v>
      </c>
      <c r="N88" s="270">
        <v>0</v>
      </c>
      <c r="O88" s="270">
        <v>1.06</v>
      </c>
      <c r="P88" s="270">
        <v>0</v>
      </c>
      <c r="Q88" s="93" t="s">
        <v>206</v>
      </c>
      <c r="R88" s="93" t="s">
        <v>420</v>
      </c>
      <c r="AF88" s="286" t="s">
        <v>110</v>
      </c>
      <c r="AG88" s="286" t="s">
        <v>111</v>
      </c>
      <c r="AH88" s="286">
        <v>11</v>
      </c>
      <c r="AI88" s="286" t="s">
        <v>15</v>
      </c>
      <c r="AJ88" s="94" t="s">
        <v>10</v>
      </c>
    </row>
    <row r="89" spans="9:36" x14ac:dyDescent="0.3">
      <c r="I89" s="93">
        <v>58</v>
      </c>
      <c r="J89" s="93" t="s">
        <v>421</v>
      </c>
      <c r="K89" s="270">
        <v>0.36</v>
      </c>
      <c r="L89" s="270">
        <v>0</v>
      </c>
      <c r="M89" s="270">
        <v>0</v>
      </c>
      <c r="N89" s="270">
        <v>0</v>
      </c>
      <c r="O89" s="270">
        <v>0.36</v>
      </c>
      <c r="P89" s="270">
        <v>0</v>
      </c>
      <c r="Q89" s="93" t="s">
        <v>206</v>
      </c>
      <c r="R89" s="93" t="s">
        <v>422</v>
      </c>
      <c r="AG89" s="286" t="s">
        <v>112</v>
      </c>
      <c r="AH89" s="286">
        <v>16</v>
      </c>
      <c r="AI89" s="286" t="s">
        <v>15</v>
      </c>
      <c r="AJ89" s="94" t="s">
        <v>10</v>
      </c>
    </row>
    <row r="90" spans="9:36" x14ac:dyDescent="0.3">
      <c r="I90" s="93">
        <v>59</v>
      </c>
      <c r="J90" s="93" t="s">
        <v>262</v>
      </c>
      <c r="K90" s="270">
        <v>0.8</v>
      </c>
      <c r="L90" s="270">
        <v>0</v>
      </c>
      <c r="M90" s="270">
        <v>0</v>
      </c>
      <c r="N90" s="270">
        <v>0</v>
      </c>
      <c r="O90" s="270">
        <v>0.8</v>
      </c>
      <c r="P90" s="270">
        <v>0</v>
      </c>
      <c r="Q90" s="93" t="s">
        <v>206</v>
      </c>
      <c r="R90" s="93" t="s">
        <v>422</v>
      </c>
      <c r="AG90" s="286" t="s">
        <v>113</v>
      </c>
      <c r="AH90" s="286">
        <v>13</v>
      </c>
      <c r="AI90" s="286" t="s">
        <v>15</v>
      </c>
      <c r="AJ90" s="94" t="s">
        <v>10</v>
      </c>
    </row>
    <row r="91" spans="9:36" x14ac:dyDescent="0.3">
      <c r="I91" s="93">
        <v>97</v>
      </c>
      <c r="J91" s="93" t="s">
        <v>51</v>
      </c>
      <c r="K91" s="270">
        <v>8.4499999999999993</v>
      </c>
      <c r="L91" s="270">
        <v>8.4499999999999993</v>
      </c>
      <c r="M91" s="270">
        <v>0</v>
      </c>
      <c r="N91" s="270">
        <v>0</v>
      </c>
      <c r="O91" s="270">
        <v>0</v>
      </c>
      <c r="P91" s="270">
        <v>0</v>
      </c>
      <c r="Q91" s="93" t="s">
        <v>206</v>
      </c>
      <c r="R91" s="93" t="s">
        <v>423</v>
      </c>
      <c r="AG91" s="286" t="s">
        <v>114</v>
      </c>
      <c r="AH91" s="286">
        <v>12</v>
      </c>
      <c r="AI91" s="286" t="s">
        <v>15</v>
      </c>
      <c r="AJ91" s="94" t="s">
        <v>10</v>
      </c>
    </row>
    <row r="92" spans="9:36" x14ac:dyDescent="0.3">
      <c r="I92" s="93">
        <v>56</v>
      </c>
      <c r="J92" s="93" t="s">
        <v>250</v>
      </c>
      <c r="K92" s="270">
        <v>5.72</v>
      </c>
      <c r="L92" s="270">
        <v>1.72</v>
      </c>
      <c r="M92" s="270">
        <v>0</v>
      </c>
      <c r="N92" s="270">
        <v>0</v>
      </c>
      <c r="O92" s="270">
        <v>4</v>
      </c>
      <c r="P92" s="270">
        <v>0</v>
      </c>
      <c r="Q92" s="93" t="s">
        <v>206</v>
      </c>
      <c r="R92" s="93" t="s">
        <v>414</v>
      </c>
      <c r="AF92" s="286" t="s">
        <v>116</v>
      </c>
      <c r="AG92" s="286" t="s">
        <v>117</v>
      </c>
      <c r="AH92" s="286">
        <v>26</v>
      </c>
      <c r="AI92" s="286" t="s">
        <v>15</v>
      </c>
      <c r="AJ92" s="94" t="s">
        <v>10</v>
      </c>
    </row>
    <row r="93" spans="9:36" x14ac:dyDescent="0.3">
      <c r="I93" s="93">
        <v>61</v>
      </c>
      <c r="J93" s="93" t="s">
        <v>260</v>
      </c>
      <c r="K93" s="270">
        <v>4.5</v>
      </c>
      <c r="L93" s="270">
        <v>1.63</v>
      </c>
      <c r="M93" s="270">
        <v>0</v>
      </c>
      <c r="N93" s="270">
        <v>0</v>
      </c>
      <c r="O93" s="270">
        <v>2.87</v>
      </c>
      <c r="P93" s="270">
        <v>0</v>
      </c>
      <c r="Q93" s="93" t="s">
        <v>206</v>
      </c>
      <c r="R93" s="93" t="s">
        <v>425</v>
      </c>
      <c r="AF93" s="286" t="s">
        <v>121</v>
      </c>
      <c r="AG93" s="286" t="s">
        <v>122</v>
      </c>
      <c r="AH93" s="286">
        <v>15.6</v>
      </c>
      <c r="AI93" s="286" t="s">
        <v>15</v>
      </c>
      <c r="AJ93" s="94" t="s">
        <v>10</v>
      </c>
    </row>
    <row r="94" spans="9:36" x14ac:dyDescent="0.3">
      <c r="I94" s="93">
        <v>62</v>
      </c>
      <c r="J94" s="93" t="s">
        <v>269</v>
      </c>
      <c r="K94" s="270">
        <v>3.03</v>
      </c>
      <c r="L94" s="270">
        <v>0</v>
      </c>
      <c r="M94" s="270">
        <v>0</v>
      </c>
      <c r="N94" s="270">
        <v>0</v>
      </c>
      <c r="O94" s="270">
        <v>3.03</v>
      </c>
      <c r="P94" s="270">
        <v>0</v>
      </c>
      <c r="Q94" s="93" t="s">
        <v>206</v>
      </c>
      <c r="R94" s="93" t="s">
        <v>426</v>
      </c>
      <c r="AF94" s="286" t="s">
        <v>127</v>
      </c>
      <c r="AG94" s="286" t="s">
        <v>128</v>
      </c>
      <c r="AH94" s="286">
        <v>15.4</v>
      </c>
      <c r="AI94" s="286" t="s">
        <v>15</v>
      </c>
      <c r="AJ94" s="94" t="s">
        <v>10</v>
      </c>
    </row>
    <row r="95" spans="9:36" x14ac:dyDescent="0.3">
      <c r="I95" s="93">
        <v>63</v>
      </c>
      <c r="J95" s="93" t="s">
        <v>265</v>
      </c>
      <c r="K95" s="270">
        <v>3.04</v>
      </c>
      <c r="L95" s="270">
        <v>1.1100000000000001</v>
      </c>
      <c r="M95" s="270">
        <v>0</v>
      </c>
      <c r="N95" s="270">
        <v>0</v>
      </c>
      <c r="O95" s="270">
        <v>1.93</v>
      </c>
      <c r="P95" s="270">
        <v>0</v>
      </c>
      <c r="Q95" s="93" t="s">
        <v>206</v>
      </c>
      <c r="R95" s="93" t="s">
        <v>427</v>
      </c>
      <c r="AF95" s="286" t="s">
        <v>130</v>
      </c>
      <c r="AG95" s="286" t="s">
        <v>131</v>
      </c>
      <c r="AH95" s="286">
        <v>15.4</v>
      </c>
      <c r="AI95" s="286" t="s">
        <v>15</v>
      </c>
      <c r="AJ95" s="94" t="s">
        <v>10</v>
      </c>
    </row>
    <row r="96" spans="9:36" x14ac:dyDescent="0.3">
      <c r="I96" s="93">
        <v>96</v>
      </c>
      <c r="J96" s="93" t="s">
        <v>270</v>
      </c>
      <c r="K96" s="270">
        <v>5.73</v>
      </c>
      <c r="L96" s="270">
        <v>3.47</v>
      </c>
      <c r="M96" s="270">
        <v>0</v>
      </c>
      <c r="N96" s="270">
        <v>0</v>
      </c>
      <c r="O96" s="270">
        <v>2.2599999999999998</v>
      </c>
      <c r="P96" s="270">
        <v>0</v>
      </c>
      <c r="Q96" s="93" t="s">
        <v>206</v>
      </c>
      <c r="R96" s="93" t="s">
        <v>430</v>
      </c>
      <c r="AG96" s="286" t="s">
        <v>132</v>
      </c>
      <c r="AH96" s="286">
        <v>22</v>
      </c>
      <c r="AI96" s="286" t="s">
        <v>15</v>
      </c>
      <c r="AJ96" s="94" t="s">
        <v>10</v>
      </c>
    </row>
    <row r="97" spans="9:36" x14ac:dyDescent="0.3">
      <c r="I97" s="93">
        <v>65</v>
      </c>
      <c r="J97" s="93" t="s">
        <v>261</v>
      </c>
      <c r="K97" s="270">
        <v>2.7</v>
      </c>
      <c r="L97" s="270">
        <v>0</v>
      </c>
      <c r="M97" s="270">
        <v>0</v>
      </c>
      <c r="N97" s="270">
        <v>0</v>
      </c>
      <c r="O97" s="270">
        <v>2.7</v>
      </c>
      <c r="P97" s="270">
        <v>0</v>
      </c>
      <c r="Q97" s="93" t="s">
        <v>206</v>
      </c>
      <c r="R97" s="93" t="s">
        <v>431</v>
      </c>
      <c r="AG97" s="286" t="s">
        <v>133</v>
      </c>
      <c r="AH97" s="286">
        <v>12.48</v>
      </c>
      <c r="AI97" s="286" t="s">
        <v>15</v>
      </c>
      <c r="AJ97" s="94" t="s">
        <v>10</v>
      </c>
    </row>
    <row r="98" spans="9:36" x14ac:dyDescent="0.3">
      <c r="I98" s="93">
        <v>66</v>
      </c>
      <c r="J98" s="93" t="s">
        <v>432</v>
      </c>
      <c r="K98" s="270">
        <v>4.2</v>
      </c>
      <c r="L98" s="270">
        <v>0</v>
      </c>
      <c r="M98" s="270">
        <v>0</v>
      </c>
      <c r="N98" s="270">
        <v>0</v>
      </c>
      <c r="O98" s="270">
        <v>4.2</v>
      </c>
      <c r="P98" s="270">
        <v>0</v>
      </c>
      <c r="Q98" s="93" t="s">
        <v>206</v>
      </c>
      <c r="R98" s="93" t="s">
        <v>433</v>
      </c>
      <c r="AG98" s="286" t="s">
        <v>134</v>
      </c>
      <c r="AH98" s="286">
        <v>12.7</v>
      </c>
      <c r="AI98" s="286" t="s">
        <v>15</v>
      </c>
      <c r="AJ98" s="94" t="s">
        <v>10</v>
      </c>
    </row>
    <row r="99" spans="9:36" x14ac:dyDescent="0.3">
      <c r="I99" s="93">
        <v>71</v>
      </c>
      <c r="J99" s="93" t="s">
        <v>54</v>
      </c>
      <c r="K99" s="270">
        <v>2.68</v>
      </c>
      <c r="L99" s="270">
        <v>0</v>
      </c>
      <c r="M99" s="270">
        <v>0</v>
      </c>
      <c r="N99" s="270">
        <v>0</v>
      </c>
      <c r="O99" s="270">
        <v>2.68</v>
      </c>
      <c r="P99" s="270">
        <v>0</v>
      </c>
      <c r="Q99" s="93" t="s">
        <v>206</v>
      </c>
      <c r="R99" s="93" t="s">
        <v>437</v>
      </c>
      <c r="AG99" s="286" t="s">
        <v>135</v>
      </c>
      <c r="AH99" s="286">
        <v>12.7</v>
      </c>
      <c r="AI99" s="286" t="s">
        <v>15</v>
      </c>
      <c r="AJ99" s="94" t="s">
        <v>10</v>
      </c>
    </row>
    <row r="100" spans="9:36" x14ac:dyDescent="0.3">
      <c r="I100" s="93">
        <v>72</v>
      </c>
      <c r="J100" s="93" t="s">
        <v>56</v>
      </c>
      <c r="K100" s="270">
        <v>1.8900000000000001</v>
      </c>
      <c r="L100" s="270">
        <v>0.83</v>
      </c>
      <c r="M100" s="270">
        <v>0</v>
      </c>
      <c r="N100" s="270">
        <v>0</v>
      </c>
      <c r="O100" s="270">
        <v>1.06</v>
      </c>
      <c r="P100" s="270">
        <v>0</v>
      </c>
      <c r="Q100" s="93" t="s">
        <v>206</v>
      </c>
      <c r="R100" s="93" t="s">
        <v>438</v>
      </c>
      <c r="AG100" s="286" t="s">
        <v>136</v>
      </c>
      <c r="AH100" s="286">
        <v>18.7</v>
      </c>
      <c r="AI100" s="286" t="s">
        <v>15</v>
      </c>
      <c r="AJ100" s="94" t="s">
        <v>10</v>
      </c>
    </row>
    <row r="101" spans="9:36" x14ac:dyDescent="0.3">
      <c r="I101" s="93">
        <v>73</v>
      </c>
      <c r="J101" s="93" t="s">
        <v>258</v>
      </c>
      <c r="K101" s="270">
        <v>4.5599999999999996</v>
      </c>
      <c r="L101" s="270">
        <v>0</v>
      </c>
      <c r="M101" s="270">
        <v>0</v>
      </c>
      <c r="N101" s="270">
        <v>0</v>
      </c>
      <c r="O101" s="270">
        <v>4.5599999999999996</v>
      </c>
      <c r="P101" s="270">
        <v>0</v>
      </c>
      <c r="Q101" s="93" t="s">
        <v>206</v>
      </c>
      <c r="R101" s="93" t="s">
        <v>439</v>
      </c>
      <c r="AG101" s="286" t="s">
        <v>137</v>
      </c>
      <c r="AH101" s="286">
        <v>12.6</v>
      </c>
      <c r="AI101" s="286" t="s">
        <v>15</v>
      </c>
      <c r="AJ101" s="94" t="s">
        <v>10</v>
      </c>
    </row>
    <row r="102" spans="9:36" x14ac:dyDescent="0.3">
      <c r="I102" s="93">
        <v>76</v>
      </c>
      <c r="J102" s="93" t="s">
        <v>256</v>
      </c>
      <c r="K102" s="270">
        <v>0.2</v>
      </c>
      <c r="L102" s="270">
        <v>0.2</v>
      </c>
      <c r="M102" s="270">
        <v>0</v>
      </c>
      <c r="N102" s="270">
        <v>0</v>
      </c>
      <c r="O102" s="270">
        <v>0</v>
      </c>
      <c r="P102" s="270">
        <v>0</v>
      </c>
      <c r="Q102" s="93" t="s">
        <v>206</v>
      </c>
      <c r="R102" s="93" t="s">
        <v>425</v>
      </c>
      <c r="AG102" s="286" t="s">
        <v>138</v>
      </c>
      <c r="AH102" s="286">
        <v>15.8</v>
      </c>
      <c r="AI102" s="286" t="s">
        <v>15</v>
      </c>
      <c r="AJ102" s="94" t="s">
        <v>10</v>
      </c>
    </row>
    <row r="103" spans="9:36" x14ac:dyDescent="0.3">
      <c r="I103" s="93">
        <v>81</v>
      </c>
      <c r="J103" s="93" t="s">
        <v>279</v>
      </c>
      <c r="K103" s="270">
        <v>3.89</v>
      </c>
      <c r="L103" s="270">
        <v>0.47000000000000003</v>
      </c>
      <c r="M103" s="270">
        <v>0</v>
      </c>
      <c r="N103" s="270">
        <v>0</v>
      </c>
      <c r="O103" s="270">
        <v>3.42</v>
      </c>
      <c r="P103" s="270">
        <v>0</v>
      </c>
      <c r="Q103" s="93" t="s">
        <v>206</v>
      </c>
      <c r="R103" s="93" t="s">
        <v>448</v>
      </c>
      <c r="AF103" s="286" t="s">
        <v>141</v>
      </c>
      <c r="AG103" s="286" t="s">
        <v>675</v>
      </c>
      <c r="AH103" s="286">
        <v>6</v>
      </c>
      <c r="AI103" s="286" t="s">
        <v>15</v>
      </c>
      <c r="AJ103" s="94" t="s">
        <v>10</v>
      </c>
    </row>
    <row r="104" spans="9:36" x14ac:dyDescent="0.3">
      <c r="I104" s="93">
        <v>83</v>
      </c>
      <c r="J104" s="93" t="s">
        <v>58</v>
      </c>
      <c r="K104" s="270">
        <v>4.12</v>
      </c>
      <c r="L104" s="270">
        <v>0.33999999999999997</v>
      </c>
      <c r="M104" s="270">
        <v>0</v>
      </c>
      <c r="N104" s="270">
        <v>0</v>
      </c>
      <c r="O104" s="270">
        <v>3.7800000000000002</v>
      </c>
      <c r="P104" s="270">
        <v>0</v>
      </c>
      <c r="Q104" s="93" t="s">
        <v>206</v>
      </c>
      <c r="R104" s="93" t="s">
        <v>447</v>
      </c>
      <c r="AG104" s="286" t="s">
        <v>676</v>
      </c>
      <c r="AH104" s="286">
        <v>6</v>
      </c>
      <c r="AI104" s="286" t="s">
        <v>15</v>
      </c>
      <c r="AJ104" s="94" t="s">
        <v>10</v>
      </c>
    </row>
    <row r="105" spans="9:36" x14ac:dyDescent="0.3">
      <c r="I105" s="93">
        <v>85</v>
      </c>
      <c r="J105" s="93" t="s">
        <v>281</v>
      </c>
      <c r="K105" s="270">
        <v>2.86</v>
      </c>
      <c r="L105" s="270">
        <v>0</v>
      </c>
      <c r="M105" s="270">
        <v>0</v>
      </c>
      <c r="N105" s="270">
        <v>0</v>
      </c>
      <c r="O105" s="270">
        <v>2.86</v>
      </c>
      <c r="P105" s="270">
        <v>0</v>
      </c>
      <c r="Q105" s="93" t="s">
        <v>206</v>
      </c>
      <c r="R105" s="93" t="s">
        <v>451</v>
      </c>
    </row>
    <row r="106" spans="9:36" x14ac:dyDescent="0.3">
      <c r="I106" s="93">
        <v>87</v>
      </c>
      <c r="J106" s="93" t="s">
        <v>273</v>
      </c>
      <c r="K106" s="270">
        <v>0.85</v>
      </c>
      <c r="L106" s="270">
        <v>0</v>
      </c>
      <c r="M106" s="270">
        <v>0</v>
      </c>
      <c r="N106" s="270">
        <v>0</v>
      </c>
      <c r="O106" s="270">
        <v>0.85</v>
      </c>
      <c r="P106" s="270">
        <v>0</v>
      </c>
      <c r="Q106" s="93" t="s">
        <v>206</v>
      </c>
      <c r="R106" s="93" t="s">
        <v>450</v>
      </c>
      <c r="AF106" s="286" t="s">
        <v>13</v>
      </c>
      <c r="AG106" s="286" t="s">
        <v>14</v>
      </c>
      <c r="AH106" s="286">
        <v>29</v>
      </c>
      <c r="AI106" s="286" t="s">
        <v>15</v>
      </c>
      <c r="AJ106" s="94" t="s">
        <v>12</v>
      </c>
    </row>
    <row r="107" spans="9:36" x14ac:dyDescent="0.3">
      <c r="I107" s="93">
        <v>92</v>
      </c>
      <c r="J107" s="93" t="s">
        <v>457</v>
      </c>
      <c r="K107" s="270">
        <v>5.6</v>
      </c>
      <c r="L107" s="270">
        <v>5.6</v>
      </c>
      <c r="M107" s="270">
        <v>0</v>
      </c>
      <c r="N107" s="270">
        <v>0</v>
      </c>
      <c r="O107" s="270" t="s">
        <v>458</v>
      </c>
      <c r="P107" s="270">
        <v>0</v>
      </c>
      <c r="Q107" s="93" t="s">
        <v>206</v>
      </c>
      <c r="R107" s="93" t="s">
        <v>459</v>
      </c>
      <c r="AF107" s="286" t="s">
        <v>19</v>
      </c>
      <c r="AG107" s="286" t="s">
        <v>20</v>
      </c>
      <c r="AH107" s="286">
        <v>18</v>
      </c>
      <c r="AI107" s="286" t="s">
        <v>15</v>
      </c>
      <c r="AJ107" s="94" t="s">
        <v>12</v>
      </c>
    </row>
    <row r="108" spans="9:36" x14ac:dyDescent="0.3">
      <c r="I108" s="93">
        <v>110</v>
      </c>
      <c r="J108" s="93" t="s">
        <v>65</v>
      </c>
      <c r="K108" s="270">
        <v>7.3</v>
      </c>
      <c r="L108" s="270">
        <v>0</v>
      </c>
      <c r="M108" s="270">
        <v>0</v>
      </c>
      <c r="N108" s="270">
        <v>0</v>
      </c>
      <c r="O108" s="270">
        <v>7.3</v>
      </c>
      <c r="P108" s="270">
        <v>0</v>
      </c>
      <c r="Q108" s="93" t="s">
        <v>206</v>
      </c>
      <c r="R108" s="93" t="s">
        <v>464</v>
      </c>
      <c r="AG108" s="286" t="s">
        <v>21</v>
      </c>
      <c r="AH108" s="286">
        <v>27</v>
      </c>
      <c r="AI108" s="286" t="s">
        <v>15</v>
      </c>
      <c r="AJ108" s="94" t="s">
        <v>12</v>
      </c>
    </row>
    <row r="109" spans="9:36" x14ac:dyDescent="0.3">
      <c r="I109" s="93">
        <v>111</v>
      </c>
      <c r="J109" s="93" t="s">
        <v>66</v>
      </c>
      <c r="K109" s="270">
        <v>15.379999999999999</v>
      </c>
      <c r="L109" s="270">
        <v>1.38</v>
      </c>
      <c r="M109" s="270">
        <v>0</v>
      </c>
      <c r="N109" s="270">
        <v>0</v>
      </c>
      <c r="O109" s="270">
        <v>14</v>
      </c>
      <c r="P109" s="270">
        <v>0</v>
      </c>
      <c r="Q109" s="93" t="s">
        <v>206</v>
      </c>
      <c r="R109" s="93" t="s">
        <v>465</v>
      </c>
      <c r="AG109" s="286" t="s">
        <v>22</v>
      </c>
      <c r="AH109" s="286">
        <v>42</v>
      </c>
      <c r="AI109" s="286" t="s">
        <v>15</v>
      </c>
      <c r="AJ109" s="94" t="s">
        <v>12</v>
      </c>
    </row>
    <row r="110" spans="9:36" x14ac:dyDescent="0.3">
      <c r="I110" s="93">
        <v>112</v>
      </c>
      <c r="J110" s="93" t="s">
        <v>73</v>
      </c>
      <c r="K110" s="270">
        <v>8.5100000000000016</v>
      </c>
      <c r="L110" s="270">
        <v>0.21</v>
      </c>
      <c r="M110" s="270">
        <v>0</v>
      </c>
      <c r="N110" s="270">
        <v>0</v>
      </c>
      <c r="O110" s="270">
        <v>8.3000000000000007</v>
      </c>
      <c r="P110" s="270">
        <v>0</v>
      </c>
      <c r="Q110" s="93" t="s">
        <v>206</v>
      </c>
      <c r="R110" s="93" t="s">
        <v>466</v>
      </c>
      <c r="AF110" s="286" t="s">
        <v>23</v>
      </c>
      <c r="AG110" s="286" t="s">
        <v>24</v>
      </c>
      <c r="AH110" s="286">
        <v>21</v>
      </c>
      <c r="AI110" s="286" t="s">
        <v>15</v>
      </c>
      <c r="AJ110" s="94" t="s">
        <v>12</v>
      </c>
    </row>
    <row r="111" spans="9:36" x14ac:dyDescent="0.3">
      <c r="I111" s="93">
        <v>113</v>
      </c>
      <c r="J111" s="93" t="s">
        <v>75</v>
      </c>
      <c r="K111" s="270">
        <v>1.52</v>
      </c>
      <c r="L111" s="270">
        <v>0.1</v>
      </c>
      <c r="M111" s="270">
        <v>0</v>
      </c>
      <c r="N111" s="270">
        <v>0</v>
      </c>
      <c r="O111" s="270">
        <v>1.42</v>
      </c>
      <c r="P111" s="270">
        <v>0</v>
      </c>
      <c r="Q111" s="93" t="s">
        <v>206</v>
      </c>
      <c r="R111" s="93" t="s">
        <v>467</v>
      </c>
      <c r="AF111" s="286" t="s">
        <v>38</v>
      </c>
      <c r="AG111" s="286" t="s">
        <v>39</v>
      </c>
      <c r="AH111" s="286">
        <v>19.5</v>
      </c>
      <c r="AI111" s="286" t="s">
        <v>15</v>
      </c>
      <c r="AJ111" s="94" t="s">
        <v>12</v>
      </c>
    </row>
    <row r="112" spans="9:36" x14ac:dyDescent="0.3">
      <c r="I112" s="93">
        <v>114</v>
      </c>
      <c r="J112" s="93" t="s">
        <v>468</v>
      </c>
      <c r="K112" s="270">
        <v>9.5500000000000007</v>
      </c>
      <c r="L112" s="270">
        <v>0</v>
      </c>
      <c r="M112" s="270">
        <v>0</v>
      </c>
      <c r="N112" s="270">
        <v>0</v>
      </c>
      <c r="O112" s="270">
        <v>9.5500000000000007</v>
      </c>
      <c r="P112" s="270">
        <v>0</v>
      </c>
      <c r="Q112" s="93" t="s">
        <v>206</v>
      </c>
      <c r="R112" s="93" t="s">
        <v>469</v>
      </c>
      <c r="AH112" s="286">
        <v>24.5</v>
      </c>
      <c r="AI112" s="286" t="s">
        <v>15</v>
      </c>
      <c r="AJ112" s="94" t="s">
        <v>12</v>
      </c>
    </row>
    <row r="113" spans="9:36" x14ac:dyDescent="0.3">
      <c r="I113" s="93">
        <v>117</v>
      </c>
      <c r="J113" s="93" t="s">
        <v>79</v>
      </c>
      <c r="K113" s="270">
        <v>9.51</v>
      </c>
      <c r="L113" s="270">
        <v>1.7</v>
      </c>
      <c r="M113" s="270">
        <v>0</v>
      </c>
      <c r="N113" s="270">
        <v>0</v>
      </c>
      <c r="O113" s="270">
        <v>7.81</v>
      </c>
      <c r="P113" s="270">
        <v>0</v>
      </c>
      <c r="Q113" s="93" t="s">
        <v>206</v>
      </c>
      <c r="R113" s="93" t="s">
        <v>471</v>
      </c>
      <c r="AH113" s="286">
        <v>24.5</v>
      </c>
      <c r="AI113" s="286" t="s">
        <v>15</v>
      </c>
      <c r="AJ113" s="94" t="s">
        <v>12</v>
      </c>
    </row>
    <row r="114" spans="9:36" x14ac:dyDescent="0.3">
      <c r="I114" s="93">
        <v>139</v>
      </c>
      <c r="J114" s="93" t="s">
        <v>474</v>
      </c>
      <c r="K114" s="270">
        <v>9.1</v>
      </c>
      <c r="L114" s="270">
        <v>0</v>
      </c>
      <c r="M114" s="270">
        <v>0</v>
      </c>
      <c r="N114" s="270">
        <v>0</v>
      </c>
      <c r="O114" s="270">
        <v>9.1</v>
      </c>
      <c r="P114" s="270">
        <v>0</v>
      </c>
      <c r="Q114" s="93" t="s">
        <v>206</v>
      </c>
      <c r="R114" s="93" t="s">
        <v>475</v>
      </c>
      <c r="AF114" s="286" t="s">
        <v>51</v>
      </c>
      <c r="AG114" s="286" t="s">
        <v>52</v>
      </c>
      <c r="AH114" s="286">
        <v>24</v>
      </c>
      <c r="AI114" s="286" t="s">
        <v>15</v>
      </c>
      <c r="AJ114" s="94" t="s">
        <v>12</v>
      </c>
    </row>
    <row r="115" spans="9:36" x14ac:dyDescent="0.3">
      <c r="I115" s="93">
        <v>122</v>
      </c>
      <c r="J115" s="93" t="s">
        <v>476</v>
      </c>
      <c r="K115" s="270">
        <v>3.44</v>
      </c>
      <c r="L115" s="270">
        <v>0</v>
      </c>
      <c r="M115" s="270">
        <v>0</v>
      </c>
      <c r="N115" s="270">
        <v>0</v>
      </c>
      <c r="O115" s="270">
        <v>3.44</v>
      </c>
      <c r="P115" s="270">
        <v>0</v>
      </c>
      <c r="Q115" s="93" t="s">
        <v>206</v>
      </c>
      <c r="R115" s="93" t="s">
        <v>477</v>
      </c>
      <c r="AG115" s="286" t="s">
        <v>53</v>
      </c>
      <c r="AH115" s="286">
        <v>15</v>
      </c>
      <c r="AI115" s="286" t="s">
        <v>15</v>
      </c>
      <c r="AJ115" s="94" t="s">
        <v>12</v>
      </c>
    </row>
    <row r="116" spans="9:36" x14ac:dyDescent="0.3">
      <c r="I116" s="93">
        <v>216</v>
      </c>
      <c r="J116" s="93" t="s">
        <v>87</v>
      </c>
      <c r="K116" s="270">
        <v>6.32</v>
      </c>
      <c r="L116" s="270">
        <v>0</v>
      </c>
      <c r="M116" s="270">
        <v>0</v>
      </c>
      <c r="N116" s="270">
        <v>0</v>
      </c>
      <c r="O116" s="270">
        <v>6.32</v>
      </c>
      <c r="P116" s="270">
        <v>0</v>
      </c>
      <c r="Q116" s="93" t="s">
        <v>206</v>
      </c>
      <c r="R116" s="93" t="s">
        <v>478</v>
      </c>
      <c r="AF116" s="286" t="s">
        <v>56</v>
      </c>
      <c r="AG116" s="286" t="s">
        <v>57</v>
      </c>
      <c r="AH116" s="286">
        <v>36</v>
      </c>
      <c r="AI116" s="286" t="s">
        <v>15</v>
      </c>
      <c r="AJ116" s="94" t="s">
        <v>12</v>
      </c>
    </row>
    <row r="117" spans="9:36" x14ac:dyDescent="0.3">
      <c r="I117" s="93">
        <v>133</v>
      </c>
      <c r="J117" s="93" t="s">
        <v>90</v>
      </c>
      <c r="K117" s="270">
        <v>4.47</v>
      </c>
      <c r="L117" s="270">
        <v>0</v>
      </c>
      <c r="M117" s="270">
        <v>0</v>
      </c>
      <c r="N117" s="270">
        <v>0</v>
      </c>
      <c r="O117" s="270">
        <v>4.47</v>
      </c>
      <c r="P117" s="270">
        <v>0</v>
      </c>
      <c r="Q117" s="93" t="s">
        <v>206</v>
      </c>
      <c r="R117" s="93" t="s">
        <v>478</v>
      </c>
      <c r="AG117" s="286" t="s">
        <v>82</v>
      </c>
      <c r="AH117" s="286">
        <v>24.5</v>
      </c>
      <c r="AI117" s="286" t="s">
        <v>15</v>
      </c>
      <c r="AJ117" s="94" t="s">
        <v>12</v>
      </c>
    </row>
    <row r="118" spans="9:36" x14ac:dyDescent="0.3">
      <c r="I118" s="93">
        <v>123</v>
      </c>
      <c r="J118" s="93" t="s">
        <v>91</v>
      </c>
      <c r="K118" s="270">
        <v>21.82</v>
      </c>
      <c r="L118" s="270">
        <v>12.19</v>
      </c>
      <c r="M118" s="270">
        <v>0</v>
      </c>
      <c r="N118" s="270">
        <v>0</v>
      </c>
      <c r="O118" s="270">
        <v>9.6300000000000008</v>
      </c>
      <c r="P118" s="270">
        <v>0</v>
      </c>
      <c r="Q118" s="93" t="s">
        <v>206</v>
      </c>
      <c r="R118" s="93" t="s">
        <v>475</v>
      </c>
      <c r="AF118" s="286" t="s">
        <v>115</v>
      </c>
      <c r="AH118" s="286">
        <v>18</v>
      </c>
      <c r="AI118" s="286" t="s">
        <v>15</v>
      </c>
      <c r="AJ118" s="94" t="s">
        <v>12</v>
      </c>
    </row>
    <row r="119" spans="9:36" x14ac:dyDescent="0.3">
      <c r="I119" s="93">
        <v>134</v>
      </c>
      <c r="J119" s="93" t="s">
        <v>284</v>
      </c>
      <c r="K119" s="270">
        <v>8.23</v>
      </c>
      <c r="L119" s="270">
        <v>0</v>
      </c>
      <c r="M119" s="270">
        <v>0</v>
      </c>
      <c r="N119" s="270">
        <v>0</v>
      </c>
      <c r="O119" s="270">
        <v>8.23</v>
      </c>
      <c r="P119" s="270">
        <v>0</v>
      </c>
      <c r="Q119" s="93" t="s">
        <v>206</v>
      </c>
      <c r="AH119" s="286">
        <v>27</v>
      </c>
      <c r="AI119" s="286" t="s">
        <v>15</v>
      </c>
      <c r="AJ119" s="94" t="s">
        <v>12</v>
      </c>
    </row>
    <row r="120" spans="9:36" x14ac:dyDescent="0.3">
      <c r="I120" s="93">
        <v>140</v>
      </c>
      <c r="J120" s="93" t="s">
        <v>101</v>
      </c>
      <c r="K120" s="270">
        <v>19.52</v>
      </c>
      <c r="L120" s="270">
        <v>2.41</v>
      </c>
      <c r="M120" s="270">
        <v>0</v>
      </c>
      <c r="N120" s="270">
        <v>0</v>
      </c>
      <c r="O120" s="270">
        <v>17.11</v>
      </c>
      <c r="P120" s="270">
        <v>0</v>
      </c>
      <c r="Q120" s="93" t="s">
        <v>206</v>
      </c>
      <c r="AH120" s="286">
        <v>42</v>
      </c>
      <c r="AI120" s="286" t="s">
        <v>15</v>
      </c>
      <c r="AJ120" s="94" t="s">
        <v>12</v>
      </c>
    </row>
    <row r="121" spans="9:36" x14ac:dyDescent="0.3">
      <c r="I121" s="93">
        <v>138</v>
      </c>
      <c r="J121" s="93" t="s">
        <v>103</v>
      </c>
      <c r="K121" s="270">
        <v>5.98</v>
      </c>
      <c r="L121" s="270">
        <v>0</v>
      </c>
      <c r="M121" s="270">
        <v>0</v>
      </c>
      <c r="N121" s="270">
        <v>0</v>
      </c>
      <c r="O121" s="270">
        <v>5.98</v>
      </c>
      <c r="P121" s="270">
        <v>0</v>
      </c>
      <c r="Q121" s="93" t="s">
        <v>206</v>
      </c>
      <c r="R121" s="93" t="s">
        <v>484</v>
      </c>
      <c r="AG121" s="286" t="s">
        <v>118</v>
      </c>
      <c r="AH121" s="286">
        <v>26</v>
      </c>
      <c r="AI121" s="286" t="s">
        <v>15</v>
      </c>
      <c r="AJ121" s="94" t="s">
        <v>12</v>
      </c>
    </row>
    <row r="122" spans="9:36" x14ac:dyDescent="0.3">
      <c r="I122" s="93">
        <v>124</v>
      </c>
      <c r="J122" s="93" t="s">
        <v>485</v>
      </c>
      <c r="K122" s="270">
        <v>17</v>
      </c>
      <c r="L122" s="270">
        <v>3.52</v>
      </c>
      <c r="M122" s="270">
        <v>0</v>
      </c>
      <c r="N122" s="270">
        <v>0</v>
      </c>
      <c r="O122" s="270">
        <v>13.48</v>
      </c>
      <c r="P122" s="270">
        <v>0</v>
      </c>
      <c r="Q122" s="93" t="s">
        <v>206</v>
      </c>
      <c r="AG122" s="286" t="s">
        <v>129</v>
      </c>
      <c r="AH122" s="286">
        <v>15.2</v>
      </c>
      <c r="AI122" s="286" t="s">
        <v>15</v>
      </c>
      <c r="AJ122" s="94" t="s">
        <v>12</v>
      </c>
    </row>
    <row r="123" spans="9:36" x14ac:dyDescent="0.3">
      <c r="I123" s="93">
        <v>141</v>
      </c>
      <c r="J123" s="93" t="s">
        <v>486</v>
      </c>
      <c r="K123" s="270">
        <v>6</v>
      </c>
      <c r="L123" s="270">
        <v>0</v>
      </c>
      <c r="M123" s="270">
        <v>0</v>
      </c>
      <c r="N123" s="270">
        <v>0</v>
      </c>
      <c r="O123" s="270">
        <v>6</v>
      </c>
      <c r="P123" s="270">
        <v>0</v>
      </c>
      <c r="Q123" s="93" t="s">
        <v>206</v>
      </c>
      <c r="R123" s="93" t="s">
        <v>487</v>
      </c>
      <c r="AF123" s="286" t="s">
        <v>677</v>
      </c>
      <c r="AG123" s="286" t="s">
        <v>678</v>
      </c>
      <c r="AH123" s="286">
        <v>7.7</v>
      </c>
      <c r="AI123" s="286" t="s">
        <v>15</v>
      </c>
      <c r="AJ123" s="94" t="s">
        <v>12</v>
      </c>
    </row>
    <row r="124" spans="9:36" x14ac:dyDescent="0.3">
      <c r="I124" s="93">
        <v>142</v>
      </c>
      <c r="J124" s="93" t="s">
        <v>286</v>
      </c>
      <c r="K124" s="270">
        <v>21.69</v>
      </c>
      <c r="L124" s="270">
        <v>0.8</v>
      </c>
      <c r="M124" s="270">
        <v>0</v>
      </c>
      <c r="N124" s="270">
        <v>0</v>
      </c>
      <c r="O124" s="270">
        <v>20.89</v>
      </c>
      <c r="P124" s="270">
        <v>0</v>
      </c>
      <c r="Q124" s="93" t="s">
        <v>206</v>
      </c>
      <c r="R124" s="93" t="s">
        <v>489</v>
      </c>
      <c r="AG124" s="286" t="s">
        <v>679</v>
      </c>
      <c r="AH124" s="286">
        <v>7.9</v>
      </c>
      <c r="AI124" s="286" t="s">
        <v>15</v>
      </c>
      <c r="AJ124" s="94" t="s">
        <v>12</v>
      </c>
    </row>
    <row r="125" spans="9:36" x14ac:dyDescent="0.3">
      <c r="I125" s="93">
        <v>143</v>
      </c>
      <c r="J125" s="93" t="s">
        <v>287</v>
      </c>
      <c r="K125" s="270">
        <v>8.91</v>
      </c>
      <c r="L125" s="270">
        <v>0.2</v>
      </c>
      <c r="M125" s="270">
        <v>0</v>
      </c>
      <c r="N125" s="270">
        <v>0</v>
      </c>
      <c r="O125" s="270">
        <v>8.7100000000000009</v>
      </c>
      <c r="P125" s="270">
        <v>0</v>
      </c>
      <c r="Q125" s="93" t="s">
        <v>206</v>
      </c>
      <c r="R125" s="93" t="s">
        <v>490</v>
      </c>
      <c r="AG125" s="286" t="s">
        <v>680</v>
      </c>
      <c r="AH125" s="286">
        <v>14.8</v>
      </c>
      <c r="AI125" s="286" t="s">
        <v>15</v>
      </c>
      <c r="AJ125" s="94" t="s">
        <v>12</v>
      </c>
    </row>
    <row r="126" spans="9:36" x14ac:dyDescent="0.3">
      <c r="I126" s="93">
        <v>144</v>
      </c>
      <c r="J126" s="93" t="s">
        <v>288</v>
      </c>
      <c r="K126" s="270">
        <v>7.88</v>
      </c>
      <c r="L126" s="270">
        <v>1.75</v>
      </c>
      <c r="M126" s="270">
        <v>0</v>
      </c>
      <c r="N126" s="270">
        <v>0</v>
      </c>
      <c r="O126" s="270">
        <v>6.13</v>
      </c>
      <c r="P126" s="270">
        <v>0</v>
      </c>
      <c r="Q126" s="93" t="s">
        <v>206</v>
      </c>
      <c r="R126" s="93" t="s">
        <v>491</v>
      </c>
      <c r="AF126" s="286" t="s">
        <v>681</v>
      </c>
      <c r="AG126" s="286" t="s">
        <v>682</v>
      </c>
      <c r="AH126" s="286">
        <v>16</v>
      </c>
      <c r="AI126" s="286" t="s">
        <v>15</v>
      </c>
      <c r="AJ126" s="94" t="s">
        <v>12</v>
      </c>
    </row>
    <row r="127" spans="9:36" x14ac:dyDescent="0.3">
      <c r="I127" s="93">
        <v>121</v>
      </c>
      <c r="J127" s="93" t="s">
        <v>104</v>
      </c>
      <c r="K127" s="270">
        <v>23.3</v>
      </c>
      <c r="L127" s="270">
        <v>1.3</v>
      </c>
      <c r="M127" s="270">
        <v>0</v>
      </c>
      <c r="N127" s="270">
        <v>1.72</v>
      </c>
      <c r="O127" s="270">
        <v>20.28</v>
      </c>
      <c r="P127" s="270">
        <v>0</v>
      </c>
      <c r="Q127" s="93" t="s">
        <v>206</v>
      </c>
      <c r="R127" s="93" t="s">
        <v>492</v>
      </c>
      <c r="AF127" s="286" t="s">
        <v>683</v>
      </c>
      <c r="AG127" s="286" t="s">
        <v>684</v>
      </c>
      <c r="AH127" s="286">
        <v>13</v>
      </c>
      <c r="AI127" s="286" t="s">
        <v>15</v>
      </c>
      <c r="AJ127" s="94" t="s">
        <v>12</v>
      </c>
    </row>
    <row r="128" spans="9:36" x14ac:dyDescent="0.3">
      <c r="I128" s="93">
        <v>146</v>
      </c>
      <c r="J128" s="93" t="s">
        <v>115</v>
      </c>
      <c r="K128" s="270">
        <v>12.15</v>
      </c>
      <c r="L128" s="270">
        <v>0</v>
      </c>
      <c r="M128" s="270">
        <v>0</v>
      </c>
      <c r="N128" s="270">
        <v>0</v>
      </c>
      <c r="O128" s="270">
        <v>12.15</v>
      </c>
      <c r="P128" s="270">
        <v>0</v>
      </c>
      <c r="Q128" s="93" t="s">
        <v>206</v>
      </c>
      <c r="AG128" s="286" t="s">
        <v>685</v>
      </c>
      <c r="AH128" s="286">
        <v>15</v>
      </c>
      <c r="AI128" s="286" t="s">
        <v>15</v>
      </c>
      <c r="AJ128" s="94" t="s">
        <v>12</v>
      </c>
    </row>
    <row r="129" spans="9:36" x14ac:dyDescent="0.3">
      <c r="I129" s="93">
        <v>149</v>
      </c>
      <c r="J129" s="93" t="s">
        <v>496</v>
      </c>
      <c r="K129" s="270">
        <v>5.0999999999999996</v>
      </c>
      <c r="L129" s="270">
        <v>2.2999999999999998</v>
      </c>
      <c r="M129" s="270">
        <v>0</v>
      </c>
      <c r="N129" s="270">
        <v>0</v>
      </c>
      <c r="O129" s="270">
        <v>2.8</v>
      </c>
      <c r="P129" s="270">
        <v>0</v>
      </c>
      <c r="Q129" s="93" t="s">
        <v>206</v>
      </c>
      <c r="R129" s="93" t="s">
        <v>497</v>
      </c>
    </row>
    <row r="130" spans="9:36" x14ac:dyDescent="0.3">
      <c r="I130" s="93">
        <v>151</v>
      </c>
      <c r="J130" s="93" t="s">
        <v>499</v>
      </c>
      <c r="K130" s="270">
        <v>3.99</v>
      </c>
      <c r="L130" s="270">
        <v>0</v>
      </c>
      <c r="M130" s="270">
        <v>0</v>
      </c>
      <c r="N130" s="270">
        <v>0</v>
      </c>
      <c r="O130" s="270">
        <v>3.99</v>
      </c>
      <c r="P130" s="270">
        <v>0</v>
      </c>
      <c r="Q130" s="93" t="s">
        <v>206</v>
      </c>
      <c r="R130" s="93" t="s">
        <v>500</v>
      </c>
    </row>
    <row r="131" spans="9:36" x14ac:dyDescent="0.3">
      <c r="I131" s="93">
        <v>152</v>
      </c>
      <c r="J131" s="93" t="s">
        <v>120</v>
      </c>
      <c r="K131" s="270">
        <v>6.3</v>
      </c>
      <c r="L131" s="270">
        <v>0.3</v>
      </c>
      <c r="M131" s="270">
        <v>0</v>
      </c>
      <c r="N131" s="270">
        <v>0</v>
      </c>
      <c r="O131" s="270">
        <v>6</v>
      </c>
      <c r="P131" s="270">
        <v>0</v>
      </c>
      <c r="Q131" s="93" t="s">
        <v>206</v>
      </c>
      <c r="AF131" s="286" t="s">
        <v>36</v>
      </c>
      <c r="AG131" s="286" t="s">
        <v>37</v>
      </c>
      <c r="AH131" s="286">
        <v>76</v>
      </c>
      <c r="AI131" s="286" t="s">
        <v>15</v>
      </c>
      <c r="AJ131" s="94" t="s">
        <v>33</v>
      </c>
    </row>
    <row r="132" spans="9:36" x14ac:dyDescent="0.3">
      <c r="I132" s="93">
        <v>153</v>
      </c>
      <c r="J132" s="93" t="s">
        <v>121</v>
      </c>
      <c r="K132" s="270">
        <v>11.67</v>
      </c>
      <c r="L132" s="270">
        <v>4.97</v>
      </c>
      <c r="M132" s="270">
        <v>0</v>
      </c>
      <c r="N132" s="270">
        <v>3.67</v>
      </c>
      <c r="O132" s="270">
        <v>3.03</v>
      </c>
      <c r="P132" s="270">
        <v>0</v>
      </c>
      <c r="Q132" s="93" t="s">
        <v>206</v>
      </c>
      <c r="R132" s="93" t="s">
        <v>502</v>
      </c>
      <c r="AG132" s="286" t="s">
        <v>123</v>
      </c>
      <c r="AH132" s="286">
        <v>18.8</v>
      </c>
      <c r="AI132" s="286" t="s">
        <v>15</v>
      </c>
      <c r="AJ132" s="94" t="s">
        <v>33</v>
      </c>
    </row>
    <row r="133" spans="9:36" x14ac:dyDescent="0.3">
      <c r="I133" s="93">
        <v>125</v>
      </c>
      <c r="J133" s="93" t="s">
        <v>125</v>
      </c>
      <c r="K133" s="270">
        <v>2.76</v>
      </c>
      <c r="L133" s="270">
        <v>0</v>
      </c>
      <c r="M133" s="270">
        <v>0</v>
      </c>
      <c r="N133" s="270">
        <v>0</v>
      </c>
      <c r="O133" s="270">
        <v>2.76</v>
      </c>
      <c r="P133" s="270">
        <v>0</v>
      </c>
      <c r="Q133" s="93" t="s">
        <v>206</v>
      </c>
      <c r="R133" s="93" t="s">
        <v>502</v>
      </c>
      <c r="AG133" s="286" t="s">
        <v>124</v>
      </c>
      <c r="AH133" s="286">
        <v>18.600000000000001</v>
      </c>
      <c r="AI133" s="286" t="s">
        <v>15</v>
      </c>
      <c r="AJ133" s="94" t="s">
        <v>33</v>
      </c>
    </row>
    <row r="134" spans="9:36" x14ac:dyDescent="0.3">
      <c r="I134" s="93">
        <v>154</v>
      </c>
      <c r="J134" s="93" t="s">
        <v>127</v>
      </c>
      <c r="K134" s="270">
        <v>7</v>
      </c>
      <c r="L134" s="270">
        <v>0.15</v>
      </c>
      <c r="M134" s="270">
        <v>0</v>
      </c>
      <c r="N134" s="270">
        <v>0</v>
      </c>
      <c r="O134" s="270">
        <v>6.85</v>
      </c>
      <c r="P134" s="270">
        <v>0</v>
      </c>
      <c r="Q134" s="93" t="s">
        <v>206</v>
      </c>
      <c r="R134" s="93" t="s">
        <v>503</v>
      </c>
    </row>
    <row r="135" spans="9:36" x14ac:dyDescent="0.3">
      <c r="I135" s="93">
        <v>129</v>
      </c>
      <c r="J135" s="93" t="s">
        <v>512</v>
      </c>
      <c r="K135" s="270">
        <v>2.7</v>
      </c>
      <c r="L135" s="270">
        <v>0</v>
      </c>
      <c r="M135" s="270">
        <v>0</v>
      </c>
      <c r="N135" s="270">
        <v>0</v>
      </c>
      <c r="O135" s="270">
        <v>2.7</v>
      </c>
      <c r="P135" s="270">
        <v>0</v>
      </c>
      <c r="Q135" s="93" t="s">
        <v>206</v>
      </c>
      <c r="R135" s="93" t="s">
        <v>513</v>
      </c>
      <c r="AF135" s="281" t="s">
        <v>663</v>
      </c>
      <c r="AG135" s="281"/>
      <c r="AH135" s="281"/>
      <c r="AI135" s="281"/>
      <c r="AJ135" s="287"/>
    </row>
    <row r="136" spans="9:36" x14ac:dyDescent="0.3">
      <c r="I136" s="93">
        <v>156</v>
      </c>
      <c r="J136" s="93" t="s">
        <v>130</v>
      </c>
      <c r="K136" s="270">
        <v>20.54</v>
      </c>
      <c r="L136" s="270">
        <v>10.17</v>
      </c>
      <c r="M136" s="270">
        <v>0</v>
      </c>
      <c r="N136" s="270">
        <v>0</v>
      </c>
      <c r="O136" s="270">
        <v>10.37</v>
      </c>
      <c r="P136" s="270">
        <v>0</v>
      </c>
      <c r="Q136" s="93" t="s">
        <v>206</v>
      </c>
      <c r="R136" s="93" t="s">
        <v>514</v>
      </c>
    </row>
    <row r="137" spans="9:36" x14ac:dyDescent="0.3">
      <c r="I137" s="93">
        <v>157</v>
      </c>
      <c r="J137" s="93" t="s">
        <v>515</v>
      </c>
      <c r="K137" s="270">
        <v>8.6999999999999993</v>
      </c>
      <c r="L137" s="270">
        <v>0</v>
      </c>
      <c r="M137" s="270">
        <v>0</v>
      </c>
      <c r="N137" s="270">
        <v>0</v>
      </c>
      <c r="O137" s="270">
        <v>8.6999999999999993</v>
      </c>
      <c r="P137" s="270">
        <v>0</v>
      </c>
      <c r="Q137" s="93" t="s">
        <v>206</v>
      </c>
      <c r="AF137" s="286" t="s">
        <v>75</v>
      </c>
      <c r="AG137" s="286" t="s">
        <v>76</v>
      </c>
      <c r="AH137" s="286">
        <v>20</v>
      </c>
      <c r="AI137" s="286" t="s">
        <v>60</v>
      </c>
      <c r="AJ137" s="94" t="s">
        <v>12</v>
      </c>
    </row>
    <row r="138" spans="9:36" x14ac:dyDescent="0.3">
      <c r="I138" s="93">
        <v>131</v>
      </c>
      <c r="J138" s="93" t="s">
        <v>523</v>
      </c>
      <c r="K138" s="270">
        <v>5.1999999999999993</v>
      </c>
      <c r="L138" s="270">
        <v>4.7219999999999995</v>
      </c>
      <c r="M138" s="270">
        <v>0</v>
      </c>
      <c r="N138" s="270">
        <v>0</v>
      </c>
      <c r="O138" s="270">
        <v>0.47799999999999998</v>
      </c>
      <c r="P138" s="270">
        <v>0</v>
      </c>
      <c r="Q138" s="93" t="s">
        <v>206</v>
      </c>
      <c r="AF138" s="286" t="s">
        <v>686</v>
      </c>
      <c r="AG138" s="286" t="s">
        <v>687</v>
      </c>
      <c r="AH138" s="286">
        <v>12</v>
      </c>
      <c r="AI138" s="286" t="s">
        <v>60</v>
      </c>
      <c r="AJ138" s="94" t="s">
        <v>12</v>
      </c>
    </row>
    <row r="139" spans="9:36" x14ac:dyDescent="0.3">
      <c r="I139" s="93">
        <v>135</v>
      </c>
      <c r="J139" s="93" t="s">
        <v>139</v>
      </c>
      <c r="K139" s="270">
        <v>4.4000000000000004</v>
      </c>
      <c r="L139" s="270">
        <v>0</v>
      </c>
      <c r="M139" s="270">
        <v>0</v>
      </c>
      <c r="N139" s="270">
        <v>0</v>
      </c>
      <c r="O139" s="270">
        <v>4.4000000000000004</v>
      </c>
      <c r="P139" s="270">
        <v>0</v>
      </c>
      <c r="Q139" s="93" t="s">
        <v>206</v>
      </c>
      <c r="R139" s="93" t="s">
        <v>525</v>
      </c>
      <c r="AF139" s="286" t="s">
        <v>688</v>
      </c>
      <c r="AG139" s="286" t="s">
        <v>689</v>
      </c>
      <c r="AH139" s="286">
        <v>25</v>
      </c>
      <c r="AI139" s="286" t="s">
        <v>60</v>
      </c>
      <c r="AJ139" s="94" t="s">
        <v>12</v>
      </c>
    </row>
    <row r="140" spans="9:36" x14ac:dyDescent="0.3">
      <c r="I140" s="93">
        <v>161</v>
      </c>
      <c r="J140" s="93" t="s">
        <v>529</v>
      </c>
      <c r="K140" s="270">
        <v>1.8</v>
      </c>
      <c r="L140" s="270">
        <v>1.8</v>
      </c>
      <c r="M140" s="270">
        <v>0</v>
      </c>
      <c r="N140" s="270">
        <v>0</v>
      </c>
      <c r="O140" s="270">
        <v>0</v>
      </c>
      <c r="P140" s="270">
        <v>0</v>
      </c>
      <c r="Q140" s="93" t="s">
        <v>206</v>
      </c>
      <c r="R140" s="93" t="s">
        <v>528</v>
      </c>
      <c r="AF140" s="286" t="s">
        <v>690</v>
      </c>
      <c r="AG140" s="286" t="s">
        <v>691</v>
      </c>
      <c r="AH140" s="286">
        <v>30</v>
      </c>
      <c r="AI140" s="286" t="s">
        <v>60</v>
      </c>
      <c r="AJ140" s="94" t="s">
        <v>12</v>
      </c>
    </row>
    <row r="141" spans="9:36" x14ac:dyDescent="0.3">
      <c r="I141" s="93">
        <v>166</v>
      </c>
      <c r="J141" s="93" t="s">
        <v>538</v>
      </c>
      <c r="K141" s="270">
        <v>2.8</v>
      </c>
      <c r="L141" s="270">
        <v>0</v>
      </c>
      <c r="M141" s="270">
        <v>0</v>
      </c>
      <c r="N141" s="270">
        <v>0</v>
      </c>
      <c r="O141" s="270">
        <v>2.8</v>
      </c>
      <c r="P141" s="270">
        <v>0</v>
      </c>
      <c r="Q141" s="93" t="s">
        <v>206</v>
      </c>
      <c r="R141" s="93" t="s">
        <v>539</v>
      </c>
      <c r="AF141" s="286" t="s">
        <v>692</v>
      </c>
      <c r="AG141" s="286" t="s">
        <v>693</v>
      </c>
      <c r="AH141" s="286">
        <v>30</v>
      </c>
      <c r="AI141" s="286" t="s">
        <v>60</v>
      </c>
      <c r="AJ141" s="94" t="s">
        <v>12</v>
      </c>
    </row>
    <row r="142" spans="9:36" x14ac:dyDescent="0.3">
      <c r="I142" s="93">
        <v>167</v>
      </c>
      <c r="J142" s="93" t="s">
        <v>540</v>
      </c>
      <c r="K142" s="270">
        <v>5.5</v>
      </c>
      <c r="L142" s="270">
        <v>0</v>
      </c>
      <c r="M142" s="270">
        <v>0</v>
      </c>
      <c r="N142" s="270">
        <v>0</v>
      </c>
      <c r="O142" s="270">
        <v>5.5</v>
      </c>
      <c r="P142" s="270">
        <v>0</v>
      </c>
      <c r="Q142" s="93" t="s">
        <v>206</v>
      </c>
      <c r="R142" s="93" t="s">
        <v>541</v>
      </c>
      <c r="AG142" s="286" t="s">
        <v>694</v>
      </c>
      <c r="AH142" s="286">
        <v>12</v>
      </c>
      <c r="AI142" s="286" t="s">
        <v>60</v>
      </c>
      <c r="AJ142" s="94" t="s">
        <v>12</v>
      </c>
    </row>
    <row r="143" spans="9:36" x14ac:dyDescent="0.3">
      <c r="I143" s="93">
        <v>196</v>
      </c>
      <c r="J143" s="93" t="s">
        <v>548</v>
      </c>
      <c r="K143" s="270">
        <v>12.7</v>
      </c>
      <c r="L143" s="270">
        <v>8.2100000000000009</v>
      </c>
      <c r="M143" s="270">
        <v>0</v>
      </c>
      <c r="N143" s="270">
        <v>0</v>
      </c>
      <c r="O143" s="270">
        <v>4.49</v>
      </c>
      <c r="P143" s="270">
        <v>0</v>
      </c>
      <c r="Q143" s="93" t="s">
        <v>206</v>
      </c>
      <c r="R143" s="93" t="s">
        <v>549</v>
      </c>
      <c r="AG143" s="286" t="s">
        <v>695</v>
      </c>
      <c r="AH143" s="286">
        <v>6</v>
      </c>
      <c r="AI143" s="286" t="s">
        <v>60</v>
      </c>
      <c r="AJ143" s="94" t="s">
        <v>12</v>
      </c>
    </row>
    <row r="144" spans="9:36" x14ac:dyDescent="0.3">
      <c r="I144" s="93">
        <v>213</v>
      </c>
      <c r="J144" s="93" t="s">
        <v>293</v>
      </c>
      <c r="K144" s="270">
        <v>2.8499999999999996</v>
      </c>
      <c r="L144" s="270">
        <v>2.36</v>
      </c>
      <c r="M144" s="270">
        <v>0.49</v>
      </c>
      <c r="N144" s="270">
        <v>0</v>
      </c>
      <c r="O144" s="270">
        <v>0</v>
      </c>
      <c r="P144" s="270">
        <v>0</v>
      </c>
      <c r="Q144" s="93" t="s">
        <v>206</v>
      </c>
      <c r="R144" s="93" t="s">
        <v>565</v>
      </c>
      <c r="AF144" s="286" t="s">
        <v>696</v>
      </c>
      <c r="AG144" s="286" t="s">
        <v>697</v>
      </c>
      <c r="AH144" s="286">
        <v>8</v>
      </c>
      <c r="AI144" s="286" t="s">
        <v>60</v>
      </c>
      <c r="AJ144" s="94" t="s">
        <v>12</v>
      </c>
    </row>
    <row r="145" spans="9:36" x14ac:dyDescent="0.3">
      <c r="I145" s="93">
        <v>206</v>
      </c>
      <c r="J145" s="93" t="s">
        <v>295</v>
      </c>
      <c r="K145" s="270">
        <v>2</v>
      </c>
      <c r="L145" s="270">
        <v>2</v>
      </c>
      <c r="M145" s="270">
        <v>0</v>
      </c>
      <c r="N145" s="270">
        <v>0</v>
      </c>
      <c r="O145" s="270">
        <v>0</v>
      </c>
      <c r="P145" s="270">
        <v>0</v>
      </c>
      <c r="Q145" s="93" t="s">
        <v>206</v>
      </c>
      <c r="R145" s="93" t="s">
        <v>566</v>
      </c>
    </row>
    <row r="146" spans="9:36" x14ac:dyDescent="0.3">
      <c r="I146" s="93">
        <v>209</v>
      </c>
      <c r="J146" s="93" t="s">
        <v>294</v>
      </c>
      <c r="K146" s="270">
        <v>2.6</v>
      </c>
      <c r="L146" s="270">
        <v>2.2000000000000002</v>
      </c>
      <c r="M146" s="270">
        <v>0</v>
      </c>
      <c r="N146" s="270">
        <v>0</v>
      </c>
      <c r="O146" s="270">
        <v>0.4</v>
      </c>
      <c r="P146" s="270">
        <v>0</v>
      </c>
      <c r="Q146" s="93" t="s">
        <v>206</v>
      </c>
      <c r="R146" s="93" t="s">
        <v>574</v>
      </c>
    </row>
    <row r="147" spans="9:36" x14ac:dyDescent="0.3">
      <c r="I147" s="93">
        <v>210</v>
      </c>
      <c r="J147" s="93" t="s">
        <v>575</v>
      </c>
      <c r="K147" s="270">
        <v>0.8</v>
      </c>
      <c r="L147" s="270">
        <v>0.8</v>
      </c>
      <c r="M147" s="270">
        <v>0</v>
      </c>
      <c r="N147" s="270">
        <v>0</v>
      </c>
      <c r="O147" s="270">
        <v>0</v>
      </c>
      <c r="P147" s="270">
        <v>0</v>
      </c>
      <c r="Q147" s="93" t="s">
        <v>206</v>
      </c>
      <c r="R147" s="93" t="s">
        <v>576</v>
      </c>
      <c r="AF147" s="286" t="s">
        <v>65</v>
      </c>
      <c r="AH147" s="286">
        <v>7</v>
      </c>
      <c r="AI147" s="286" t="s">
        <v>60</v>
      </c>
      <c r="AJ147" s="94" t="s">
        <v>33</v>
      </c>
    </row>
    <row r="148" spans="9:36" x14ac:dyDescent="0.3">
      <c r="I148" s="93">
        <v>211</v>
      </c>
      <c r="J148" s="93" t="s">
        <v>577</v>
      </c>
      <c r="K148" s="270">
        <v>1.24</v>
      </c>
      <c r="L148" s="270">
        <v>1.24</v>
      </c>
      <c r="M148" s="270">
        <v>0</v>
      </c>
      <c r="N148" s="270">
        <v>0</v>
      </c>
      <c r="O148" s="270">
        <v>0</v>
      </c>
      <c r="P148" s="270">
        <v>0</v>
      </c>
      <c r="Q148" s="93" t="s">
        <v>206</v>
      </c>
      <c r="R148" s="93" t="s">
        <v>578</v>
      </c>
      <c r="AH148" s="286">
        <v>5.2</v>
      </c>
      <c r="AI148" s="286" t="s">
        <v>60</v>
      </c>
      <c r="AJ148" s="94" t="s">
        <v>33</v>
      </c>
    </row>
    <row r="149" spans="9:36" x14ac:dyDescent="0.3">
      <c r="I149" s="93">
        <v>214</v>
      </c>
      <c r="J149" s="93" t="s">
        <v>580</v>
      </c>
      <c r="K149" s="270">
        <v>4.5</v>
      </c>
      <c r="L149" s="270">
        <v>0.7</v>
      </c>
      <c r="M149" s="270">
        <v>0</v>
      </c>
      <c r="N149" s="270">
        <v>0</v>
      </c>
      <c r="O149" s="270">
        <v>3.8</v>
      </c>
      <c r="P149" s="270">
        <v>0</v>
      </c>
      <c r="Q149" s="93" t="s">
        <v>206</v>
      </c>
      <c r="R149" s="93" t="s">
        <v>581</v>
      </c>
      <c r="AF149" s="286" t="s">
        <v>83</v>
      </c>
      <c r="AG149" s="286" t="s">
        <v>84</v>
      </c>
      <c r="AH149" s="286">
        <v>6.5</v>
      </c>
      <c r="AI149" s="286" t="s">
        <v>60</v>
      </c>
      <c r="AJ149" s="94" t="s">
        <v>33</v>
      </c>
    </row>
    <row r="150" spans="9:36" x14ac:dyDescent="0.3">
      <c r="I150" s="93">
        <v>212</v>
      </c>
      <c r="J150" s="93" t="s">
        <v>582</v>
      </c>
      <c r="K150" s="270">
        <v>2.75</v>
      </c>
      <c r="L150" s="270">
        <v>2.6</v>
      </c>
      <c r="M150" s="270">
        <v>0</v>
      </c>
      <c r="N150" s="270">
        <v>0</v>
      </c>
      <c r="O150" s="270">
        <v>0.15</v>
      </c>
      <c r="P150" s="270">
        <v>0</v>
      </c>
      <c r="Q150" s="93" t="s">
        <v>206</v>
      </c>
      <c r="R150" s="93" t="s">
        <v>528</v>
      </c>
      <c r="AF150" s="286" t="s">
        <v>97</v>
      </c>
      <c r="AG150" s="286" t="s">
        <v>98</v>
      </c>
      <c r="AH150" s="286">
        <v>21</v>
      </c>
      <c r="AI150" s="286" t="s">
        <v>60</v>
      </c>
      <c r="AJ150" s="94" t="s">
        <v>33</v>
      </c>
    </row>
    <row r="151" spans="9:36" x14ac:dyDescent="0.3">
      <c r="I151" s="93">
        <v>175</v>
      </c>
      <c r="J151" s="93" t="s">
        <v>586</v>
      </c>
      <c r="K151" s="270">
        <v>3.6</v>
      </c>
      <c r="L151" s="270">
        <v>3.31</v>
      </c>
      <c r="M151" s="270">
        <v>0</v>
      </c>
      <c r="N151" s="270">
        <v>0</v>
      </c>
      <c r="O151" s="270">
        <v>0.28999999999999998</v>
      </c>
      <c r="P151" s="270">
        <v>0</v>
      </c>
      <c r="Q151" s="93" t="s">
        <v>206</v>
      </c>
      <c r="AF151" s="286" t="s">
        <v>125</v>
      </c>
      <c r="AG151" s="286" t="s">
        <v>126</v>
      </c>
      <c r="AH151" s="286">
        <v>15.8</v>
      </c>
      <c r="AI151" s="286" t="s">
        <v>60</v>
      </c>
      <c r="AJ151" s="94" t="s">
        <v>33</v>
      </c>
    </row>
    <row r="152" spans="9:36" x14ac:dyDescent="0.3">
      <c r="I152" s="93">
        <v>176</v>
      </c>
      <c r="J152" s="93" t="s">
        <v>587</v>
      </c>
      <c r="K152" s="270">
        <v>20.678999999999998</v>
      </c>
      <c r="L152" s="270">
        <v>5.21</v>
      </c>
      <c r="M152" s="270">
        <v>0</v>
      </c>
      <c r="N152" s="270">
        <v>0</v>
      </c>
      <c r="O152" s="270">
        <v>15.468999999999999</v>
      </c>
      <c r="P152" s="270">
        <v>0</v>
      </c>
      <c r="Q152" s="93" t="s">
        <v>206</v>
      </c>
      <c r="AF152" s="286" t="s">
        <v>139</v>
      </c>
      <c r="AG152" s="286" t="s">
        <v>140</v>
      </c>
      <c r="AH152" s="286">
        <v>30</v>
      </c>
      <c r="AI152" s="286" t="s">
        <v>60</v>
      </c>
      <c r="AJ152" s="94" t="s">
        <v>33</v>
      </c>
    </row>
    <row r="153" spans="9:36" x14ac:dyDescent="0.3">
      <c r="I153" s="93">
        <v>178</v>
      </c>
      <c r="J153" s="93" t="s">
        <v>296</v>
      </c>
      <c r="K153" s="270">
        <v>25.54</v>
      </c>
      <c r="L153" s="270">
        <v>1.23</v>
      </c>
      <c r="M153" s="270">
        <v>0</v>
      </c>
      <c r="N153" s="270">
        <v>0</v>
      </c>
      <c r="O153" s="270">
        <v>24.31</v>
      </c>
      <c r="P153" s="270">
        <v>0</v>
      </c>
      <c r="Q153" s="93" t="s">
        <v>206</v>
      </c>
      <c r="AF153" s="286" t="s">
        <v>698</v>
      </c>
      <c r="AG153" s="286" t="s">
        <v>699</v>
      </c>
      <c r="AH153" s="286">
        <v>11</v>
      </c>
      <c r="AI153" s="286" t="s">
        <v>60</v>
      </c>
      <c r="AJ153" s="94" t="s">
        <v>33</v>
      </c>
    </row>
    <row r="154" spans="9:36" x14ac:dyDescent="0.3">
      <c r="I154" s="93">
        <v>179</v>
      </c>
      <c r="J154" s="93" t="s">
        <v>590</v>
      </c>
      <c r="K154" s="270">
        <v>9.4499999999999993</v>
      </c>
      <c r="L154" s="270">
        <v>0.43</v>
      </c>
      <c r="M154" s="270">
        <v>0</v>
      </c>
      <c r="N154" s="270">
        <v>0</v>
      </c>
      <c r="O154" s="270">
        <v>9.02</v>
      </c>
      <c r="P154" s="270">
        <v>0</v>
      </c>
      <c r="Q154" s="93" t="s">
        <v>206</v>
      </c>
      <c r="AF154" s="286" t="s">
        <v>700</v>
      </c>
      <c r="AG154" s="286" t="s">
        <v>701</v>
      </c>
      <c r="AH154" s="286">
        <v>10</v>
      </c>
      <c r="AI154" s="286" t="s">
        <v>60</v>
      </c>
      <c r="AJ154" s="94" t="s">
        <v>33</v>
      </c>
    </row>
    <row r="155" spans="9:36" x14ac:dyDescent="0.3">
      <c r="I155" s="93">
        <v>180</v>
      </c>
      <c r="J155" s="93" t="s">
        <v>591</v>
      </c>
      <c r="K155" s="270">
        <v>2.42</v>
      </c>
      <c r="L155" s="270">
        <v>0</v>
      </c>
      <c r="M155" s="270">
        <v>0</v>
      </c>
      <c r="N155" s="270">
        <v>0</v>
      </c>
      <c r="O155" s="270">
        <v>2.42</v>
      </c>
      <c r="P155" s="270">
        <v>0</v>
      </c>
      <c r="Q155" s="93" t="s">
        <v>206</v>
      </c>
      <c r="AG155" s="286" t="s">
        <v>689</v>
      </c>
      <c r="AH155" s="286">
        <v>8</v>
      </c>
      <c r="AI155" s="286" t="s">
        <v>60</v>
      </c>
      <c r="AJ155" s="94" t="s">
        <v>33</v>
      </c>
    </row>
    <row r="156" spans="9:36" x14ac:dyDescent="0.3">
      <c r="I156" s="93">
        <v>183</v>
      </c>
      <c r="J156" s="93" t="s">
        <v>594</v>
      </c>
      <c r="K156" s="270">
        <v>1.7</v>
      </c>
      <c r="L156" s="270">
        <v>0</v>
      </c>
      <c r="M156" s="270">
        <v>0</v>
      </c>
      <c r="N156" s="270">
        <v>0</v>
      </c>
      <c r="O156" s="270">
        <v>1.7</v>
      </c>
      <c r="P156" s="270">
        <v>0</v>
      </c>
      <c r="Q156" s="93" t="s">
        <v>206</v>
      </c>
    </row>
    <row r="157" spans="9:36" x14ac:dyDescent="0.3">
      <c r="I157" s="93">
        <v>187</v>
      </c>
      <c r="J157" s="93" t="s">
        <v>597</v>
      </c>
      <c r="K157" s="270">
        <v>0.44600000000000001</v>
      </c>
      <c r="L157" s="270">
        <v>0.44600000000000001</v>
      </c>
      <c r="M157" s="270">
        <v>0</v>
      </c>
      <c r="N157" s="270">
        <v>0</v>
      </c>
      <c r="O157" s="270">
        <v>0</v>
      </c>
      <c r="P157" s="270">
        <v>0</v>
      </c>
      <c r="Q157" s="93" t="s">
        <v>206</v>
      </c>
      <c r="AF157" s="286" t="s">
        <v>90</v>
      </c>
      <c r="AH157" s="286">
        <v>5</v>
      </c>
      <c r="AI157" s="286" t="s">
        <v>60</v>
      </c>
      <c r="AJ157" s="94" t="s">
        <v>41</v>
      </c>
    </row>
    <row r="158" spans="9:36" x14ac:dyDescent="0.3">
      <c r="I158" s="93">
        <v>188</v>
      </c>
      <c r="J158" s="93" t="s">
        <v>598</v>
      </c>
      <c r="K158" s="270">
        <v>0.158</v>
      </c>
      <c r="L158" s="270">
        <v>0.158</v>
      </c>
      <c r="M158" s="270">
        <v>0</v>
      </c>
      <c r="N158" s="270">
        <v>0</v>
      </c>
      <c r="O158" s="270">
        <v>0</v>
      </c>
      <c r="P158" s="270">
        <v>0</v>
      </c>
      <c r="Q158" s="93" t="s">
        <v>206</v>
      </c>
    </row>
    <row r="159" spans="9:36" x14ac:dyDescent="0.3">
      <c r="I159" s="93">
        <v>189</v>
      </c>
      <c r="J159" s="93" t="s">
        <v>599</v>
      </c>
      <c r="K159" s="270">
        <v>0.998</v>
      </c>
      <c r="L159" s="270">
        <v>0.998</v>
      </c>
      <c r="M159" s="270">
        <v>0</v>
      </c>
      <c r="N159" s="270">
        <v>0</v>
      </c>
      <c r="O159" s="270">
        <v>0</v>
      </c>
      <c r="P159" s="270">
        <v>0</v>
      </c>
      <c r="Q159" s="93" t="s">
        <v>206</v>
      </c>
    </row>
    <row r="160" spans="9:36" x14ac:dyDescent="0.3">
      <c r="I160" s="93">
        <v>186</v>
      </c>
      <c r="J160" s="93" t="s">
        <v>601</v>
      </c>
      <c r="K160" s="270">
        <v>10.75</v>
      </c>
      <c r="L160" s="270">
        <v>0</v>
      </c>
      <c r="M160" s="270">
        <v>0</v>
      </c>
      <c r="N160" s="270">
        <v>0</v>
      </c>
      <c r="O160" s="270">
        <v>10.75</v>
      </c>
      <c r="P160" s="270">
        <v>0</v>
      </c>
      <c r="Q160" s="93" t="s">
        <v>206</v>
      </c>
    </row>
    <row r="161" spans="9:34" x14ac:dyDescent="0.3">
      <c r="I161" s="93">
        <v>190</v>
      </c>
      <c r="J161" s="93" t="s">
        <v>602</v>
      </c>
      <c r="K161" s="270">
        <v>17.5</v>
      </c>
      <c r="L161" s="270">
        <v>0</v>
      </c>
      <c r="M161" s="270">
        <v>0</v>
      </c>
      <c r="N161" s="270">
        <v>0</v>
      </c>
      <c r="O161" s="270">
        <v>17.5</v>
      </c>
      <c r="P161" s="270">
        <v>0</v>
      </c>
      <c r="Q161" s="93" t="s">
        <v>206</v>
      </c>
    </row>
    <row r="162" spans="9:34" x14ac:dyDescent="0.3">
      <c r="I162" s="93">
        <v>191</v>
      </c>
      <c r="J162" s="93" t="s">
        <v>603</v>
      </c>
      <c r="K162" s="270">
        <v>3.5</v>
      </c>
      <c r="L162" s="270">
        <v>0</v>
      </c>
      <c r="M162" s="270">
        <v>0</v>
      </c>
      <c r="N162" s="270">
        <v>0</v>
      </c>
      <c r="O162" s="270">
        <v>3.5</v>
      </c>
      <c r="P162" s="270">
        <v>0</v>
      </c>
      <c r="Q162" s="93" t="s">
        <v>206</v>
      </c>
    </row>
    <row r="163" spans="9:34" x14ac:dyDescent="0.3">
      <c r="I163" s="93">
        <v>193</v>
      </c>
      <c r="J163" s="93" t="s">
        <v>607</v>
      </c>
      <c r="K163" s="270">
        <v>1.53</v>
      </c>
      <c r="L163" s="270">
        <v>1.53</v>
      </c>
      <c r="M163" s="270">
        <v>0</v>
      </c>
      <c r="N163" s="270">
        <v>0</v>
      </c>
      <c r="O163" s="270">
        <v>0</v>
      </c>
      <c r="P163" s="270">
        <v>0</v>
      </c>
      <c r="Q163" s="93" t="s">
        <v>206</v>
      </c>
    </row>
    <row r="164" spans="9:34" x14ac:dyDescent="0.3">
      <c r="I164" s="93">
        <v>194</v>
      </c>
      <c r="J164" s="93" t="s">
        <v>608</v>
      </c>
      <c r="K164" s="270">
        <v>5.1180000000000003</v>
      </c>
      <c r="L164" s="270">
        <v>3.5409999999999999</v>
      </c>
      <c r="M164" s="270">
        <v>0</v>
      </c>
      <c r="N164" s="270">
        <v>0</v>
      </c>
      <c r="O164" s="270">
        <v>1.577</v>
      </c>
      <c r="P164" s="270">
        <v>0</v>
      </c>
      <c r="Q164" s="93" t="s">
        <v>206</v>
      </c>
      <c r="AH164" s="286">
        <f>SUM(AH25:AH163)</f>
        <v>2330.48</v>
      </c>
    </row>
    <row r="165" spans="9:34" x14ac:dyDescent="0.3">
      <c r="I165" s="93">
        <v>195</v>
      </c>
      <c r="J165" s="93" t="s">
        <v>609</v>
      </c>
      <c r="K165" s="270">
        <v>4.6000000000000005</v>
      </c>
      <c r="L165" s="270">
        <v>1.2</v>
      </c>
      <c r="M165" s="270">
        <v>0</v>
      </c>
      <c r="N165" s="270">
        <v>0</v>
      </c>
      <c r="O165" s="270">
        <v>3.4000000000000004</v>
      </c>
      <c r="P165" s="270">
        <v>0</v>
      </c>
      <c r="Q165" s="93" t="s">
        <v>206</v>
      </c>
    </row>
    <row r="166" spans="9:34" x14ac:dyDescent="0.3">
      <c r="I166" s="93">
        <v>171</v>
      </c>
      <c r="J166" s="93" t="s">
        <v>611</v>
      </c>
      <c r="K166" s="270">
        <v>8.7409999999999997</v>
      </c>
      <c r="L166" s="270">
        <v>1.18</v>
      </c>
      <c r="M166" s="270">
        <v>0</v>
      </c>
      <c r="N166" s="270">
        <v>0</v>
      </c>
      <c r="O166" s="270">
        <v>7.5609999999999999</v>
      </c>
      <c r="P166" s="270">
        <v>0</v>
      </c>
      <c r="Q166" s="93" t="s">
        <v>206</v>
      </c>
    </row>
    <row r="167" spans="9:34" x14ac:dyDescent="0.3">
      <c r="L167" s="270">
        <f>SUM(L56:L166)</f>
        <v>167.90499999999994</v>
      </c>
      <c r="M167" s="270">
        <f>SUM(M56:M166)</f>
        <v>0.49</v>
      </c>
      <c r="N167" s="270">
        <f>SUM(N56:N166)</f>
        <v>5.39</v>
      </c>
      <c r="O167" s="270">
        <f>SUM(O56:O166)</f>
        <v>479.42499999999984</v>
      </c>
      <c r="P167" s="270">
        <f>SUM(P56:P166)</f>
        <v>0</v>
      </c>
    </row>
    <row r="171" spans="9:34" x14ac:dyDescent="0.3">
      <c r="I171" s="93">
        <v>13</v>
      </c>
      <c r="J171" s="93" t="s">
        <v>218</v>
      </c>
      <c r="K171" s="270">
        <v>1.72</v>
      </c>
      <c r="L171" s="270">
        <v>0</v>
      </c>
      <c r="M171" s="270">
        <v>0</v>
      </c>
      <c r="N171" s="270">
        <v>0</v>
      </c>
      <c r="O171" s="270">
        <v>1.72</v>
      </c>
      <c r="P171" s="270">
        <v>0</v>
      </c>
      <c r="Q171" s="93" t="s">
        <v>207</v>
      </c>
      <c r="R171" s="93" t="s">
        <v>329</v>
      </c>
    </row>
    <row r="172" spans="9:34" x14ac:dyDescent="0.3">
      <c r="I172" s="93">
        <v>12</v>
      </c>
      <c r="J172" s="93" t="s">
        <v>222</v>
      </c>
      <c r="K172" s="270">
        <v>1.62</v>
      </c>
      <c r="L172" s="270">
        <v>0</v>
      </c>
      <c r="M172" s="270">
        <v>0</v>
      </c>
      <c r="N172" s="270">
        <v>0</v>
      </c>
      <c r="O172" s="270">
        <v>1.62</v>
      </c>
      <c r="P172" s="270">
        <v>0</v>
      </c>
      <c r="Q172" s="93" t="s">
        <v>207</v>
      </c>
      <c r="R172" s="93" t="s">
        <v>331</v>
      </c>
    </row>
    <row r="173" spans="9:34" x14ac:dyDescent="0.3">
      <c r="I173" s="93">
        <v>220</v>
      </c>
      <c r="J173" s="93" t="s">
        <v>221</v>
      </c>
      <c r="K173" s="270">
        <v>2.11</v>
      </c>
      <c r="L173" s="270">
        <v>0</v>
      </c>
      <c r="M173" s="270">
        <v>0</v>
      </c>
      <c r="N173" s="270">
        <v>0</v>
      </c>
      <c r="O173" s="270">
        <v>2.11</v>
      </c>
      <c r="P173" s="270">
        <v>0</v>
      </c>
      <c r="Q173" s="93" t="s">
        <v>207</v>
      </c>
      <c r="R173" s="93" t="s">
        <v>333</v>
      </c>
    </row>
    <row r="174" spans="9:34" x14ac:dyDescent="0.3">
      <c r="I174" s="93">
        <v>15</v>
      </c>
      <c r="J174" s="93" t="s">
        <v>334</v>
      </c>
      <c r="K174" s="270">
        <v>0</v>
      </c>
      <c r="L174" s="270">
        <v>0</v>
      </c>
      <c r="M174" s="270">
        <v>0</v>
      </c>
      <c r="N174" s="270">
        <v>0</v>
      </c>
      <c r="O174" s="270">
        <v>0</v>
      </c>
      <c r="P174" s="270">
        <v>0</v>
      </c>
      <c r="Q174" s="93" t="s">
        <v>33</v>
      </c>
      <c r="R174" s="93" t="s">
        <v>335</v>
      </c>
      <c r="S174" s="93" t="s">
        <v>336</v>
      </c>
    </row>
    <row r="175" spans="9:34" x14ac:dyDescent="0.3">
      <c r="I175" s="93">
        <v>22</v>
      </c>
      <c r="J175" s="93" t="s">
        <v>225</v>
      </c>
      <c r="K175" s="270">
        <v>4.01</v>
      </c>
      <c r="L175" s="270">
        <v>0</v>
      </c>
      <c r="M175" s="270">
        <v>0</v>
      </c>
      <c r="N175" s="270">
        <v>0</v>
      </c>
      <c r="O175" s="270">
        <v>4.01</v>
      </c>
      <c r="P175" s="270">
        <v>0</v>
      </c>
      <c r="Q175" s="93" t="s">
        <v>207</v>
      </c>
      <c r="R175" s="93" t="s">
        <v>346</v>
      </c>
    </row>
    <row r="176" spans="9:34" x14ac:dyDescent="0.3">
      <c r="I176" s="93">
        <v>28</v>
      </c>
      <c r="J176" s="93" t="s">
        <v>233</v>
      </c>
      <c r="K176" s="270">
        <v>5.62</v>
      </c>
      <c r="L176" s="270">
        <v>1.55</v>
      </c>
      <c r="M176" s="270">
        <v>0</v>
      </c>
      <c r="N176" s="270">
        <v>0</v>
      </c>
      <c r="O176" s="270">
        <v>4.07</v>
      </c>
      <c r="P176" s="270">
        <v>0</v>
      </c>
      <c r="Q176" s="93" t="s">
        <v>207</v>
      </c>
      <c r="R176" s="93" t="s">
        <v>352</v>
      </c>
    </row>
    <row r="177" spans="9:18" x14ac:dyDescent="0.3">
      <c r="I177" s="93">
        <v>33</v>
      </c>
      <c r="J177" s="93" t="s">
        <v>34</v>
      </c>
      <c r="K177" s="270">
        <v>2.4</v>
      </c>
      <c r="L177" s="270">
        <v>0</v>
      </c>
      <c r="M177" s="270">
        <v>0</v>
      </c>
      <c r="N177" s="270">
        <v>0</v>
      </c>
      <c r="O177" s="270">
        <v>2.4</v>
      </c>
      <c r="P177" s="270">
        <v>0</v>
      </c>
      <c r="Q177" s="93" t="s">
        <v>207</v>
      </c>
      <c r="R177" s="93" t="s">
        <v>362</v>
      </c>
    </row>
    <row r="178" spans="9:18" x14ac:dyDescent="0.3">
      <c r="I178" s="93">
        <v>42</v>
      </c>
      <c r="J178" s="93" t="s">
        <v>227</v>
      </c>
      <c r="K178" s="270">
        <v>1.5</v>
      </c>
      <c r="L178" s="270">
        <v>0.17</v>
      </c>
      <c r="M178" s="270">
        <v>0</v>
      </c>
      <c r="N178" s="270">
        <v>0</v>
      </c>
      <c r="O178" s="270">
        <v>1.33</v>
      </c>
      <c r="P178" s="270">
        <v>0</v>
      </c>
      <c r="Q178" s="93" t="s">
        <v>207</v>
      </c>
      <c r="R178" s="93" t="s">
        <v>375</v>
      </c>
    </row>
    <row r="179" spans="9:18" x14ac:dyDescent="0.3">
      <c r="I179" s="93">
        <v>44</v>
      </c>
      <c r="J179" s="93" t="s">
        <v>229</v>
      </c>
      <c r="K179" s="270">
        <v>5.52</v>
      </c>
      <c r="L179" s="270">
        <v>1.48</v>
      </c>
      <c r="M179" s="270">
        <v>0</v>
      </c>
      <c r="N179" s="270">
        <v>0</v>
      </c>
      <c r="O179" s="270">
        <v>4.04</v>
      </c>
      <c r="P179" s="270">
        <v>0</v>
      </c>
      <c r="Q179" s="93" t="s">
        <v>207</v>
      </c>
      <c r="R179" s="93" t="s">
        <v>378</v>
      </c>
    </row>
    <row r="180" spans="9:18" x14ac:dyDescent="0.3">
      <c r="I180" s="93">
        <v>107</v>
      </c>
      <c r="J180" s="93" t="s">
        <v>381</v>
      </c>
      <c r="K180" s="270">
        <v>2.59</v>
      </c>
      <c r="L180" s="270">
        <v>2.04</v>
      </c>
      <c r="M180" s="270">
        <v>0</v>
      </c>
      <c r="N180" s="270">
        <v>0</v>
      </c>
      <c r="O180" s="270">
        <v>0.55000000000000004</v>
      </c>
      <c r="P180" s="270">
        <v>0</v>
      </c>
      <c r="Q180" s="93" t="s">
        <v>207</v>
      </c>
      <c r="R180" s="93" t="s">
        <v>382</v>
      </c>
    </row>
    <row r="181" spans="9:18" x14ac:dyDescent="0.3">
      <c r="I181" s="93">
        <v>102</v>
      </c>
      <c r="J181" s="93" t="s">
        <v>242</v>
      </c>
      <c r="K181" s="270">
        <v>1.33</v>
      </c>
      <c r="L181" s="270">
        <v>0.27</v>
      </c>
      <c r="M181" s="270">
        <v>0</v>
      </c>
      <c r="N181" s="270">
        <v>0</v>
      </c>
      <c r="O181" s="270">
        <v>1.06</v>
      </c>
      <c r="P181" s="270">
        <v>0</v>
      </c>
      <c r="Q181" s="93" t="s">
        <v>207</v>
      </c>
      <c r="R181" s="93" t="s">
        <v>383</v>
      </c>
    </row>
    <row r="182" spans="9:18" x14ac:dyDescent="0.3">
      <c r="I182" s="93">
        <v>48</v>
      </c>
      <c r="J182" s="93" t="s">
        <v>388</v>
      </c>
      <c r="K182" s="270">
        <v>2.63</v>
      </c>
      <c r="L182" s="270">
        <v>0</v>
      </c>
      <c r="M182" s="270">
        <v>0</v>
      </c>
      <c r="N182" s="270">
        <v>0</v>
      </c>
      <c r="O182" s="270">
        <v>2.63</v>
      </c>
      <c r="P182" s="270">
        <v>0</v>
      </c>
      <c r="Q182" s="93" t="s">
        <v>207</v>
      </c>
      <c r="R182" s="93" t="s">
        <v>389</v>
      </c>
    </row>
    <row r="183" spans="9:18" x14ac:dyDescent="0.3">
      <c r="I183" s="93">
        <v>90</v>
      </c>
      <c r="J183" s="93" t="s">
        <v>390</v>
      </c>
      <c r="K183" s="270">
        <v>4.2700000000000005</v>
      </c>
      <c r="L183" s="270">
        <v>0</v>
      </c>
      <c r="M183" s="270">
        <v>0</v>
      </c>
      <c r="N183" s="270">
        <v>0</v>
      </c>
      <c r="O183" s="270">
        <v>4.2700000000000005</v>
      </c>
      <c r="P183" s="270">
        <v>0</v>
      </c>
      <c r="Q183" s="93" t="s">
        <v>207</v>
      </c>
      <c r="R183" s="93" t="s">
        <v>391</v>
      </c>
    </row>
    <row r="184" spans="9:18" x14ac:dyDescent="0.3">
      <c r="I184" s="93">
        <v>99</v>
      </c>
      <c r="J184" s="93" t="s">
        <v>392</v>
      </c>
      <c r="K184" s="270">
        <v>14.139999999999999</v>
      </c>
      <c r="L184" s="270">
        <v>2.1</v>
      </c>
      <c r="M184" s="270">
        <v>0</v>
      </c>
      <c r="N184" s="270">
        <v>0</v>
      </c>
      <c r="O184" s="270">
        <v>12.04</v>
      </c>
      <c r="P184" s="270">
        <v>0</v>
      </c>
      <c r="Q184" s="93" t="s">
        <v>207</v>
      </c>
      <c r="R184" s="93" t="s">
        <v>393</v>
      </c>
    </row>
    <row r="185" spans="9:18" x14ac:dyDescent="0.3">
      <c r="I185" s="93">
        <v>108</v>
      </c>
      <c r="J185" s="93" t="s">
        <v>395</v>
      </c>
      <c r="K185" s="270">
        <v>3.2800000000000002</v>
      </c>
      <c r="L185" s="270">
        <v>0.48</v>
      </c>
      <c r="M185" s="270">
        <v>0</v>
      </c>
      <c r="N185" s="270">
        <v>0</v>
      </c>
      <c r="O185" s="270">
        <v>2.8000000000000003</v>
      </c>
      <c r="P185" s="270">
        <v>0</v>
      </c>
      <c r="Q185" s="93" t="s">
        <v>207</v>
      </c>
      <c r="R185" s="93" t="s">
        <v>396</v>
      </c>
    </row>
    <row r="186" spans="9:18" x14ac:dyDescent="0.3">
      <c r="I186" s="93">
        <v>223</v>
      </c>
      <c r="J186" s="93" t="s">
        <v>42</v>
      </c>
      <c r="K186" s="270">
        <v>4.18</v>
      </c>
      <c r="L186" s="270">
        <v>0</v>
      </c>
      <c r="M186" s="270">
        <v>0</v>
      </c>
      <c r="N186" s="270">
        <v>0</v>
      </c>
      <c r="O186" s="270">
        <v>4.18</v>
      </c>
      <c r="P186" s="270">
        <v>0</v>
      </c>
      <c r="Q186" s="93" t="s">
        <v>207</v>
      </c>
      <c r="R186" s="93" t="s">
        <v>398</v>
      </c>
    </row>
    <row r="187" spans="9:18" x14ac:dyDescent="0.3">
      <c r="I187" s="93">
        <v>224</v>
      </c>
      <c r="J187" s="93" t="s">
        <v>44</v>
      </c>
      <c r="K187" s="270">
        <v>7.1899999999999995</v>
      </c>
      <c r="L187" s="270">
        <v>3.21</v>
      </c>
      <c r="M187" s="270">
        <v>0</v>
      </c>
      <c r="N187" s="270">
        <v>0</v>
      </c>
      <c r="O187" s="270">
        <v>3.98</v>
      </c>
      <c r="P187" s="270">
        <v>0</v>
      </c>
      <c r="Q187" s="93" t="s">
        <v>207</v>
      </c>
      <c r="R187" s="93" t="s">
        <v>399</v>
      </c>
    </row>
    <row r="188" spans="9:18" x14ac:dyDescent="0.3">
      <c r="I188" s="93">
        <v>45</v>
      </c>
      <c r="J188" s="93" t="s">
        <v>400</v>
      </c>
      <c r="K188" s="270">
        <v>7.44</v>
      </c>
      <c r="L188" s="270">
        <v>0.71</v>
      </c>
      <c r="M188" s="270">
        <v>0</v>
      </c>
      <c r="N188" s="270">
        <v>0</v>
      </c>
      <c r="O188" s="270">
        <v>6.73</v>
      </c>
      <c r="P188" s="270">
        <v>0</v>
      </c>
      <c r="Q188" s="93" t="s">
        <v>207</v>
      </c>
      <c r="R188" s="93" t="s">
        <v>401</v>
      </c>
    </row>
    <row r="189" spans="9:18" x14ac:dyDescent="0.3">
      <c r="I189" s="93">
        <v>225</v>
      </c>
      <c r="J189" s="93" t="s">
        <v>403</v>
      </c>
      <c r="K189" s="270">
        <v>0.36</v>
      </c>
      <c r="L189" s="270">
        <v>0</v>
      </c>
      <c r="M189" s="270">
        <v>0</v>
      </c>
      <c r="N189" s="270">
        <v>0</v>
      </c>
      <c r="O189" s="270">
        <v>0.36</v>
      </c>
      <c r="P189" s="270">
        <v>0</v>
      </c>
      <c r="Q189" s="93" t="s">
        <v>207</v>
      </c>
      <c r="R189" s="93" t="s">
        <v>404</v>
      </c>
    </row>
    <row r="190" spans="9:18" x14ac:dyDescent="0.3">
      <c r="I190" s="93">
        <v>227</v>
      </c>
      <c r="J190" s="93" t="s">
        <v>408</v>
      </c>
      <c r="K190" s="270">
        <v>7.43</v>
      </c>
      <c r="L190" s="270">
        <v>0</v>
      </c>
      <c r="M190" s="270">
        <v>0</v>
      </c>
      <c r="N190" s="270">
        <v>0</v>
      </c>
      <c r="O190" s="270">
        <v>7.43</v>
      </c>
      <c r="P190" s="270">
        <v>0</v>
      </c>
      <c r="Q190" s="93" t="s">
        <v>207</v>
      </c>
      <c r="R190" s="93" t="s">
        <v>409</v>
      </c>
    </row>
    <row r="191" spans="9:18" x14ac:dyDescent="0.3">
      <c r="I191" s="93">
        <v>48</v>
      </c>
      <c r="J191" s="93" t="s">
        <v>254</v>
      </c>
      <c r="K191" s="270">
        <v>2.19</v>
      </c>
      <c r="L191" s="270">
        <v>0</v>
      </c>
      <c r="M191" s="270">
        <v>0</v>
      </c>
      <c r="N191" s="270">
        <v>0</v>
      </c>
      <c r="O191" s="270">
        <v>2.19</v>
      </c>
      <c r="P191" s="270">
        <v>0</v>
      </c>
      <c r="Q191" s="93" t="s">
        <v>207</v>
      </c>
      <c r="R191" s="93" t="s">
        <v>412</v>
      </c>
    </row>
    <row r="192" spans="9:18" x14ac:dyDescent="0.3">
      <c r="I192" s="93">
        <v>51</v>
      </c>
      <c r="J192" s="93" t="s">
        <v>248</v>
      </c>
      <c r="K192" s="270">
        <v>3.96</v>
      </c>
      <c r="L192" s="270">
        <v>0</v>
      </c>
      <c r="M192" s="270">
        <v>0</v>
      </c>
      <c r="N192" s="270">
        <v>0</v>
      </c>
      <c r="O192" s="270">
        <v>3.96</v>
      </c>
      <c r="P192" s="270">
        <v>0</v>
      </c>
      <c r="Q192" s="93" t="s">
        <v>207</v>
      </c>
      <c r="R192" s="93" t="s">
        <v>414</v>
      </c>
    </row>
    <row r="193" spans="9:18" x14ac:dyDescent="0.3">
      <c r="I193" s="93">
        <v>55</v>
      </c>
      <c r="J193" s="93" t="s">
        <v>244</v>
      </c>
      <c r="K193" s="270">
        <v>4.18</v>
      </c>
      <c r="L193" s="270">
        <v>0</v>
      </c>
      <c r="M193" s="270">
        <v>0</v>
      </c>
      <c r="N193" s="270">
        <v>0</v>
      </c>
      <c r="O193" s="270">
        <v>4.18</v>
      </c>
      <c r="P193" s="270">
        <v>0</v>
      </c>
      <c r="Q193" s="93" t="s">
        <v>207</v>
      </c>
      <c r="R193" s="93" t="s">
        <v>419</v>
      </c>
    </row>
    <row r="194" spans="9:18" x14ac:dyDescent="0.3">
      <c r="I194" s="93">
        <v>67</v>
      </c>
      <c r="J194" s="93" t="s">
        <v>267</v>
      </c>
      <c r="K194" s="270">
        <v>2.1</v>
      </c>
      <c r="L194" s="270">
        <v>0.5</v>
      </c>
      <c r="M194" s="270">
        <v>0</v>
      </c>
      <c r="N194" s="270">
        <v>0</v>
      </c>
      <c r="O194" s="270">
        <v>1.6</v>
      </c>
      <c r="P194" s="270">
        <v>0</v>
      </c>
      <c r="Q194" s="93" t="s">
        <v>207</v>
      </c>
      <c r="R194" s="93" t="s">
        <v>434</v>
      </c>
    </row>
    <row r="195" spans="9:18" x14ac:dyDescent="0.3">
      <c r="I195" s="93">
        <v>68</v>
      </c>
      <c r="J195" s="93" t="s">
        <v>266</v>
      </c>
      <c r="K195" s="270">
        <v>1.65</v>
      </c>
      <c r="L195" s="270">
        <v>0.25</v>
      </c>
      <c r="M195" s="270">
        <v>0</v>
      </c>
      <c r="N195" s="270">
        <v>0</v>
      </c>
      <c r="O195" s="270">
        <v>1.4</v>
      </c>
      <c r="P195" s="270">
        <v>0</v>
      </c>
      <c r="Q195" s="93" t="s">
        <v>207</v>
      </c>
      <c r="R195" s="93" t="s">
        <v>434</v>
      </c>
    </row>
    <row r="196" spans="9:18" x14ac:dyDescent="0.3">
      <c r="I196" s="93">
        <v>69</v>
      </c>
      <c r="J196" s="93" t="s">
        <v>264</v>
      </c>
      <c r="K196" s="270">
        <v>1.68</v>
      </c>
      <c r="L196" s="270">
        <v>0</v>
      </c>
      <c r="M196" s="270">
        <v>0</v>
      </c>
      <c r="N196" s="270">
        <v>0</v>
      </c>
      <c r="O196" s="270">
        <v>1.68</v>
      </c>
      <c r="P196" s="270">
        <v>0</v>
      </c>
      <c r="Q196" s="93" t="s">
        <v>207</v>
      </c>
      <c r="R196" s="93" t="s">
        <v>435</v>
      </c>
    </row>
    <row r="197" spans="9:18" x14ac:dyDescent="0.3">
      <c r="I197" s="93">
        <v>70</v>
      </c>
      <c r="J197" s="93" t="s">
        <v>263</v>
      </c>
      <c r="K197" s="270">
        <v>2.77</v>
      </c>
      <c r="L197" s="270">
        <v>0</v>
      </c>
      <c r="M197" s="270">
        <v>0</v>
      </c>
      <c r="N197" s="270">
        <v>0</v>
      </c>
      <c r="O197" s="270">
        <v>2.77</v>
      </c>
      <c r="P197" s="270">
        <v>0</v>
      </c>
      <c r="Q197" s="93" t="s">
        <v>207</v>
      </c>
      <c r="R197" s="93" t="s">
        <v>436</v>
      </c>
    </row>
    <row r="198" spans="9:18" x14ac:dyDescent="0.3">
      <c r="I198" s="93">
        <v>74</v>
      </c>
      <c r="J198" s="93" t="s">
        <v>257</v>
      </c>
      <c r="K198" s="270">
        <v>0.53</v>
      </c>
      <c r="L198" s="270">
        <v>0</v>
      </c>
      <c r="M198" s="270">
        <v>0</v>
      </c>
      <c r="N198" s="270">
        <v>0</v>
      </c>
      <c r="O198" s="270">
        <v>0.53</v>
      </c>
      <c r="P198" s="270">
        <v>0</v>
      </c>
      <c r="Q198" s="93" t="s">
        <v>207</v>
      </c>
      <c r="R198" s="93" t="s">
        <v>439</v>
      </c>
    </row>
    <row r="199" spans="9:18" x14ac:dyDescent="0.3">
      <c r="I199" s="93">
        <v>75</v>
      </c>
      <c r="J199" s="93" t="s">
        <v>259</v>
      </c>
      <c r="K199" s="270">
        <v>3.1</v>
      </c>
      <c r="L199" s="270">
        <v>0</v>
      </c>
      <c r="M199" s="270">
        <v>0</v>
      </c>
      <c r="N199" s="270">
        <v>0</v>
      </c>
      <c r="O199" s="270">
        <v>3.1</v>
      </c>
      <c r="P199" s="270">
        <v>0</v>
      </c>
      <c r="Q199" s="93" t="s">
        <v>207</v>
      </c>
      <c r="R199" s="93" t="s">
        <v>440</v>
      </c>
    </row>
    <row r="200" spans="9:18" x14ac:dyDescent="0.3">
      <c r="I200" s="93">
        <v>95</v>
      </c>
      <c r="J200" s="93" t="s">
        <v>276</v>
      </c>
      <c r="K200" s="270">
        <v>2.3200000000000003</v>
      </c>
      <c r="L200" s="270">
        <v>1.02</v>
      </c>
      <c r="M200" s="270">
        <v>0</v>
      </c>
      <c r="N200" s="270">
        <v>0</v>
      </c>
      <c r="O200" s="270">
        <v>1.3</v>
      </c>
      <c r="P200" s="270">
        <v>0</v>
      </c>
      <c r="Q200" s="93" t="s">
        <v>207</v>
      </c>
      <c r="R200" s="93" t="s">
        <v>442</v>
      </c>
    </row>
    <row r="201" spans="9:18" x14ac:dyDescent="0.3">
      <c r="I201" s="93">
        <v>78</v>
      </c>
      <c r="J201" s="93" t="s">
        <v>277</v>
      </c>
      <c r="K201" s="270">
        <v>3.81</v>
      </c>
      <c r="L201" s="270">
        <v>0.69</v>
      </c>
      <c r="M201" s="270">
        <v>0</v>
      </c>
      <c r="N201" s="270">
        <v>0</v>
      </c>
      <c r="O201" s="270">
        <v>3.12</v>
      </c>
      <c r="P201" s="270">
        <v>0</v>
      </c>
      <c r="Q201" s="93" t="s">
        <v>207</v>
      </c>
      <c r="R201" s="93" t="s">
        <v>445</v>
      </c>
    </row>
    <row r="202" spans="9:18" x14ac:dyDescent="0.3">
      <c r="I202" s="93">
        <v>82</v>
      </c>
      <c r="J202" s="93" t="s">
        <v>283</v>
      </c>
      <c r="K202" s="270">
        <v>5.6</v>
      </c>
      <c r="L202" s="270">
        <v>1.22</v>
      </c>
      <c r="M202" s="270">
        <v>0</v>
      </c>
      <c r="N202" s="270">
        <v>0</v>
      </c>
      <c r="O202" s="270">
        <v>4.38</v>
      </c>
      <c r="P202" s="270">
        <v>0</v>
      </c>
      <c r="Q202" s="93" t="s">
        <v>207</v>
      </c>
      <c r="R202" s="93" t="s">
        <v>449</v>
      </c>
    </row>
    <row r="203" spans="9:18" x14ac:dyDescent="0.3">
      <c r="I203" s="93">
        <v>119</v>
      </c>
      <c r="J203" s="93" t="s">
        <v>97</v>
      </c>
      <c r="K203" s="270">
        <v>5.51</v>
      </c>
      <c r="L203" s="270">
        <v>0</v>
      </c>
      <c r="M203" s="270">
        <v>0</v>
      </c>
      <c r="N203" s="270">
        <v>0</v>
      </c>
      <c r="O203" s="270">
        <v>5.51</v>
      </c>
      <c r="P203" s="270">
        <v>0</v>
      </c>
      <c r="Q203" s="93" t="s">
        <v>207</v>
      </c>
      <c r="R203" s="93" t="s">
        <v>482</v>
      </c>
    </row>
    <row r="204" spans="9:18" x14ac:dyDescent="0.3">
      <c r="I204" s="93">
        <v>158</v>
      </c>
      <c r="J204" s="93" t="s">
        <v>517</v>
      </c>
      <c r="K204" s="270">
        <v>5.85</v>
      </c>
      <c r="L204" s="270">
        <v>0</v>
      </c>
      <c r="M204" s="270">
        <v>0</v>
      </c>
      <c r="N204" s="270">
        <v>0</v>
      </c>
      <c r="O204" s="270">
        <v>5.85</v>
      </c>
      <c r="P204" s="270">
        <v>0</v>
      </c>
      <c r="Q204" s="93" t="s">
        <v>207</v>
      </c>
    </row>
    <row r="205" spans="9:18" x14ac:dyDescent="0.3">
      <c r="I205" s="93">
        <v>159</v>
      </c>
      <c r="J205" s="93" t="s">
        <v>518</v>
      </c>
      <c r="K205" s="270">
        <v>4.8</v>
      </c>
      <c r="L205" s="270">
        <v>0</v>
      </c>
      <c r="M205" s="270">
        <v>0</v>
      </c>
      <c r="N205" s="270">
        <v>0</v>
      </c>
      <c r="O205" s="270">
        <v>4.8</v>
      </c>
      <c r="P205" s="270">
        <v>0</v>
      </c>
      <c r="Q205" s="93" t="s">
        <v>207</v>
      </c>
    </row>
    <row r="206" spans="9:18" x14ac:dyDescent="0.3">
      <c r="I206" s="93">
        <v>160</v>
      </c>
      <c r="J206" s="93" t="s">
        <v>527</v>
      </c>
      <c r="K206" s="270">
        <v>28</v>
      </c>
      <c r="L206" s="270">
        <v>11.72</v>
      </c>
      <c r="M206" s="270">
        <v>0</v>
      </c>
      <c r="N206" s="270">
        <v>0</v>
      </c>
      <c r="O206" s="270">
        <v>16.28</v>
      </c>
      <c r="P206" s="270">
        <v>0</v>
      </c>
      <c r="Q206" s="93" t="s">
        <v>207</v>
      </c>
      <c r="R206" s="93" t="s">
        <v>528</v>
      </c>
    </row>
    <row r="207" spans="9:18" x14ac:dyDescent="0.3">
      <c r="I207" s="93">
        <v>162</v>
      </c>
      <c r="J207" s="93" t="s">
        <v>530</v>
      </c>
      <c r="K207" s="270">
        <v>1.9</v>
      </c>
      <c r="L207" s="270">
        <v>0</v>
      </c>
      <c r="M207" s="270">
        <v>0</v>
      </c>
      <c r="N207" s="270">
        <v>0</v>
      </c>
      <c r="O207" s="270">
        <v>1.9</v>
      </c>
      <c r="P207" s="270">
        <v>0</v>
      </c>
      <c r="Q207" s="93" t="s">
        <v>207</v>
      </c>
      <c r="R207" s="93" t="s">
        <v>531</v>
      </c>
    </row>
    <row r="208" spans="9:18" x14ac:dyDescent="0.3">
      <c r="I208" s="93">
        <v>163</v>
      </c>
      <c r="J208" s="93" t="s">
        <v>532</v>
      </c>
      <c r="K208" s="270">
        <v>9</v>
      </c>
      <c r="L208" s="270">
        <v>0.65</v>
      </c>
      <c r="M208" s="270">
        <v>0</v>
      </c>
      <c r="N208" s="270">
        <v>0</v>
      </c>
      <c r="O208" s="270">
        <v>8.35</v>
      </c>
      <c r="P208" s="270">
        <v>0</v>
      </c>
      <c r="Q208" s="93" t="s">
        <v>207</v>
      </c>
      <c r="R208" s="93" t="s">
        <v>533</v>
      </c>
    </row>
    <row r="209" spans="9:18" x14ac:dyDescent="0.3">
      <c r="I209" s="93">
        <v>164</v>
      </c>
      <c r="J209" s="93" t="s">
        <v>534</v>
      </c>
      <c r="K209" s="270">
        <v>2.2000000000000002</v>
      </c>
      <c r="L209" s="270">
        <v>0</v>
      </c>
      <c r="M209" s="270">
        <v>0</v>
      </c>
      <c r="N209" s="270">
        <v>0</v>
      </c>
      <c r="O209" s="270">
        <v>2.2000000000000002</v>
      </c>
      <c r="P209" s="270">
        <v>0</v>
      </c>
      <c r="Q209" s="93" t="s">
        <v>207</v>
      </c>
      <c r="R209" s="93" t="s">
        <v>535</v>
      </c>
    </row>
    <row r="210" spans="9:18" x14ac:dyDescent="0.3">
      <c r="I210" s="93">
        <v>165</v>
      </c>
      <c r="J210" s="93" t="s">
        <v>536</v>
      </c>
      <c r="K210" s="270">
        <v>3.5</v>
      </c>
      <c r="L210" s="270">
        <v>0</v>
      </c>
      <c r="M210" s="270">
        <v>0</v>
      </c>
      <c r="N210" s="270">
        <v>0</v>
      </c>
      <c r="O210" s="270">
        <v>3.5</v>
      </c>
      <c r="P210" s="270">
        <v>0</v>
      </c>
      <c r="Q210" s="93" t="s">
        <v>207</v>
      </c>
      <c r="R210" s="93" t="s">
        <v>537</v>
      </c>
    </row>
    <row r="211" spans="9:18" x14ac:dyDescent="0.3">
      <c r="I211" s="93">
        <v>168</v>
      </c>
      <c r="J211" s="93" t="s">
        <v>542</v>
      </c>
      <c r="K211" s="270">
        <v>2.8</v>
      </c>
      <c r="L211" s="270">
        <v>0</v>
      </c>
      <c r="M211" s="270">
        <v>0</v>
      </c>
      <c r="N211" s="270">
        <v>0</v>
      </c>
      <c r="O211" s="270">
        <v>2.8</v>
      </c>
      <c r="P211" s="270">
        <v>0</v>
      </c>
      <c r="Q211" s="93" t="s">
        <v>207</v>
      </c>
      <c r="R211" s="93" t="s">
        <v>543</v>
      </c>
    </row>
    <row r="212" spans="9:18" x14ac:dyDescent="0.3">
      <c r="I212" s="93">
        <v>170</v>
      </c>
      <c r="J212" s="93" t="s">
        <v>544</v>
      </c>
      <c r="K212" s="270">
        <v>1.3</v>
      </c>
      <c r="L212" s="270">
        <v>0</v>
      </c>
      <c r="M212" s="270">
        <v>0</v>
      </c>
      <c r="N212" s="270">
        <v>0</v>
      </c>
      <c r="O212" s="270">
        <v>1.3</v>
      </c>
      <c r="P212" s="270">
        <v>0</v>
      </c>
      <c r="Q212" s="93" t="s">
        <v>207</v>
      </c>
      <c r="R212" s="93" t="s">
        <v>533</v>
      </c>
    </row>
    <row r="213" spans="9:18" x14ac:dyDescent="0.3">
      <c r="I213" s="93">
        <v>204</v>
      </c>
      <c r="J213" s="93" t="s">
        <v>561</v>
      </c>
      <c r="K213" s="270">
        <v>15.87</v>
      </c>
      <c r="L213" s="270">
        <v>6.92</v>
      </c>
      <c r="M213" s="270">
        <v>2.5499999999999998</v>
      </c>
      <c r="N213" s="270">
        <v>0</v>
      </c>
      <c r="O213" s="270">
        <v>6.4</v>
      </c>
      <c r="P213" s="270">
        <v>0</v>
      </c>
      <c r="Q213" s="93" t="s">
        <v>207</v>
      </c>
      <c r="R213" s="93" t="s">
        <v>562</v>
      </c>
    </row>
    <row r="214" spans="9:18" x14ac:dyDescent="0.3">
      <c r="I214" s="93">
        <v>229</v>
      </c>
      <c r="J214" s="93" t="s">
        <v>568</v>
      </c>
      <c r="K214" s="270">
        <v>0.1</v>
      </c>
      <c r="L214" s="270">
        <v>0</v>
      </c>
      <c r="M214" s="270">
        <v>0</v>
      </c>
      <c r="N214" s="270">
        <v>0</v>
      </c>
      <c r="O214" s="270">
        <v>0.1</v>
      </c>
      <c r="P214" s="270">
        <v>0</v>
      </c>
      <c r="Q214" s="93" t="s">
        <v>207</v>
      </c>
      <c r="R214" s="93" t="s">
        <v>569</v>
      </c>
    </row>
    <row r="215" spans="9:18" x14ac:dyDescent="0.3">
      <c r="I215" s="93">
        <v>174</v>
      </c>
      <c r="J215" s="93" t="s">
        <v>585</v>
      </c>
      <c r="K215" s="270">
        <v>0.2</v>
      </c>
      <c r="L215" s="270">
        <v>0.2</v>
      </c>
      <c r="M215" s="270">
        <v>0</v>
      </c>
      <c r="N215" s="270">
        <v>0</v>
      </c>
      <c r="O215" s="270">
        <v>0</v>
      </c>
      <c r="P215" s="270">
        <v>0</v>
      </c>
      <c r="Q215" s="93" t="s">
        <v>207</v>
      </c>
    </row>
    <row r="216" spans="9:18" x14ac:dyDescent="0.3">
      <c r="L216" s="270">
        <f>SUM(L171:L215)</f>
        <v>35.180000000000007</v>
      </c>
      <c r="M216" s="270">
        <f>SUM(M171:M215)</f>
        <v>2.5499999999999998</v>
      </c>
      <c r="N216" s="270">
        <f>SUM(N171:N215)</f>
        <v>0</v>
      </c>
      <c r="O216" s="270">
        <f>SUM(O171:O215)</f>
        <v>156.52999999999997</v>
      </c>
      <c r="P216" s="270">
        <f>SUM(P171:P215)</f>
        <v>0</v>
      </c>
    </row>
    <row r="219" spans="9:18" x14ac:dyDescent="0.3">
      <c r="I219" s="93">
        <v>20</v>
      </c>
      <c r="J219" s="93" t="s">
        <v>208</v>
      </c>
      <c r="K219" s="270">
        <v>7.63</v>
      </c>
      <c r="L219" s="270">
        <v>1.9</v>
      </c>
      <c r="M219" s="270">
        <v>0</v>
      </c>
      <c r="N219" s="270">
        <v>0</v>
      </c>
      <c r="O219" s="270">
        <v>1.2</v>
      </c>
      <c r="P219" s="270">
        <v>4.53</v>
      </c>
      <c r="Q219" s="93" t="s">
        <v>210</v>
      </c>
    </row>
    <row r="220" spans="9:18" x14ac:dyDescent="0.3">
      <c r="I220" s="93">
        <v>32</v>
      </c>
      <c r="J220" s="93" t="s">
        <v>232</v>
      </c>
      <c r="K220" s="270">
        <v>3.01</v>
      </c>
      <c r="L220" s="270">
        <v>0</v>
      </c>
      <c r="M220" s="270">
        <v>0</v>
      </c>
      <c r="N220" s="270">
        <v>0</v>
      </c>
      <c r="O220" s="270">
        <v>3.01</v>
      </c>
      <c r="P220" s="270">
        <v>0</v>
      </c>
      <c r="Q220" s="93" t="s">
        <v>210</v>
      </c>
      <c r="R220" s="93" t="s">
        <v>361</v>
      </c>
    </row>
    <row r="221" spans="9:18" x14ac:dyDescent="0.3">
      <c r="I221" s="93">
        <v>34</v>
      </c>
      <c r="J221" s="93" t="s">
        <v>235</v>
      </c>
      <c r="K221" s="270">
        <v>4.3099999999999996</v>
      </c>
      <c r="L221" s="270">
        <v>0</v>
      </c>
      <c r="M221" s="270">
        <v>0</v>
      </c>
      <c r="N221" s="270">
        <v>0</v>
      </c>
      <c r="O221" s="270">
        <v>4.3099999999999996</v>
      </c>
      <c r="P221" s="270">
        <v>0</v>
      </c>
      <c r="Q221" s="93" t="s">
        <v>210</v>
      </c>
      <c r="R221" s="93" t="s">
        <v>363</v>
      </c>
    </row>
    <row r="222" spans="9:18" x14ac:dyDescent="0.3">
      <c r="I222" s="93">
        <v>37</v>
      </c>
      <c r="J222" s="93" t="s">
        <v>234</v>
      </c>
      <c r="K222" s="270">
        <v>1.6</v>
      </c>
      <c r="L222" s="270">
        <v>0</v>
      </c>
      <c r="M222" s="270">
        <v>0</v>
      </c>
      <c r="N222" s="270">
        <v>0</v>
      </c>
      <c r="O222" s="270">
        <v>1.6</v>
      </c>
      <c r="P222" s="270">
        <v>0</v>
      </c>
      <c r="Q222" s="93" t="s">
        <v>210</v>
      </c>
      <c r="R222" s="93" t="s">
        <v>368</v>
      </c>
    </row>
    <row r="223" spans="9:18" x14ac:dyDescent="0.3">
      <c r="I223" s="93">
        <v>43</v>
      </c>
      <c r="J223" s="93" t="s">
        <v>226</v>
      </c>
      <c r="K223" s="270">
        <v>8.5299999999999994</v>
      </c>
      <c r="L223" s="270">
        <v>0.16</v>
      </c>
      <c r="M223" s="270">
        <v>0</v>
      </c>
      <c r="N223" s="270">
        <v>0</v>
      </c>
      <c r="O223" s="270">
        <v>8.3699999999999992</v>
      </c>
      <c r="P223" s="270">
        <v>0</v>
      </c>
      <c r="Q223" s="93" t="s">
        <v>210</v>
      </c>
      <c r="R223" s="93" t="s">
        <v>376</v>
      </c>
    </row>
    <row r="224" spans="9:18" x14ac:dyDescent="0.3">
      <c r="I224" s="93">
        <v>47</v>
      </c>
      <c r="J224" s="93" t="s">
        <v>38</v>
      </c>
      <c r="K224" s="270">
        <v>17.2</v>
      </c>
      <c r="L224" s="270">
        <v>1.31</v>
      </c>
      <c r="M224" s="270">
        <v>0</v>
      </c>
      <c r="N224" s="270">
        <v>0</v>
      </c>
      <c r="O224" s="270">
        <v>15.89</v>
      </c>
      <c r="P224" s="270">
        <v>0</v>
      </c>
      <c r="Q224" s="93" t="s">
        <v>210</v>
      </c>
      <c r="R224" s="93" t="s">
        <v>387</v>
      </c>
    </row>
    <row r="225" spans="9:18" x14ac:dyDescent="0.3">
      <c r="I225" s="93">
        <v>100</v>
      </c>
      <c r="J225" s="93" t="s">
        <v>50</v>
      </c>
      <c r="K225" s="270">
        <v>7.8</v>
      </c>
      <c r="L225" s="270">
        <v>0.3</v>
      </c>
      <c r="M225" s="270">
        <v>0</v>
      </c>
      <c r="N225" s="270">
        <v>0</v>
      </c>
      <c r="O225" s="270">
        <v>7.5</v>
      </c>
      <c r="P225" s="270">
        <v>0</v>
      </c>
      <c r="Q225" s="93" t="s">
        <v>210</v>
      </c>
      <c r="R225" s="93" t="s">
        <v>410</v>
      </c>
    </row>
    <row r="226" spans="9:18" x14ac:dyDescent="0.3">
      <c r="I226" s="93">
        <v>79</v>
      </c>
      <c r="J226" s="93" t="s">
        <v>272</v>
      </c>
      <c r="K226" s="270">
        <v>1.81</v>
      </c>
      <c r="L226" s="270">
        <v>0.12</v>
      </c>
      <c r="M226" s="270">
        <v>0</v>
      </c>
      <c r="N226" s="270">
        <v>0</v>
      </c>
      <c r="O226" s="270">
        <v>1.69</v>
      </c>
      <c r="P226" s="270">
        <v>0</v>
      </c>
      <c r="Q226" s="93" t="s">
        <v>210</v>
      </c>
      <c r="R226" s="93" t="s">
        <v>446</v>
      </c>
    </row>
    <row r="227" spans="9:18" x14ac:dyDescent="0.3">
      <c r="I227" s="93">
        <v>80</v>
      </c>
      <c r="J227" s="93" t="s">
        <v>282</v>
      </c>
      <c r="K227" s="270">
        <v>15.75</v>
      </c>
      <c r="L227" s="270">
        <v>0.7</v>
      </c>
      <c r="M227" s="270">
        <v>0</v>
      </c>
      <c r="N227" s="270">
        <v>0</v>
      </c>
      <c r="O227" s="270">
        <v>15.05</v>
      </c>
      <c r="P227" s="270">
        <v>0</v>
      </c>
      <c r="Q227" s="93" t="s">
        <v>210</v>
      </c>
      <c r="R227" s="93" t="s">
        <v>447</v>
      </c>
    </row>
    <row r="228" spans="9:18" x14ac:dyDescent="0.3">
      <c r="I228" s="93">
        <v>84</v>
      </c>
      <c r="J228" s="93" t="s">
        <v>274</v>
      </c>
      <c r="K228" s="270">
        <v>1.1599999999999999</v>
      </c>
      <c r="L228" s="270">
        <v>0</v>
      </c>
      <c r="M228" s="270">
        <v>0</v>
      </c>
      <c r="N228" s="270">
        <v>0</v>
      </c>
      <c r="O228" s="270">
        <v>1.1599999999999999</v>
      </c>
      <c r="P228" s="270">
        <v>0</v>
      </c>
      <c r="Q228" s="93" t="s">
        <v>210</v>
      </c>
      <c r="R228" s="93" t="s">
        <v>450</v>
      </c>
    </row>
    <row r="229" spans="9:18" x14ac:dyDescent="0.3">
      <c r="I229" s="93">
        <v>86</v>
      </c>
      <c r="J229" s="93" t="s">
        <v>275</v>
      </c>
      <c r="K229" s="270">
        <v>0.2</v>
      </c>
      <c r="L229" s="270">
        <v>0</v>
      </c>
      <c r="M229" s="270">
        <v>0</v>
      </c>
      <c r="N229" s="270">
        <v>0</v>
      </c>
      <c r="O229" s="270">
        <v>0.2</v>
      </c>
      <c r="P229" s="270">
        <v>0</v>
      </c>
      <c r="Q229" s="93" t="s">
        <v>210</v>
      </c>
      <c r="R229" s="93" t="s">
        <v>452</v>
      </c>
    </row>
    <row r="230" spans="9:18" x14ac:dyDescent="0.3">
      <c r="I230" s="93">
        <v>88</v>
      </c>
      <c r="J230" s="93" t="s">
        <v>280</v>
      </c>
      <c r="K230" s="270">
        <v>3.19</v>
      </c>
      <c r="L230" s="270">
        <v>0</v>
      </c>
      <c r="M230" s="270">
        <v>0</v>
      </c>
      <c r="N230" s="270">
        <v>0</v>
      </c>
      <c r="O230" s="270">
        <v>3.19</v>
      </c>
      <c r="P230" s="270">
        <v>0</v>
      </c>
      <c r="Q230" s="93" t="s">
        <v>210</v>
      </c>
      <c r="R230" s="93" t="s">
        <v>454</v>
      </c>
    </row>
    <row r="231" spans="9:18" x14ac:dyDescent="0.3">
      <c r="I231" s="93">
        <v>118</v>
      </c>
      <c r="J231" s="93" t="s">
        <v>83</v>
      </c>
      <c r="K231" s="270">
        <v>3.51</v>
      </c>
      <c r="L231" s="270">
        <v>0</v>
      </c>
      <c r="M231" s="270">
        <v>0</v>
      </c>
      <c r="N231" s="270">
        <v>0</v>
      </c>
      <c r="O231" s="270">
        <v>3.51</v>
      </c>
      <c r="P231" s="270">
        <v>0</v>
      </c>
      <c r="Q231" s="93" t="s">
        <v>210</v>
      </c>
      <c r="R231" s="93" t="s">
        <v>472</v>
      </c>
    </row>
    <row r="232" spans="9:18" x14ac:dyDescent="0.3">
      <c r="I232" s="93">
        <v>145</v>
      </c>
      <c r="J232" s="93" t="s">
        <v>109</v>
      </c>
      <c r="K232" s="270">
        <v>3.6</v>
      </c>
      <c r="L232" s="270">
        <v>0</v>
      </c>
      <c r="M232" s="270">
        <v>0</v>
      </c>
      <c r="N232" s="270">
        <v>0</v>
      </c>
      <c r="O232" s="270">
        <v>3.6</v>
      </c>
      <c r="P232" s="270">
        <v>0</v>
      </c>
      <c r="Q232" s="93" t="s">
        <v>210</v>
      </c>
    </row>
    <row r="233" spans="9:18" x14ac:dyDescent="0.3">
      <c r="I233" s="93">
        <v>148</v>
      </c>
      <c r="J233" s="93" t="s">
        <v>290</v>
      </c>
      <c r="K233" s="270">
        <v>2.9999999999999996</v>
      </c>
      <c r="L233" s="270">
        <v>0.32</v>
      </c>
      <c r="M233" s="270">
        <v>0</v>
      </c>
      <c r="N233" s="270">
        <v>0</v>
      </c>
      <c r="O233" s="270">
        <v>2.6799999999999997</v>
      </c>
      <c r="P233" s="270">
        <v>0</v>
      </c>
      <c r="Q233" s="93" t="s">
        <v>210</v>
      </c>
      <c r="R233" s="93" t="s">
        <v>495</v>
      </c>
    </row>
    <row r="234" spans="9:18" x14ac:dyDescent="0.3">
      <c r="I234" s="93">
        <v>155</v>
      </c>
      <c r="J234" s="93" t="s">
        <v>509</v>
      </c>
      <c r="K234" s="270">
        <v>3.7</v>
      </c>
      <c r="L234" s="270">
        <v>1.25</v>
      </c>
      <c r="M234" s="270">
        <v>0</v>
      </c>
      <c r="N234" s="270">
        <v>2.4500000000000002</v>
      </c>
      <c r="O234" s="270">
        <v>0</v>
      </c>
      <c r="P234" s="270">
        <v>0</v>
      </c>
      <c r="Q234" s="93" t="s">
        <v>210</v>
      </c>
      <c r="R234" s="93" t="s">
        <v>510</v>
      </c>
    </row>
    <row r="235" spans="9:18" x14ac:dyDescent="0.3">
      <c r="I235" s="93">
        <v>130</v>
      </c>
      <c r="J235" s="93" t="s">
        <v>519</v>
      </c>
      <c r="K235" s="270">
        <v>10.210000000000001</v>
      </c>
      <c r="L235" s="270">
        <v>1.73</v>
      </c>
      <c r="M235" s="270">
        <v>0</v>
      </c>
      <c r="N235" s="270">
        <v>8.48</v>
      </c>
      <c r="O235" s="270">
        <v>0</v>
      </c>
      <c r="P235" s="270">
        <v>0</v>
      </c>
      <c r="Q235" s="93" t="s">
        <v>210</v>
      </c>
      <c r="R235" s="93" t="s">
        <v>520</v>
      </c>
    </row>
    <row r="236" spans="9:18" x14ac:dyDescent="0.3">
      <c r="I236" s="93">
        <v>169</v>
      </c>
      <c r="J236" s="93" t="s">
        <v>545</v>
      </c>
      <c r="K236" s="270">
        <v>3.2</v>
      </c>
      <c r="L236" s="270">
        <v>0</v>
      </c>
      <c r="M236" s="270">
        <v>0</v>
      </c>
      <c r="N236" s="270">
        <v>0</v>
      </c>
      <c r="O236" s="270">
        <v>3.2</v>
      </c>
      <c r="P236" s="270">
        <v>0</v>
      </c>
      <c r="Q236" s="93" t="s">
        <v>210</v>
      </c>
      <c r="R236" s="93" t="s">
        <v>546</v>
      </c>
    </row>
    <row r="237" spans="9:18" x14ac:dyDescent="0.3">
      <c r="I237" s="93">
        <v>199</v>
      </c>
      <c r="J237" s="93" t="s">
        <v>552</v>
      </c>
      <c r="K237" s="270">
        <v>4.3409999999999993</v>
      </c>
      <c r="L237" s="270">
        <v>0.161</v>
      </c>
      <c r="M237" s="270">
        <v>3.31</v>
      </c>
      <c r="N237" s="270">
        <v>0.1</v>
      </c>
      <c r="O237" s="270">
        <v>0.77</v>
      </c>
      <c r="P237" s="270">
        <v>0</v>
      </c>
      <c r="Q237" s="93" t="s">
        <v>210</v>
      </c>
      <c r="R237" s="93" t="s">
        <v>553</v>
      </c>
    </row>
    <row r="238" spans="9:18" x14ac:dyDescent="0.3">
      <c r="I238" s="93">
        <v>207</v>
      </c>
      <c r="J238" s="93" t="s">
        <v>292</v>
      </c>
      <c r="K238" s="270">
        <v>3.3800000000000003</v>
      </c>
      <c r="L238" s="270">
        <v>2.4660000000000002</v>
      </c>
      <c r="M238" s="270">
        <v>0</v>
      </c>
      <c r="N238" s="270">
        <v>0.91400000000000003</v>
      </c>
      <c r="O238" s="270">
        <v>0</v>
      </c>
      <c r="P238" s="270">
        <v>0</v>
      </c>
      <c r="Q238" s="93" t="s">
        <v>210</v>
      </c>
      <c r="R238" s="93" t="s">
        <v>567</v>
      </c>
    </row>
    <row r="239" spans="9:18" x14ac:dyDescent="0.3">
      <c r="I239" s="93">
        <v>215</v>
      </c>
      <c r="J239" s="93" t="s">
        <v>570</v>
      </c>
      <c r="K239" s="270">
        <v>3.6799999999999997</v>
      </c>
      <c r="L239" s="270">
        <v>1.22</v>
      </c>
      <c r="M239" s="270">
        <v>2.46</v>
      </c>
      <c r="N239" s="270">
        <v>0</v>
      </c>
      <c r="O239" s="270">
        <v>0</v>
      </c>
      <c r="P239" s="270">
        <v>0</v>
      </c>
      <c r="Q239" s="93" t="s">
        <v>210</v>
      </c>
      <c r="R239" s="93" t="s">
        <v>571</v>
      </c>
    </row>
    <row r="240" spans="9:18" x14ac:dyDescent="0.3">
      <c r="I240" s="93">
        <v>230</v>
      </c>
      <c r="J240" s="93" t="s">
        <v>604</v>
      </c>
      <c r="K240" s="270">
        <v>1.58</v>
      </c>
      <c r="L240" s="270">
        <v>0</v>
      </c>
      <c r="M240" s="270">
        <v>0</v>
      </c>
      <c r="N240" s="270">
        <v>0</v>
      </c>
      <c r="O240" s="270">
        <v>1.58</v>
      </c>
      <c r="P240" s="270">
        <v>0</v>
      </c>
      <c r="Q240" s="93" t="s">
        <v>210</v>
      </c>
    </row>
    <row r="241" spans="12:16" x14ac:dyDescent="0.3">
      <c r="L241" s="270">
        <f>SUM(L219:L240)</f>
        <v>11.637000000000002</v>
      </c>
      <c r="M241" s="270">
        <f>SUM(M219:M240)</f>
        <v>5.77</v>
      </c>
      <c r="N241" s="270">
        <f>SUM(N219:N240)</f>
        <v>11.943999999999999</v>
      </c>
      <c r="O241" s="270">
        <f>SUM(O219:O240)</f>
        <v>78.509999999999977</v>
      </c>
      <c r="P241" s="270">
        <f>SUM(P219:P240)</f>
        <v>4.53</v>
      </c>
    </row>
  </sheetData>
  <mergeCells count="3">
    <mergeCell ref="C2:G2"/>
    <mergeCell ref="C29:G29"/>
    <mergeCell ref="C56:G56"/>
  </mergeCells>
  <pageMargins left="0.7" right="0.7" top="0.75" bottom="0.75" header="0.3" footer="0.3"/>
  <pageSetup paperSize="10000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pageSetUpPr fitToPage="1"/>
  </sheetPr>
  <dimension ref="A1:AF61"/>
  <sheetViews>
    <sheetView view="pageBreakPreview" topLeftCell="A10" zoomScale="85" zoomScaleNormal="100" zoomScaleSheetLayoutView="85" workbookViewId="0">
      <selection activeCell="W38" sqref="W38"/>
    </sheetView>
  </sheetViews>
  <sheetFormatPr defaultColWidth="9.1796875" defaultRowHeight="18" x14ac:dyDescent="0.4"/>
  <cols>
    <col min="1" max="1" width="15.7265625" style="307" customWidth="1"/>
    <col min="2" max="2" width="47.81640625" style="307" customWidth="1"/>
    <col min="3" max="8" width="15.7265625" style="307" customWidth="1"/>
    <col min="9" max="9" width="14.26953125" style="307" customWidth="1"/>
    <col min="10" max="10" width="10.81640625" style="307" bestFit="1" customWidth="1"/>
    <col min="11" max="14" width="14.26953125" style="462" customWidth="1"/>
    <col min="15" max="15" width="12.81640625" style="436" bestFit="1" customWidth="1"/>
    <col min="16" max="16" width="9.7265625" style="436" bestFit="1" customWidth="1"/>
    <col min="17" max="17" width="9.453125" style="436" bestFit="1" customWidth="1"/>
    <col min="18" max="18" width="9.7265625" style="436" bestFit="1" customWidth="1"/>
    <col min="19" max="19" width="9.453125" style="436" bestFit="1" customWidth="1"/>
    <col min="20" max="21" width="9.7265625" style="436" bestFit="1" customWidth="1"/>
    <col min="22" max="22" width="9.453125" style="436" bestFit="1" customWidth="1"/>
    <col min="23" max="23" width="11" style="436" bestFit="1" customWidth="1"/>
    <col min="24" max="28" width="9.7265625" style="436" bestFit="1" customWidth="1"/>
    <col min="29" max="29" width="11" style="436" bestFit="1" customWidth="1"/>
    <col min="30" max="31" width="9.7265625" style="436" bestFit="1" customWidth="1"/>
    <col min="32" max="32" width="13.1796875" style="436" customWidth="1"/>
    <col min="33" max="16384" width="9.1796875" style="307"/>
  </cols>
  <sheetData>
    <row r="1" spans="1:32" s="113" customFormat="1" x14ac:dyDescent="0.35">
      <c r="A1" s="1184" t="s">
        <v>0</v>
      </c>
      <c r="B1" s="1184"/>
      <c r="C1" s="1184"/>
      <c r="D1" s="1184"/>
      <c r="E1" s="1184"/>
      <c r="F1" s="1184"/>
      <c r="G1" s="1184"/>
      <c r="H1" s="1184"/>
      <c r="I1" s="304"/>
      <c r="J1" s="304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</row>
    <row r="2" spans="1:32" s="113" customFormat="1" x14ac:dyDescent="0.35">
      <c r="A2" s="1184" t="s">
        <v>297</v>
      </c>
      <c r="B2" s="1184"/>
      <c r="C2" s="1184"/>
      <c r="D2" s="1184"/>
      <c r="E2" s="1184"/>
      <c r="F2" s="1184"/>
      <c r="G2" s="1184"/>
      <c r="H2" s="1184"/>
      <c r="I2" s="304"/>
      <c r="J2" s="304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</row>
    <row r="3" spans="1:32" s="113" customFormat="1" x14ac:dyDescent="0.35">
      <c r="A3" s="1194">
        <v>2021</v>
      </c>
      <c r="B3" s="1194"/>
      <c r="C3" s="1194"/>
      <c r="D3" s="1194"/>
      <c r="E3" s="1194"/>
      <c r="F3" s="1194"/>
      <c r="G3" s="1194"/>
      <c r="H3" s="1194"/>
      <c r="I3" s="304"/>
      <c r="J3" s="304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</row>
    <row r="4" spans="1:32" s="113" customFormat="1" x14ac:dyDescent="0.35">
      <c r="A4" s="305"/>
      <c r="B4" s="305"/>
      <c r="C4" s="305"/>
      <c r="D4" s="305"/>
      <c r="E4" s="305"/>
      <c r="F4" s="305"/>
      <c r="G4" s="305"/>
      <c r="H4" s="305"/>
      <c r="I4" s="304"/>
      <c r="J4" s="304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</row>
    <row r="5" spans="1:32" ht="22.5" x14ac:dyDescent="0.45">
      <c r="A5" s="1195" t="s">
        <v>743</v>
      </c>
      <c r="B5" s="1195"/>
      <c r="C5" s="1195"/>
      <c r="D5" s="1195"/>
      <c r="E5" s="1195"/>
      <c r="F5" s="1195"/>
      <c r="G5" s="1195"/>
      <c r="H5" s="1195"/>
    </row>
    <row r="6" spans="1:32" ht="11.25" customHeight="1" x14ac:dyDescent="0.45">
      <c r="A6" s="425"/>
      <c r="B6" s="425"/>
      <c r="C6" s="425"/>
      <c r="D6" s="425"/>
      <c r="E6" s="425"/>
      <c r="F6" s="425"/>
      <c r="G6" s="425"/>
      <c r="H6" s="425"/>
      <c r="K6" s="463"/>
      <c r="L6" s="463"/>
      <c r="M6" s="463"/>
      <c r="N6" s="463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</row>
    <row r="7" spans="1:32" s="308" customFormat="1" ht="75" customHeight="1" x14ac:dyDescent="0.35">
      <c r="A7" s="411" t="s">
        <v>730</v>
      </c>
      <c r="B7" s="411" t="s">
        <v>704</v>
      </c>
      <c r="C7" s="412" t="s">
        <v>724</v>
      </c>
      <c r="D7" s="412" t="s">
        <v>725</v>
      </c>
      <c r="E7" s="412" t="s">
        <v>739</v>
      </c>
      <c r="F7" s="412" t="s">
        <v>740</v>
      </c>
      <c r="G7" s="412" t="s">
        <v>741</v>
      </c>
      <c r="H7" s="412" t="s">
        <v>742</v>
      </c>
      <c r="K7" s="464"/>
      <c r="L7" s="464"/>
      <c r="M7" s="464"/>
      <c r="N7" s="464"/>
      <c r="O7" s="438"/>
      <c r="P7" s="438"/>
      <c r="Q7" s="438"/>
      <c r="R7" s="438"/>
      <c r="S7" s="438"/>
      <c r="T7" s="438"/>
      <c r="U7" s="438"/>
      <c r="V7" s="438"/>
      <c r="W7" s="438"/>
      <c r="X7" s="438"/>
      <c r="Y7" s="438"/>
      <c r="Z7" s="438"/>
      <c r="AA7" s="438"/>
      <c r="AB7" s="438"/>
      <c r="AC7" s="438"/>
      <c r="AD7" s="438"/>
      <c r="AE7" s="438"/>
      <c r="AF7" s="438"/>
    </row>
    <row r="8" spans="1:32" x14ac:dyDescent="0.4">
      <c r="A8" s="310">
        <v>1</v>
      </c>
      <c r="B8" s="309" t="s">
        <v>703</v>
      </c>
      <c r="C8" s="310">
        <v>24</v>
      </c>
      <c r="D8" s="311">
        <f>SUM(E8:H8)</f>
        <v>98.550000000000011</v>
      </c>
      <c r="E8" s="312">
        <f>'inventory2022 (FINAL)'!F32</f>
        <v>56.047999999999995</v>
      </c>
      <c r="F8" s="312">
        <f>'inventory2022 (FINAL)'!G32</f>
        <v>0</v>
      </c>
      <c r="G8" s="312">
        <f>'inventory2022 (FINAL)'!H32</f>
        <v>4.53</v>
      </c>
      <c r="H8" s="312">
        <f>'inventory2022 (FINAL)'!I32</f>
        <v>37.972000000000008</v>
      </c>
      <c r="I8" s="313"/>
      <c r="J8" s="313"/>
    </row>
    <row r="9" spans="1:32" x14ac:dyDescent="0.4">
      <c r="A9" s="310">
        <v>2</v>
      </c>
      <c r="B9" s="309" t="s">
        <v>711</v>
      </c>
      <c r="C9" s="310">
        <v>2</v>
      </c>
      <c r="D9" s="311">
        <f t="shared" ref="D9:D29" si="0">SUM(E9:H9)</f>
        <v>18.5</v>
      </c>
      <c r="E9" s="312">
        <f>'inventory2022 (FINAL)'!F37</f>
        <v>17.809999999999999</v>
      </c>
      <c r="F9" s="312">
        <f>'inventory2022 (FINAL)'!G37</f>
        <v>0</v>
      </c>
      <c r="G9" s="312">
        <f>'inventory2022 (FINAL)'!H37</f>
        <v>0</v>
      </c>
      <c r="H9" s="312">
        <f>'inventory2022 (FINAL)'!I37</f>
        <v>0.69</v>
      </c>
      <c r="I9" s="313"/>
      <c r="J9" s="313"/>
    </row>
    <row r="10" spans="1:32" x14ac:dyDescent="0.4">
      <c r="A10" s="310">
        <v>3</v>
      </c>
      <c r="B10" s="309" t="s">
        <v>710</v>
      </c>
      <c r="C10" s="310">
        <v>14</v>
      </c>
      <c r="D10" s="311">
        <f t="shared" si="0"/>
        <v>49.300000000000004</v>
      </c>
      <c r="E10" s="312">
        <f>'inventory2022 (FINAL)'!F54</f>
        <v>4.5600000000000005</v>
      </c>
      <c r="F10" s="312">
        <f>'inventory2022 (FINAL)'!G54</f>
        <v>0</v>
      </c>
      <c r="G10" s="312">
        <f>'inventory2022 (FINAL)'!H54</f>
        <v>0</v>
      </c>
      <c r="H10" s="312">
        <f>'inventory2022 (FINAL)'!I54</f>
        <v>44.74</v>
      </c>
      <c r="I10" s="313"/>
      <c r="J10" s="313"/>
    </row>
    <row r="11" spans="1:32" x14ac:dyDescent="0.4">
      <c r="A11" s="310">
        <v>4</v>
      </c>
      <c r="B11" s="309" t="s">
        <v>709</v>
      </c>
      <c r="C11" s="310">
        <v>32</v>
      </c>
      <c r="D11" s="311">
        <f t="shared" si="0"/>
        <v>107.85</v>
      </c>
      <c r="E11" s="312">
        <f>'inventory2022 (FINAL)'!F88</f>
        <v>41.619</v>
      </c>
      <c r="F11" s="312">
        <f>'inventory2022 (FINAL)'!G88</f>
        <v>0</v>
      </c>
      <c r="G11" s="312">
        <f>'inventory2022 (FINAL)'!H88</f>
        <v>0</v>
      </c>
      <c r="H11" s="312">
        <f>'inventory2022 (FINAL)'!I88</f>
        <v>66.230999999999995</v>
      </c>
      <c r="I11" s="313"/>
      <c r="J11" s="313"/>
    </row>
    <row r="12" spans="1:32" x14ac:dyDescent="0.4">
      <c r="A12" s="310">
        <v>5</v>
      </c>
      <c r="B12" s="309" t="s">
        <v>705</v>
      </c>
      <c r="C12" s="310">
        <v>27</v>
      </c>
      <c r="D12" s="311">
        <f t="shared" si="0"/>
        <v>102.5</v>
      </c>
      <c r="E12" s="312">
        <f>'inventory2022 (FINAL)'!F118</f>
        <v>29.040000000000003</v>
      </c>
      <c r="F12" s="312">
        <f>'inventory2022 (FINAL)'!G118</f>
        <v>0</v>
      </c>
      <c r="G12" s="312">
        <f>'inventory2022 (FINAL)'!H118</f>
        <v>0</v>
      </c>
      <c r="H12" s="312">
        <f>'inventory2022 (FINAL)'!I118</f>
        <v>73.459999999999994</v>
      </c>
      <c r="I12" s="313"/>
      <c r="J12" s="313"/>
    </row>
    <row r="13" spans="1:32" x14ac:dyDescent="0.4">
      <c r="A13" s="310">
        <v>6</v>
      </c>
      <c r="B13" s="309" t="s">
        <v>706</v>
      </c>
      <c r="C13" s="310">
        <v>7</v>
      </c>
      <c r="D13" s="311">
        <f t="shared" si="0"/>
        <v>42.45</v>
      </c>
      <c r="E13" s="312">
        <f>'inventory2022 (FINAL)'!F128</f>
        <v>5.7200000000000006</v>
      </c>
      <c r="F13" s="312">
        <f>'inventory2022 (FINAL)'!G128</f>
        <v>0</v>
      </c>
      <c r="G13" s="312">
        <f>'inventory2022 (FINAL)'!H128</f>
        <v>0</v>
      </c>
      <c r="H13" s="312">
        <f>'inventory2022 (FINAL)'!I128</f>
        <v>36.730000000000004</v>
      </c>
      <c r="I13" s="313"/>
      <c r="J13" s="313"/>
    </row>
    <row r="14" spans="1:32" x14ac:dyDescent="0.4">
      <c r="A14" s="310">
        <v>7</v>
      </c>
      <c r="B14" s="309" t="s">
        <v>707</v>
      </c>
      <c r="C14" s="310">
        <v>1</v>
      </c>
      <c r="D14" s="311">
        <f t="shared" si="0"/>
        <v>3.1</v>
      </c>
      <c r="E14" s="312">
        <f>'inventory2022 (FINAL)'!F132</f>
        <v>0.48</v>
      </c>
      <c r="F14" s="312">
        <f>'inventory2022 (FINAL)'!G132</f>
        <v>0</v>
      </c>
      <c r="G14" s="312">
        <f>'inventory2022 (FINAL)'!H132</f>
        <v>0</v>
      </c>
      <c r="H14" s="312">
        <f>'inventory2022 (FINAL)'!I132</f>
        <v>2.62</v>
      </c>
      <c r="I14" s="313"/>
      <c r="J14" s="313"/>
    </row>
    <row r="15" spans="1:32" x14ac:dyDescent="0.4">
      <c r="A15" s="310">
        <v>8</v>
      </c>
      <c r="B15" s="309" t="s">
        <v>708</v>
      </c>
      <c r="C15" s="310">
        <v>10</v>
      </c>
      <c r="D15" s="311">
        <f t="shared" si="0"/>
        <v>54.1</v>
      </c>
      <c r="E15" s="312">
        <f>'inventory2022 (FINAL)'!F145</f>
        <v>15.850000000000001</v>
      </c>
      <c r="F15" s="312">
        <f>'inventory2022 (FINAL)'!G145</f>
        <v>0</v>
      </c>
      <c r="G15" s="312">
        <f>'inventory2022 (FINAL)'!H145</f>
        <v>0</v>
      </c>
      <c r="H15" s="312">
        <f>'inventory2022 (FINAL)'!I145</f>
        <v>38.25</v>
      </c>
      <c r="I15" s="313"/>
      <c r="J15" s="313"/>
    </row>
    <row r="16" spans="1:32" x14ac:dyDescent="0.4">
      <c r="A16" s="413" t="s">
        <v>731</v>
      </c>
      <c r="B16" s="413"/>
      <c r="C16" s="414">
        <f t="shared" ref="C16:H16" si="1">SUM(C8:C15)</f>
        <v>117</v>
      </c>
      <c r="D16" s="415">
        <f t="shared" si="1"/>
        <v>476.35000000000008</v>
      </c>
      <c r="E16" s="416">
        <f t="shared" si="1"/>
        <v>171.12699999999998</v>
      </c>
      <c r="F16" s="416">
        <f t="shared" si="1"/>
        <v>0</v>
      </c>
      <c r="G16" s="416">
        <f t="shared" si="1"/>
        <v>4.53</v>
      </c>
      <c r="H16" s="416">
        <f t="shared" si="1"/>
        <v>300.69300000000004</v>
      </c>
      <c r="I16" s="313">
        <f>SUM(E16:H16)</f>
        <v>476.35</v>
      </c>
      <c r="J16" s="313"/>
    </row>
    <row r="17" spans="1:32" x14ac:dyDescent="0.4">
      <c r="A17" s="310">
        <v>9</v>
      </c>
      <c r="B17" s="309" t="s">
        <v>719</v>
      </c>
      <c r="C17" s="310">
        <v>2</v>
      </c>
      <c r="D17" s="311">
        <f t="shared" si="0"/>
        <v>7.25</v>
      </c>
      <c r="E17" s="314">
        <f>'inventory2022 (FINAL)'!F150</f>
        <v>3.3</v>
      </c>
      <c r="F17" s="314">
        <f>'inventory2022 (FINAL)'!G150</f>
        <v>0</v>
      </c>
      <c r="G17" s="314">
        <f>'inventory2022 (FINAL)'!H150</f>
        <v>0</v>
      </c>
      <c r="H17" s="314">
        <f>'inventory2022 (FINAL)'!I150</f>
        <v>3.9499999999999997</v>
      </c>
    </row>
    <row r="18" spans="1:32" x14ac:dyDescent="0.4">
      <c r="A18" s="310">
        <v>10</v>
      </c>
      <c r="B18" s="309" t="s">
        <v>716</v>
      </c>
      <c r="C18" s="310">
        <v>11</v>
      </c>
      <c r="D18" s="311">
        <f t="shared" si="0"/>
        <v>62</v>
      </c>
      <c r="E18" s="312">
        <f>'inventory2022 (FINAL)'!F164</f>
        <v>12.194000000000001</v>
      </c>
      <c r="F18" s="312">
        <f>'inventory2022 (FINAL)'!G164</f>
        <v>0</v>
      </c>
      <c r="G18" s="312">
        <f>'inventory2022 (FINAL)'!H164</f>
        <v>0</v>
      </c>
      <c r="H18" s="312">
        <f>'inventory2022 (FINAL)'!I164</f>
        <v>49.805999999999997</v>
      </c>
    </row>
    <row r="19" spans="1:32" x14ac:dyDescent="0.4">
      <c r="A19" s="310">
        <v>11</v>
      </c>
      <c r="B19" s="309" t="s">
        <v>722</v>
      </c>
      <c r="C19" s="310">
        <v>8</v>
      </c>
      <c r="D19" s="311">
        <f t="shared" si="0"/>
        <v>42.084000000000003</v>
      </c>
      <c r="E19" s="312">
        <f>'inventory2022 (FINAL)'!F175</f>
        <v>1.4039999999999999</v>
      </c>
      <c r="F19" s="312">
        <f>'inventory2022 (FINAL)'!G175</f>
        <v>0</v>
      </c>
      <c r="G19" s="312">
        <f>'inventory2022 (FINAL)'!H175</f>
        <v>0</v>
      </c>
      <c r="H19" s="312">
        <f>'inventory2022 (FINAL)'!I175</f>
        <v>40.68</v>
      </c>
    </row>
    <row r="20" spans="1:32" x14ac:dyDescent="0.4">
      <c r="A20" s="310">
        <v>12</v>
      </c>
      <c r="B20" s="309" t="s">
        <v>723</v>
      </c>
      <c r="C20" s="310">
        <v>1</v>
      </c>
      <c r="D20" s="311">
        <f t="shared" si="0"/>
        <v>8.7409999999999997</v>
      </c>
      <c r="E20" s="312">
        <f>'inventory2022 (FINAL)'!F179</f>
        <v>1.18</v>
      </c>
      <c r="F20" s="312">
        <f>'inventory2022 (FINAL)'!G179</f>
        <v>0</v>
      </c>
      <c r="G20" s="312">
        <f>'inventory2022 (FINAL)'!H179</f>
        <v>0</v>
      </c>
      <c r="H20" s="312">
        <f>'inventory2022 (FINAL)'!I179</f>
        <v>7.5609999999999999</v>
      </c>
    </row>
    <row r="21" spans="1:32" x14ac:dyDescent="0.4">
      <c r="A21" s="310">
        <v>13</v>
      </c>
      <c r="B21" s="309" t="s">
        <v>720</v>
      </c>
      <c r="C21" s="310">
        <v>13</v>
      </c>
      <c r="D21" s="311">
        <f t="shared" si="0"/>
        <v>116.96000000000001</v>
      </c>
      <c r="E21" s="312">
        <f>'inventory2022 (FINAL)'!F195</f>
        <v>57.309999999999995</v>
      </c>
      <c r="F21" s="312">
        <f>'inventory2022 (FINAL)'!G195</f>
        <v>0</v>
      </c>
      <c r="G21" s="312">
        <f>'inventory2022 (FINAL)'!H195</f>
        <v>3.42</v>
      </c>
      <c r="H21" s="312">
        <f>'inventory2022 (FINAL)'!I195</f>
        <v>56.230000000000004</v>
      </c>
    </row>
    <row r="22" spans="1:32" x14ac:dyDescent="0.4">
      <c r="A22" s="310">
        <v>14</v>
      </c>
      <c r="B22" s="309" t="s">
        <v>721</v>
      </c>
      <c r="C22" s="310">
        <v>4</v>
      </c>
      <c r="D22" s="311">
        <f t="shared" si="0"/>
        <v>28.000200000000003</v>
      </c>
      <c r="E22" s="312">
        <f>'inventory2022 (FINAL)'!F202</f>
        <v>17.141200000000001</v>
      </c>
      <c r="F22" s="312">
        <f>'inventory2022 (FINAL)'!G202</f>
        <v>0</v>
      </c>
      <c r="G22" s="312">
        <f>'inventory2022 (FINAL)'!H202</f>
        <v>0</v>
      </c>
      <c r="H22" s="312">
        <f>'inventory2022 (FINAL)'!I202</f>
        <v>10.859000000000002</v>
      </c>
    </row>
    <row r="23" spans="1:32" x14ac:dyDescent="0.4">
      <c r="A23" s="310">
        <v>15</v>
      </c>
      <c r="B23" s="309" t="s">
        <v>717</v>
      </c>
      <c r="C23" s="310">
        <v>8</v>
      </c>
      <c r="D23" s="311">
        <f t="shared" si="0"/>
        <v>49</v>
      </c>
      <c r="E23" s="312">
        <f>'inventory2022 (FINAL)'!F213</f>
        <v>26.39</v>
      </c>
      <c r="F23" s="312">
        <f>'inventory2022 (FINAL)'!G213</f>
        <v>5.1429999999999998</v>
      </c>
      <c r="G23" s="312">
        <f>'inventory2022 (FINAL)'!H213</f>
        <v>0.1</v>
      </c>
      <c r="H23" s="312">
        <f>'inventory2022 (FINAL)'!I213</f>
        <v>17.367000000000001</v>
      </c>
    </row>
    <row r="24" spans="1:32" x14ac:dyDescent="0.4">
      <c r="A24" s="310">
        <v>16</v>
      </c>
      <c r="B24" s="309" t="s">
        <v>715</v>
      </c>
      <c r="C24" s="310">
        <v>14</v>
      </c>
      <c r="D24" s="311">
        <f t="shared" si="0"/>
        <v>74.19</v>
      </c>
      <c r="E24" s="312">
        <f>'inventory2022 (FINAL)'!F230</f>
        <v>26.14</v>
      </c>
      <c r="F24" s="312">
        <f>'inventory2022 (FINAL)'!G230</f>
        <v>0</v>
      </c>
      <c r="G24" s="312">
        <f>'inventory2022 (FINAL)'!H230</f>
        <v>0</v>
      </c>
      <c r="H24" s="312">
        <f>'inventory2022 (FINAL)'!I230</f>
        <v>48.05</v>
      </c>
    </row>
    <row r="25" spans="1:32" x14ac:dyDescent="0.4">
      <c r="A25" s="310">
        <v>17</v>
      </c>
      <c r="B25" s="309" t="s">
        <v>765</v>
      </c>
      <c r="C25" s="310">
        <v>5</v>
      </c>
      <c r="D25" s="311">
        <f t="shared" si="0"/>
        <v>28.124000000000002</v>
      </c>
      <c r="E25" s="312">
        <f>'inventory2022 (FINAL)'!F238</f>
        <v>13.035</v>
      </c>
      <c r="F25" s="312">
        <f>'inventory2022 (FINAL)'!G238</f>
        <v>0</v>
      </c>
      <c r="G25" s="312">
        <f>'inventory2022 (FINAL)'!H238</f>
        <v>0</v>
      </c>
      <c r="H25" s="312">
        <f>'inventory2022 (FINAL)'!I238</f>
        <v>15.089000000000002</v>
      </c>
    </row>
    <row r="26" spans="1:32" x14ac:dyDescent="0.4">
      <c r="A26" s="310">
        <v>18</v>
      </c>
      <c r="B26" s="309" t="s">
        <v>718</v>
      </c>
      <c r="C26" s="310">
        <v>11</v>
      </c>
      <c r="D26" s="311">
        <f t="shared" si="0"/>
        <v>35.78</v>
      </c>
      <c r="E26" s="314">
        <f>'inventory2022 (FINAL)'!F252</f>
        <v>19.315999999999999</v>
      </c>
      <c r="F26" s="314">
        <f>'inventory2022 (FINAL)'!G252</f>
        <v>5.6</v>
      </c>
      <c r="G26" s="314">
        <f>'inventory2022 (FINAL)'!H252</f>
        <v>0.91400000000000003</v>
      </c>
      <c r="H26" s="314">
        <f>'inventory2022 (FINAL)'!I252</f>
        <v>9.9500000000000011</v>
      </c>
    </row>
    <row r="27" spans="1:32" x14ac:dyDescent="0.4">
      <c r="A27" s="310">
        <v>19</v>
      </c>
      <c r="B27" s="309" t="s">
        <v>712</v>
      </c>
      <c r="C27" s="310">
        <v>17</v>
      </c>
      <c r="D27" s="311">
        <f t="shared" si="0"/>
        <v>129.17099999999999</v>
      </c>
      <c r="E27" s="314">
        <f>'inventory2022 (FINAL)'!F272</f>
        <v>37.722000000000001</v>
      </c>
      <c r="F27" s="314">
        <f>'inventory2022 (FINAL)'!G272</f>
        <v>0</v>
      </c>
      <c r="G27" s="314">
        <f>'inventory2022 (FINAL)'!H272</f>
        <v>0</v>
      </c>
      <c r="H27" s="314">
        <f>'inventory2022 (FINAL)'!I272</f>
        <v>91.448999999999984</v>
      </c>
    </row>
    <row r="28" spans="1:32" x14ac:dyDescent="0.4">
      <c r="A28" s="310">
        <v>20</v>
      </c>
      <c r="B28" s="309" t="s">
        <v>713</v>
      </c>
      <c r="C28" s="310">
        <v>8</v>
      </c>
      <c r="D28" s="311">
        <f t="shared" si="0"/>
        <v>87.300999999999988</v>
      </c>
      <c r="E28" s="314">
        <f>'inventory2022 (FINAL)'!F283</f>
        <v>35.895999999999994</v>
      </c>
      <c r="F28" s="314">
        <f>'inventory2022 (FINAL)'!G283</f>
        <v>0</v>
      </c>
      <c r="G28" s="314">
        <f>'inventory2022 (FINAL)'!H283</f>
        <v>0</v>
      </c>
      <c r="H28" s="314">
        <f>'inventory2022 (FINAL)'!I283</f>
        <v>51.404999999999987</v>
      </c>
    </row>
    <row r="29" spans="1:32" x14ac:dyDescent="0.4">
      <c r="A29" s="310">
        <v>21</v>
      </c>
      <c r="B29" s="309" t="s">
        <v>714</v>
      </c>
      <c r="C29" s="310">
        <v>8</v>
      </c>
      <c r="D29" s="311">
        <f t="shared" si="0"/>
        <v>84.59999999999998</v>
      </c>
      <c r="E29" s="314">
        <f>'inventory2022 (FINAL)'!F294</f>
        <v>18.352999999999998</v>
      </c>
      <c r="F29" s="314">
        <f>'inventory2022 (FINAL)'!G294</f>
        <v>0</v>
      </c>
      <c r="G29" s="314">
        <f>'inventory2022 (FINAL)'!H294</f>
        <v>1.72</v>
      </c>
      <c r="H29" s="314">
        <f>'inventory2022 (FINAL)'!I294</f>
        <v>64.526999999999987</v>
      </c>
    </row>
    <row r="30" spans="1:32" s="417" customFormat="1" x14ac:dyDescent="0.4">
      <c r="A30" s="413" t="s">
        <v>732</v>
      </c>
      <c r="B30" s="413"/>
      <c r="C30" s="414">
        <f t="shared" ref="C30:H30" si="2">SUM(C17:C29)</f>
        <v>110</v>
      </c>
      <c r="D30" s="415">
        <f t="shared" si="2"/>
        <v>753.20120000000009</v>
      </c>
      <c r="E30" s="416">
        <f t="shared" si="2"/>
        <v>269.38119999999998</v>
      </c>
      <c r="F30" s="416">
        <f t="shared" si="2"/>
        <v>10.742999999999999</v>
      </c>
      <c r="G30" s="416">
        <f t="shared" si="2"/>
        <v>6.1539999999999999</v>
      </c>
      <c r="H30" s="416">
        <f t="shared" si="2"/>
        <v>466.92299999999994</v>
      </c>
      <c r="I30" s="416">
        <f>SUM(E30:H30)</f>
        <v>753.20119999999997</v>
      </c>
      <c r="K30" s="465"/>
      <c r="L30" s="465"/>
      <c r="M30" s="465"/>
      <c r="N30" s="465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  <c r="AA30" s="439"/>
      <c r="AB30" s="439"/>
      <c r="AC30" s="439"/>
      <c r="AD30" s="439"/>
      <c r="AE30" s="439"/>
      <c r="AF30" s="439"/>
    </row>
    <row r="31" spans="1:32" s="422" customFormat="1" x14ac:dyDescent="0.4">
      <c r="A31" s="418" t="s">
        <v>733</v>
      </c>
      <c r="B31" s="418"/>
      <c r="C31" s="419">
        <f t="shared" ref="C31:H31" si="3">C16+C30</f>
        <v>227</v>
      </c>
      <c r="D31" s="420">
        <f t="shared" si="3"/>
        <v>1229.5512000000001</v>
      </c>
      <c r="E31" s="421">
        <f>E16+E30</f>
        <v>440.50819999999999</v>
      </c>
      <c r="F31" s="421">
        <f t="shared" si="3"/>
        <v>10.742999999999999</v>
      </c>
      <c r="G31" s="421">
        <f t="shared" si="3"/>
        <v>10.684000000000001</v>
      </c>
      <c r="H31" s="421">
        <f t="shared" si="3"/>
        <v>767.61599999999999</v>
      </c>
      <c r="I31" s="432">
        <f>I30+I16</f>
        <v>1229.5511999999999</v>
      </c>
      <c r="J31" s="433">
        <f>SUM(E31:H31)</f>
        <v>1229.5511999999999</v>
      </c>
      <c r="K31" s="466"/>
      <c r="L31" s="466"/>
      <c r="M31" s="466"/>
      <c r="N31" s="466"/>
      <c r="O31" s="440"/>
      <c r="P31" s="440"/>
      <c r="Q31" s="440"/>
      <c r="R31" s="440"/>
      <c r="S31" s="440"/>
      <c r="T31" s="440"/>
      <c r="U31" s="440"/>
      <c r="V31" s="440"/>
      <c r="W31" s="440"/>
      <c r="X31" s="440"/>
      <c r="Y31" s="440"/>
      <c r="Z31" s="440"/>
      <c r="AA31" s="440"/>
      <c r="AB31" s="440"/>
      <c r="AC31" s="440"/>
      <c r="AD31" s="440"/>
      <c r="AE31" s="440"/>
      <c r="AF31" s="440"/>
    </row>
    <row r="32" spans="1:32" x14ac:dyDescent="0.4">
      <c r="D32" s="316"/>
      <c r="E32" s="316"/>
      <c r="F32" s="316"/>
      <c r="G32" s="316"/>
      <c r="H32" s="316"/>
    </row>
    <row r="33" spans="1:32" x14ac:dyDescent="0.4">
      <c r="A33" s="1196" t="s">
        <v>744</v>
      </c>
      <c r="B33" s="1196"/>
      <c r="C33" s="1196"/>
      <c r="D33" s="1196"/>
      <c r="E33" s="1196"/>
      <c r="F33" s="1196"/>
      <c r="G33" s="1196"/>
      <c r="H33" s="1196"/>
    </row>
    <row r="34" spans="1:32" x14ac:dyDescent="0.4">
      <c r="A34" s="306"/>
      <c r="B34" s="306"/>
      <c r="C34" s="306"/>
      <c r="D34" s="306"/>
      <c r="E34" s="306"/>
      <c r="F34" s="306"/>
      <c r="G34" s="306"/>
      <c r="H34" s="306"/>
    </row>
    <row r="35" spans="1:32" s="315" customFormat="1" ht="54" customHeight="1" x14ac:dyDescent="0.35">
      <c r="A35" s="426" t="s">
        <v>730</v>
      </c>
      <c r="B35" s="426" t="s">
        <v>29</v>
      </c>
      <c r="C35" s="427" t="s">
        <v>725</v>
      </c>
      <c r="D35" s="423"/>
      <c r="E35" s="1191" t="s">
        <v>764</v>
      </c>
      <c r="F35" s="1191"/>
      <c r="G35" s="1191"/>
      <c r="H35" s="1191"/>
      <c r="J35" s="434"/>
      <c r="K35" s="444" t="s">
        <v>766</v>
      </c>
      <c r="L35" s="444" t="s">
        <v>767</v>
      </c>
      <c r="M35" s="444" t="s">
        <v>768</v>
      </c>
      <c r="N35" s="445" t="s">
        <v>769</v>
      </c>
      <c r="O35" s="444" t="s">
        <v>770</v>
      </c>
      <c r="P35" s="444" t="s">
        <v>771</v>
      </c>
      <c r="Q35" s="444" t="s">
        <v>772</v>
      </c>
      <c r="R35" s="445" t="s">
        <v>773</v>
      </c>
      <c r="S35" s="444" t="s">
        <v>774</v>
      </c>
      <c r="T35" s="444" t="s">
        <v>775</v>
      </c>
      <c r="U35" s="447" t="s">
        <v>776</v>
      </c>
      <c r="V35" s="447" t="s">
        <v>777</v>
      </c>
      <c r="W35" s="444" t="s">
        <v>778</v>
      </c>
      <c r="X35" s="444" t="s">
        <v>779</v>
      </c>
      <c r="Y35" s="444" t="s">
        <v>780</v>
      </c>
      <c r="Z35" s="444" t="s">
        <v>781</v>
      </c>
      <c r="AA35" s="444" t="s">
        <v>782</v>
      </c>
      <c r="AB35" s="444" t="s">
        <v>783</v>
      </c>
      <c r="AC35" s="444" t="s">
        <v>784</v>
      </c>
      <c r="AD35" s="445" t="s">
        <v>785</v>
      </c>
      <c r="AE35" s="444" t="s">
        <v>786</v>
      </c>
      <c r="AF35" s="441" t="s">
        <v>665</v>
      </c>
    </row>
    <row r="36" spans="1:32" x14ac:dyDescent="0.4">
      <c r="A36" s="428">
        <v>1</v>
      </c>
      <c r="B36" s="428" t="s">
        <v>10</v>
      </c>
      <c r="C36" s="429">
        <f xml:space="preserve"> AF36</f>
        <v>299.65000000000003</v>
      </c>
      <c r="D36" s="424"/>
      <c r="E36" s="1193" t="s">
        <v>653</v>
      </c>
      <c r="F36" s="1193"/>
      <c r="G36" s="1193"/>
      <c r="H36" s="431">
        <f>C36+C37</f>
        <v>932.33500000000004</v>
      </c>
      <c r="J36" s="428" t="s">
        <v>10</v>
      </c>
      <c r="K36" s="429">
        <f>SUMIF('inventory2022 (FINAL)'!J8:J31,"Good",'inventory2022 (FINAL)'!E8:E31)</f>
        <v>36</v>
      </c>
      <c r="L36" s="429">
        <f>SUMIF('inventory2022 (FINAL)'!$J$35:$J$36,"Good",'inventory2022 (FINAL)'!$E$35:$E$36)</f>
        <v>12.9</v>
      </c>
      <c r="M36" s="429">
        <f>SUMIF('inventory2022 (FINAL)'!$J$40:$J$53,"Good",'inventory2022 (FINAL)'!$E$40:$E$53)</f>
        <v>1.2999999999999998</v>
      </c>
      <c r="N36" s="429">
        <f>SUMIF('inventory2022 (FINAL)'!$J$56:$J$87,"Good",'inventory2022 (FINAL)'!$E$56:$E$87)</f>
        <v>19.5</v>
      </c>
      <c r="O36" s="446">
        <f>SUMIF('inventory2022 (FINAL)'!$J$91:$J$117,"Good",'inventory2022 (FINAL)'!$E$91:$E$117)</f>
        <v>16.899999999999999</v>
      </c>
      <c r="P36" s="446">
        <f>SUMIF('inventory2022 (FINAL)'!$J$121:$J$127,"Good",'inventory2022 (FINAL)'!$E$121:$E$127)</f>
        <v>0</v>
      </c>
      <c r="Q36" s="446">
        <f>SUMIF('inventory2022 (FINAL)'!$J$131,"Good",'inventory2022 (FINAL)'!$E$131)</f>
        <v>0</v>
      </c>
      <c r="R36" s="446">
        <f>SUMIF('inventory2022 (FINAL)'!$J$135:$J$144,"Good",'inventory2022 (FINAL)'!$E$135:$E$144)</f>
        <v>7.2</v>
      </c>
      <c r="S36" s="446">
        <f>SUMIF('inventory2022 (FINAL)'!$J$148:$J$149,"Good",'inventory2022 (FINAL)'!$E$148:$E$149)</f>
        <v>0</v>
      </c>
      <c r="T36" s="446">
        <f>SUMIF('inventory2022 (FINAL)'!$J$153:$J$163,"Good",'inventory2022 (FINAL)'!$E$153:$E$163)</f>
        <v>0</v>
      </c>
      <c r="U36" s="446">
        <f>SUMIF('inventory2022 (FINAL)'!$J$167:$J$174,"Good",'inventory2022 (FINAL)'!$E$167:$E$174)</f>
        <v>7.6</v>
      </c>
      <c r="V36" s="446">
        <f>SUMIF('inventory2022 (FINAL)'!$J$178,"Good",'inventory2022 (FINAL)'!$E$178)</f>
        <v>0</v>
      </c>
      <c r="W36" s="446">
        <f>SUMIF('inventory2022 (FINAL)'!$J$182:$J$194,"Good",'inventory2022 (FINAL)'!$E$182:$E$194)</f>
        <v>53.6</v>
      </c>
      <c r="X36" s="446">
        <f>SUMIF('inventory2022 (FINAL)'!$J$198:$J$201,"Good",'inventory2022 (FINAL)'!$E$198:$E$201)</f>
        <v>17</v>
      </c>
      <c r="Y36" s="446">
        <f>SUMIF('inventory2022 (FINAL)'!$J$205:$J$212,"Good",'inventory2022 (FINAL)'!$E$205:$E$212)</f>
        <v>31.3</v>
      </c>
      <c r="Z36" s="446">
        <f>SUMIF('inventory2022 (FINAL)'!$J$216:$J$229,"Good",'inventory2022 (FINAL)'!$E$216:$E$229)</f>
        <v>5</v>
      </c>
      <c r="AA36" s="446">
        <f>SUMIF('inventory2022 (FINAL)'!$J$233:$J$237,"Good",'inventory2022 (FINAL)'!$E$233:$E$237)</f>
        <v>11</v>
      </c>
      <c r="AB36" s="446">
        <f>SUMIF('inventory2022 (FINAL)'!$J$241:$J$251,"Good",'inventory2022 (FINAL)'!$E$241:$E$251)</f>
        <v>4.67</v>
      </c>
      <c r="AC36" s="446">
        <f>SUMIF('inventory2022 (FINAL)'!$J$255:$J$271,"Good",'inventory2022 (FINAL)'!$E$255:$E$271)</f>
        <v>27.330000000000002</v>
      </c>
      <c r="AD36" s="446">
        <f>SUMIF('inventory2022 (FINAL)'!$J$275:$J$282,"Good",'inventory2022 (FINAL)'!$E$275:$E$282)</f>
        <v>34.549999999999997</v>
      </c>
      <c r="AE36" s="446">
        <f>SUMIF('inventory2022 (FINAL)'!$J$286:$J$293,"Good",'inventory2022 (FINAL)'!$E$286:$E$293)</f>
        <v>13.8</v>
      </c>
      <c r="AF36" s="446">
        <f>SUM(K36:AE36)</f>
        <v>299.65000000000003</v>
      </c>
    </row>
    <row r="37" spans="1:32" x14ac:dyDescent="0.4">
      <c r="A37" s="428">
        <v>2</v>
      </c>
      <c r="B37" s="428" t="s">
        <v>12</v>
      </c>
      <c r="C37" s="429">
        <f>AF37</f>
        <v>632.68500000000006</v>
      </c>
      <c r="D37" s="424"/>
      <c r="E37" s="1193" t="s">
        <v>654</v>
      </c>
      <c r="F37" s="1193"/>
      <c r="G37" s="1193"/>
      <c r="H37" s="431">
        <f>C38+C39</f>
        <v>311.68</v>
      </c>
      <c r="J37" s="428" t="s">
        <v>12</v>
      </c>
      <c r="K37" s="429">
        <f>SUMIF('inventory2022 (FINAL)'!J8:J31,"Fair",'inventory2022 (FINAL)'!E8:E31)</f>
        <v>46.150000000000006</v>
      </c>
      <c r="L37" s="429">
        <f>SUMIF('inventory2022 (FINAL)'!$J$35:$J$36,"Fair",'inventory2022 (FINAL)'!$E$35:$E$36)</f>
        <v>5.6</v>
      </c>
      <c r="M37" s="429">
        <f>SUMIF('inventory2022 (FINAL)'!$J$40:$J$53,"Fair",'inventory2022 (FINAL)'!$E$40:$E$53)</f>
        <v>11.3</v>
      </c>
      <c r="N37" s="429">
        <f>SUMIF('inventory2022 (FINAL)'!$J$56:$J$87,"Fair",'inventory2022 (FINAL)'!$E$56:$E$87)</f>
        <v>68.850000000000009</v>
      </c>
      <c r="O37" s="446">
        <f>SUMIF('inventory2022 (FINAL)'!$J$91:$J$117,"Fair",'inventory2022 (FINAL)'!$E$91:$E$117)</f>
        <v>45.4</v>
      </c>
      <c r="P37" s="446">
        <f>SUMIF('inventory2022 (FINAL)'!$J$121:$J$127,"Fair",'inventory2022 (FINAL)'!$E$121:$E$127)</f>
        <v>0</v>
      </c>
      <c r="Q37" s="446">
        <f>SUMIF('inventory2022 (FINAL)'!$J$131,"Fair",'inventory2022 (FINAL)'!$E$131)</f>
        <v>0</v>
      </c>
      <c r="R37" s="446">
        <f>SUMIF('inventory2022 (FINAL)'!$J$135:$J$144,"Fair",'inventory2022 (FINAL)'!$E$135:$E$144)</f>
        <v>12.3</v>
      </c>
      <c r="S37" s="446">
        <f>SUMIF('inventory2022 (FINAL)'!$J$148:$J$149,"Fair",'inventory2022 (FINAL)'!$E$148:$E$149)</f>
        <v>7.25</v>
      </c>
      <c r="T37" s="446">
        <f>SUMIF('inventory2022 (FINAL)'!$J$153:$J$163,"Fair",'inventory2022 (FINAL)'!$E$153:$E$163)</f>
        <v>10.1</v>
      </c>
      <c r="U37" s="446">
        <f>SUMIF('inventory2022 (FINAL)'!$J$167:$J$174,"Fair",'inventory2022 (FINAL)'!$E$167:$E$174)</f>
        <v>32.903999999999996</v>
      </c>
      <c r="V37" s="446">
        <f>SUMIF('inventory2022 (FINAL)'!$J$178,"Fair",'inventory2022 (FINAL)'!$E$178)</f>
        <v>8.7409999999999997</v>
      </c>
      <c r="W37" s="446">
        <f>SUMIF('inventory2022 (FINAL)'!$J$182:$J$194,"Fair",'inventory2022 (FINAL)'!$E$182:$E$194)</f>
        <v>63.160000000000004</v>
      </c>
      <c r="X37" s="446">
        <f>SUMIF('inventory2022 (FINAL)'!$J$198:$J$201,"Fair",'inventory2022 (FINAL)'!$E$198:$E$201)</f>
        <v>11</v>
      </c>
      <c r="Y37" s="446">
        <f>SUMIF('inventory2022 (FINAL)'!$J$205:$J$212,"Fair",'inventory2022 (FINAL)'!$E$205:$E$212)</f>
        <v>12.700000000000001</v>
      </c>
      <c r="Z37" s="446">
        <f>SUMIF('inventory2022 (FINAL)'!$J$216:$J$229,"Fair",'inventory2022 (FINAL)'!$E$216:$E$229)</f>
        <v>61.9</v>
      </c>
      <c r="AA37" s="446">
        <f>SUMIF('inventory2022 (FINAL)'!$J$233:$J$237,"Fair",'inventory2022 (FINAL)'!$E$233:$E$237)</f>
        <v>13.6</v>
      </c>
      <c r="AB37" s="446">
        <f>SUMIF('inventory2022 (FINAL)'!$J$241:$J$251,"Fair",'inventory2022 (FINAL)'!$E$241:$E$251)</f>
        <v>7.96</v>
      </c>
      <c r="AC37" s="446">
        <f>SUMIF('inventory2022 (FINAL)'!$J$255:$J$271,"Fair",'inventory2022 (FINAL)'!$E$255:$E$271)</f>
        <v>98.65</v>
      </c>
      <c r="AD37" s="446">
        <f>SUMIF('inventory2022 (FINAL)'!$J$275:$J$282,"Fair",'inventory2022 (FINAL)'!$E$275:$E$282)</f>
        <v>47.62</v>
      </c>
      <c r="AE37" s="446">
        <f>SUMIF('inventory2022 (FINAL)'!$J$286:$J$293,"Fair",'inventory2022 (FINAL)'!$E$286:$E$293)</f>
        <v>67.499999999999986</v>
      </c>
      <c r="AF37" s="446">
        <f>SUM(K37:AE37)</f>
        <v>632.68500000000006</v>
      </c>
    </row>
    <row r="38" spans="1:32" x14ac:dyDescent="0.4">
      <c r="A38" s="428">
        <v>3</v>
      </c>
      <c r="B38" s="428" t="s">
        <v>33</v>
      </c>
      <c r="C38" s="429">
        <f>AF38</f>
        <v>196.92</v>
      </c>
      <c r="D38" s="424"/>
      <c r="E38" s="1192" t="s">
        <v>754</v>
      </c>
      <c r="F38" s="1192"/>
      <c r="G38" s="1192"/>
      <c r="H38" s="450">
        <f>SUM(H36:H37)</f>
        <v>1244.0150000000001</v>
      </c>
      <c r="J38" s="428" t="s">
        <v>33</v>
      </c>
      <c r="K38" s="429">
        <f>SUMIF('inventory2022 (FINAL)'!J8:J31,"Poor",'inventory2022 (FINAL)'!E8:E31)</f>
        <v>8.8000000000000007</v>
      </c>
      <c r="L38" s="429">
        <f>SUMIF('inventory2022 (FINAL)'!$J$35:$J$36,"Poor",'inventory2022 (FINAL)'!$E$35:$E$36)</f>
        <v>0</v>
      </c>
      <c r="M38" s="429">
        <f>SUMIF('inventory2022 (FINAL)'!$J$40:$J$53,"Poor",'inventory2022 (FINAL)'!$E$40:$E$53)</f>
        <v>12.2</v>
      </c>
      <c r="N38" s="429">
        <f>SUMIF('inventory2022 (FINAL)'!$J$56:$J$87,"Poor",'inventory2022 (FINAL)'!$E$56:$E$87)</f>
        <v>19.5</v>
      </c>
      <c r="O38" s="446">
        <f>SUMIF('inventory2022 (FINAL)'!$J$91:$J$117,"Poor",'inventory2022 (FINAL)'!$E$91:$E$117)</f>
        <v>18.7</v>
      </c>
      <c r="P38" s="446">
        <f>SUMIF('inventory2022 (FINAL)'!$J$121:$J$127,"Poor",'inventory2022 (FINAL)'!$E$121:$E$127)</f>
        <v>25.45</v>
      </c>
      <c r="Q38" s="446">
        <f>SUMIF('inventory2022 (FINAL)'!$J$131,"Poor",'inventory2022 (FINAL)'!$E$131)</f>
        <v>3.1</v>
      </c>
      <c r="R38" s="446">
        <f>SUMIF('inventory2022 (FINAL)'!$J$135:$J$144,"Poor",'inventory2022 (FINAL)'!$E$135:$E$144)</f>
        <v>26.799999999999997</v>
      </c>
      <c r="S38" s="446">
        <f>SUMIF('inventory2022 (FINAL)'!$J$148:$J$149,"Poor",'inventory2022 (FINAL)'!$E$148:$E$149)</f>
        <v>0</v>
      </c>
      <c r="T38" s="446">
        <f>SUMIF('inventory2022 (FINAL)'!$J$153:$J$163,"Poor",'inventory2022 (FINAL)'!$E$153:$E$163)</f>
        <v>48.699999999999996</v>
      </c>
      <c r="U38" s="446">
        <f>SUMIF('inventory2022 (FINAL)'!$J$167:$J$174,"Poor",'inventory2022 (FINAL)'!$E$167:$E$174)</f>
        <v>0</v>
      </c>
      <c r="V38" s="446">
        <f>SUMIF('inventory2022 (FINAL)'!$J$178,"Poor",'inventory2022 (FINAL)'!$E$178)</f>
        <v>0</v>
      </c>
      <c r="W38" s="446">
        <f>SUMIF('inventory2022 (FINAL)'!$J$182:$J$194,"Poor",'inventory2022 (FINAL)'!$E$182:$E$194)</f>
        <v>0.2</v>
      </c>
      <c r="X38" s="446">
        <f>SUMIF('inventory2022 (FINAL)'!$J$198:$J$201,"Poor",'inventory2022 (FINAL)'!$E$198:$E$201)</f>
        <v>0</v>
      </c>
      <c r="Y38" s="446">
        <f>SUMIF('inventory2022 (FINAL)'!$J$205:$J$212,"Poor",'inventory2022 (FINAL)'!$E$205:$E$212)</f>
        <v>0</v>
      </c>
      <c r="Z38" s="446">
        <f>SUMIF('inventory2022 (FINAL)'!$J$216:$J$229,"Poor",'inventory2022 (FINAL)'!$E$216:$E$229)</f>
        <v>12</v>
      </c>
      <c r="AA38" s="446">
        <f>SUMIF('inventory2022 (FINAL)'!$J$233:$J$237,"Poor",'inventory2022 (FINAL)'!$E$233:$E$237)</f>
        <v>0</v>
      </c>
      <c r="AB38" s="446">
        <f>SUMIF('inventory2022 (FINAL)'!$J$241:$J$251,"Poor",'inventory2022 (FINAL)'!$E$241:$E$251)</f>
        <v>15.969999999999999</v>
      </c>
      <c r="AC38" s="446">
        <f>SUMIF('inventory2022 (FINAL)'!$J$255:$J$271,"Poor",'inventory2022 (FINAL)'!$E$255:$E$271)</f>
        <v>0</v>
      </c>
      <c r="AD38" s="446">
        <f>SUMIF('inventory2022 (FINAL)'!$J$275:$J$282,"Poor",'inventory2022 (FINAL)'!$E$275:$E$282)</f>
        <v>5.5</v>
      </c>
      <c r="AE38" s="446">
        <f>SUMIF('inventory2022 (FINAL)'!$J$286:$J$293,"Poor",'inventory2022 (FINAL)'!$E$286:$E$293)</f>
        <v>0</v>
      </c>
      <c r="AF38" s="446">
        <f>SUM(K38:AE38)</f>
        <v>196.92</v>
      </c>
    </row>
    <row r="39" spans="1:32" x14ac:dyDescent="0.4">
      <c r="A39" s="428">
        <v>4</v>
      </c>
      <c r="B39" s="428" t="s">
        <v>41</v>
      </c>
      <c r="C39" s="429">
        <f>AF39</f>
        <v>114.76</v>
      </c>
      <c r="D39" s="424"/>
      <c r="E39" s="313"/>
      <c r="F39" s="313"/>
      <c r="G39" s="313"/>
      <c r="H39" s="313"/>
      <c r="J39" s="428" t="s">
        <v>41</v>
      </c>
      <c r="K39" s="429">
        <f>SUMIF('inventory2022 (FINAL)'!J8:J31,"Bad",'inventory2022 (FINAL)'!E8:E31)</f>
        <v>7.6</v>
      </c>
      <c r="L39" s="429">
        <f>SUMIF('inventory2022 (FINAL)'!$J$35:$J$36,"Bad",'inventory2022 (FINAL)'!$E$35:$E$36)</f>
        <v>0</v>
      </c>
      <c r="M39" s="429">
        <f>SUMIF('inventory2022 (FINAL)'!$J$40:$J$53,"Bad",'inventory2022 (FINAL)'!$E$40:$E$53)</f>
        <v>24.499999999999996</v>
      </c>
      <c r="N39" s="429">
        <f>SUMIF('inventory2022 (FINAL)'!$J$56:$J$87,"Bad",'inventory2022 (FINAL)'!$E$56:$E$87)</f>
        <v>0</v>
      </c>
      <c r="O39" s="446">
        <f>SUMIF('inventory2022 (FINAL)'!$J$91:$J$117,"Bad",'inventory2022 (FINAL)'!$E$91:$E$117)</f>
        <v>21.5</v>
      </c>
      <c r="P39" s="446">
        <f>SUMIF('inventory2022 (FINAL)'!$J$121:$J$127,"Bad",'inventory2022 (FINAL)'!$E$121:$E$127)</f>
        <v>17</v>
      </c>
      <c r="Q39" s="446">
        <f>SUMIF('inventory2022 (FINAL)'!$J$131,"Bad",'inventory2022 (FINAL)'!$E$131)</f>
        <v>0</v>
      </c>
      <c r="R39" s="446">
        <f>SUMIF('inventory2022 (FINAL)'!$J$135:$J$144,"Bad",'inventory2022 (FINAL)'!$E$135:$E$144)</f>
        <v>7.8</v>
      </c>
      <c r="S39" s="446">
        <f>SUMIF('inventory2022 (FINAL)'!$J$148:$J$149,"Bad",'inventory2022 (FINAL)'!$E$148:$E$149)</f>
        <v>0</v>
      </c>
      <c r="T39" s="446">
        <f>SUMIF('inventory2022 (FINAL)'!$J$153:$J$163,"Bad",'inventory2022 (FINAL)'!$E$153:$E$163)</f>
        <v>3.2</v>
      </c>
      <c r="U39" s="446">
        <f>SUMIF('inventory2022 (FINAL)'!$J$167:$J$174,"Bad",'inventory2022 (FINAL)'!$E$167:$E$174)</f>
        <v>1.58</v>
      </c>
      <c r="V39" s="446">
        <f>SUMIF('inventory2022 (FINAL)'!$J$178,"Bad",'inventory2022 (FINAL)'!$E$178)</f>
        <v>0</v>
      </c>
      <c r="W39" s="446">
        <f>SUMIF('inventory2022 (FINAL)'!$J$182:$J$194,"Bad",'inventory2022 (FINAL)'!$E$182:$E$194)</f>
        <v>0</v>
      </c>
      <c r="X39" s="446">
        <f>SUMIF('inventory2022 (FINAL)'!$J$198:$J$201,"Bad",'inventory2022 (FINAL)'!$E$198:$E$201)</f>
        <v>0</v>
      </c>
      <c r="Y39" s="446">
        <f>SUMIF('inventory2022 (FINAL)'!$J$205:$J$212,"Bad",'inventory2022 (FINAL)'!$E$205:$E$212)</f>
        <v>5</v>
      </c>
      <c r="Z39" s="446">
        <f>SUMIF('inventory2022 (FINAL)'!$J$216:$J$229,"Bad",'inventory2022 (FINAL)'!$E$216:$E$229)</f>
        <v>9.6999999999999993</v>
      </c>
      <c r="AA39" s="446">
        <f>SUMIF('inventory2022 (FINAL)'!$J$233:$J$237,"Bad",'inventory2022 (FINAL)'!$E$233:$E$237)</f>
        <v>3</v>
      </c>
      <c r="AB39" s="446">
        <f>SUMIF('inventory2022 (FINAL)'!$J$241:$J$251,"Bad",'inventory2022 (FINAL)'!$E$241:$E$251)</f>
        <v>7.18</v>
      </c>
      <c r="AC39" s="446">
        <f>SUMIF('inventory2022 (FINAL)'!$J$255:$J$271,"Bad",'inventory2022 (FINAL)'!$E$255:$E$271)</f>
        <v>3.4</v>
      </c>
      <c r="AD39" s="446">
        <f>SUMIF('inventory2022 (FINAL)'!$J$275:$J$282,"Bad",'inventory2022 (FINAL)'!$E$275:$E$282)</f>
        <v>0</v>
      </c>
      <c r="AE39" s="446">
        <f>SUMIF('inventory2022 (FINAL)'!$J$286:$J$293,"Bad",'inventory2022 (FINAL)'!$E$286:$E$293)</f>
        <v>3.3</v>
      </c>
      <c r="AF39" s="446">
        <f>SUM(K39:AE39)</f>
        <v>114.76</v>
      </c>
    </row>
    <row r="40" spans="1:32" x14ac:dyDescent="0.4">
      <c r="A40" s="1190" t="s">
        <v>754</v>
      </c>
      <c r="B40" s="1190"/>
      <c r="C40" s="430">
        <f>SUM(C36:C39)</f>
        <v>1244.0150000000001</v>
      </c>
      <c r="D40" s="424"/>
      <c r="E40" s="313"/>
      <c r="F40" s="313"/>
      <c r="G40" s="313"/>
      <c r="H40" s="313"/>
      <c r="J40" s="448"/>
      <c r="K40" s="467">
        <f>SUM(K36:K39)</f>
        <v>98.55</v>
      </c>
      <c r="L40" s="467">
        <f t="shared" ref="L40:AE40" si="4">SUM(L36:L39)</f>
        <v>18.5</v>
      </c>
      <c r="M40" s="467">
        <f>SUM(M36:M39)</f>
        <v>49.3</v>
      </c>
      <c r="N40" s="467">
        <f t="shared" si="4"/>
        <v>107.85000000000001</v>
      </c>
      <c r="O40" s="449">
        <f t="shared" si="4"/>
        <v>102.5</v>
      </c>
      <c r="P40" s="449">
        <f t="shared" si="4"/>
        <v>42.45</v>
      </c>
      <c r="Q40" s="449">
        <f t="shared" si="4"/>
        <v>3.1</v>
      </c>
      <c r="R40" s="449">
        <f t="shared" si="4"/>
        <v>54.099999999999994</v>
      </c>
      <c r="S40" s="449">
        <f t="shared" si="4"/>
        <v>7.25</v>
      </c>
      <c r="T40" s="449">
        <f t="shared" si="4"/>
        <v>62</v>
      </c>
      <c r="U40" s="449">
        <f t="shared" si="4"/>
        <v>42.083999999999996</v>
      </c>
      <c r="V40" s="449">
        <f t="shared" si="4"/>
        <v>8.7409999999999997</v>
      </c>
      <c r="W40" s="449">
        <f t="shared" si="4"/>
        <v>116.96000000000001</v>
      </c>
      <c r="X40" s="449">
        <f t="shared" si="4"/>
        <v>28</v>
      </c>
      <c r="Y40" s="449">
        <f t="shared" si="4"/>
        <v>49</v>
      </c>
      <c r="Z40" s="449">
        <f t="shared" si="4"/>
        <v>88.600000000000009</v>
      </c>
      <c r="AA40" s="449">
        <f t="shared" si="4"/>
        <v>27.6</v>
      </c>
      <c r="AB40" s="449">
        <f t="shared" si="4"/>
        <v>35.78</v>
      </c>
      <c r="AC40" s="449">
        <f t="shared" si="4"/>
        <v>129.38</v>
      </c>
      <c r="AD40" s="449">
        <f t="shared" si="4"/>
        <v>87.669999999999987</v>
      </c>
      <c r="AE40" s="449">
        <f t="shared" si="4"/>
        <v>84.59999999999998</v>
      </c>
      <c r="AF40" s="449">
        <f>SUM(AF36:AF39)</f>
        <v>1244.0150000000001</v>
      </c>
    </row>
    <row r="41" spans="1:32" x14ac:dyDescent="0.4">
      <c r="C41" s="313"/>
      <c r="D41" s="313"/>
    </row>
    <row r="42" spans="1:32" x14ac:dyDescent="0.4">
      <c r="C42" s="313"/>
      <c r="D42" s="313"/>
    </row>
    <row r="43" spans="1:32" s="329" customFormat="1" ht="18" customHeight="1" x14ac:dyDescent="0.35">
      <c r="B43" s="355" t="s">
        <v>755</v>
      </c>
      <c r="E43" s="331" t="s">
        <v>757</v>
      </c>
      <c r="I43" s="331"/>
      <c r="J43" s="327"/>
      <c r="K43" s="442"/>
      <c r="L43" s="442"/>
      <c r="M43" s="442"/>
      <c r="N43" s="442"/>
      <c r="O43" s="442"/>
      <c r="P43" s="442"/>
      <c r="Q43" s="442"/>
      <c r="R43" s="442"/>
      <c r="S43" s="442"/>
      <c r="T43" s="442"/>
      <c r="U43" s="442"/>
      <c r="V43" s="442"/>
      <c r="W43" s="442"/>
      <c r="X43" s="442"/>
      <c r="Y43" s="442"/>
      <c r="Z43" s="442"/>
      <c r="AA43" s="442"/>
      <c r="AB43" s="442"/>
      <c r="AC43" s="442"/>
      <c r="AD43" s="442"/>
      <c r="AE43" s="442"/>
      <c r="AF43" s="442"/>
    </row>
    <row r="44" spans="1:32" s="329" customFormat="1" ht="18" customHeight="1" x14ac:dyDescent="0.35">
      <c r="B44" s="355"/>
      <c r="E44" s="331"/>
      <c r="F44" s="331"/>
      <c r="G44" s="331"/>
      <c r="I44" s="331"/>
      <c r="J44" s="469"/>
      <c r="K44" s="427" t="s">
        <v>739</v>
      </c>
      <c r="L44" s="427" t="s">
        <v>740</v>
      </c>
      <c r="M44" s="427" t="s">
        <v>741</v>
      </c>
      <c r="N44" s="427" t="s">
        <v>742</v>
      </c>
      <c r="O44" s="468"/>
      <c r="P44" s="442"/>
      <c r="Q44" s="442"/>
      <c r="R44" s="442"/>
      <c r="S44" s="442"/>
      <c r="T44" s="442"/>
      <c r="U44" s="442"/>
      <c r="V44" s="442"/>
      <c r="W44" s="442"/>
      <c r="X44" s="442"/>
      <c r="Y44" s="442"/>
      <c r="Z44" s="442"/>
      <c r="AA44" s="442"/>
      <c r="AB44" s="442"/>
      <c r="AC44" s="442"/>
      <c r="AD44" s="442"/>
      <c r="AE44" s="442"/>
      <c r="AF44" s="442"/>
    </row>
    <row r="45" spans="1:32" s="329" customFormat="1" ht="18" customHeight="1" x14ac:dyDescent="0.4">
      <c r="B45" s="355"/>
      <c r="E45" s="331"/>
      <c r="G45" s="331"/>
      <c r="I45" s="331"/>
      <c r="J45" s="428" t="s">
        <v>10</v>
      </c>
      <c r="K45" s="468">
        <f>SUMIF('inventory2022 (FINAL)'!$J$8:$J$294,"Good",'inventory2022 (FINAL)'!$F$8:$F$294)</f>
        <v>221.18819999999997</v>
      </c>
      <c r="L45" s="468">
        <f>SUMIF('inventory2022 (FINAL)'!$J$8:$J$294,"Good",'inventory2022 (FINAL)'!$G$8:$G$294)</f>
        <v>2.0830000000000002</v>
      </c>
      <c r="M45" s="468">
        <f>SUMIF('inventory2022 (FINAL)'!$J$8:$J$294,"Good",'inventory2022 (FINAL)'!$H$8:$H$294)</f>
        <v>3.42</v>
      </c>
      <c r="N45" s="468">
        <f>SUMIF('inventory2022 (FINAL)'!$J$8:$J$294,"Good",'inventory2022 (FINAL)'!$I$8:$I$294)</f>
        <v>76.465999999999994</v>
      </c>
      <c r="O45" s="468">
        <f>SUM(K45:N45)</f>
        <v>303.15719999999993</v>
      </c>
      <c r="P45" s="442"/>
      <c r="Q45" s="442"/>
      <c r="R45" s="442"/>
      <c r="S45" s="442"/>
      <c r="T45" s="442"/>
      <c r="U45" s="442"/>
      <c r="V45" s="442"/>
      <c r="W45" s="442"/>
      <c r="X45" s="442"/>
      <c r="Y45" s="442"/>
      <c r="Z45" s="442"/>
      <c r="AA45" s="442"/>
      <c r="AB45" s="442"/>
      <c r="AC45" s="442"/>
      <c r="AD45" s="442"/>
      <c r="AE45" s="442"/>
      <c r="AF45" s="442"/>
    </row>
    <row r="46" spans="1:32" s="329" customFormat="1" ht="18" customHeight="1" x14ac:dyDescent="0.4">
      <c r="B46" s="356" t="s">
        <v>147</v>
      </c>
      <c r="E46" s="360" t="s">
        <v>154</v>
      </c>
      <c r="J46" s="428" t="s">
        <v>12</v>
      </c>
      <c r="K46" s="468">
        <f>SUMIF('inventory2022 (FINAL)'!$J$8:$J$294,"Fair",'inventory2022 (FINAL)'!$F$8:$F$294)</f>
        <v>171.76400000000004</v>
      </c>
      <c r="L46" s="468">
        <f>SUMIF('inventory2022 (FINAL)'!$J$8:$J$294,"Fair",'inventory2022 (FINAL)'!$G$8:$G$294)</f>
        <v>0</v>
      </c>
      <c r="M46" s="468">
        <f>SUMIF('inventory2022 (FINAL)'!$J$8:$J$294,"Fair",'inventory2022 (FINAL)'!$H$8:$H$294)</f>
        <v>1.72</v>
      </c>
      <c r="N46" s="468">
        <f>SUMIF('inventory2022 (FINAL)'!$J$8:$J$294,"Fair",'inventory2022 (FINAL)'!$I$8:$I$294)</f>
        <v>450.97199999999998</v>
      </c>
      <c r="O46" s="468">
        <f>SUM(K46:N46)</f>
        <v>624.45600000000002</v>
      </c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  <c r="AB46" s="442"/>
      <c r="AC46" s="442"/>
      <c r="AD46" s="442"/>
      <c r="AE46" s="442"/>
      <c r="AF46" s="442"/>
    </row>
    <row r="47" spans="1:32" s="354" customFormat="1" ht="18" customHeight="1" x14ac:dyDescent="0.4">
      <c r="B47" s="355" t="s">
        <v>149</v>
      </c>
      <c r="E47" s="350" t="s">
        <v>758</v>
      </c>
      <c r="F47" s="329"/>
      <c r="G47" s="329"/>
      <c r="H47" s="329"/>
      <c r="I47" s="331"/>
      <c r="J47" s="428" t="s">
        <v>33</v>
      </c>
      <c r="K47" s="468">
        <f>SUMIF('inventory2022 (FINAL)'!$J$8:$J$294,"Poor",'inventory2022 (FINAL)'!$F$8:$F$294)</f>
        <v>33.223999999999997</v>
      </c>
      <c r="L47" s="468">
        <f>SUMIF('inventory2022 (FINAL)'!$J$8:$J$294,"Poor",'inventory2022 (FINAL)'!$G$8:$G$294)</f>
        <v>2.5499999999999998</v>
      </c>
      <c r="M47" s="468">
        <f>SUMIF('inventory2022 (FINAL)'!$J$8:$J$294,"Poor",'inventory2022 (FINAL)'!$H$8:$H$294)</f>
        <v>0</v>
      </c>
      <c r="N47" s="468">
        <f>SUMIF('inventory2022 (FINAL)'!$J$8:$J$294,"Poor",'inventory2022 (FINAL)'!$I$8:$I$294)</f>
        <v>149.18100000000001</v>
      </c>
      <c r="O47" s="468">
        <f>SUM(K47:N47)</f>
        <v>184.95500000000001</v>
      </c>
      <c r="P47" s="442"/>
      <c r="Q47" s="442"/>
      <c r="R47" s="442"/>
      <c r="S47" s="442"/>
      <c r="T47" s="442"/>
      <c r="U47" s="442"/>
      <c r="V47" s="442"/>
      <c r="W47" s="442"/>
      <c r="X47" s="442"/>
      <c r="Y47" s="442"/>
      <c r="Z47" s="442"/>
      <c r="AA47" s="442"/>
      <c r="AB47" s="442"/>
      <c r="AC47" s="442"/>
      <c r="AD47" s="442"/>
      <c r="AE47" s="442"/>
      <c r="AF47" s="442"/>
    </row>
    <row r="48" spans="1:32" s="354" customFormat="1" ht="18" customHeight="1" x14ac:dyDescent="0.4">
      <c r="B48" s="355"/>
      <c r="E48" s="332"/>
      <c r="F48" s="329"/>
      <c r="G48" s="329"/>
      <c r="H48" s="329"/>
      <c r="I48" s="329"/>
      <c r="J48" s="428" t="s">
        <v>41</v>
      </c>
      <c r="K48" s="468">
        <f>SUMIF('inventory2022 (FINAL)'!$J$8:$J$294,"Bad",'inventory2022 (FINAL)'!$F$8:$F$294)</f>
        <v>14.332000000000001</v>
      </c>
      <c r="L48" s="468">
        <f>SUMIF('inventory2022 (FINAL)'!$J$8:$J$294,"Bad",'inventory2022 (FINAL)'!$G$8:$G$294)</f>
        <v>6.1099999999999994</v>
      </c>
      <c r="M48" s="468">
        <f>SUMIF('inventory2022 (FINAL)'!$J$8:$J$294,"Bad",'inventory2022 (FINAL)'!$H$8:$H$294)</f>
        <v>5.5439999999999996</v>
      </c>
      <c r="N48" s="468">
        <f>SUMIF('inventory2022 (FINAL)'!$J$8:$J$294,"Bad",'inventory2022 (FINAL)'!$I$8:$I$294)</f>
        <v>90.997</v>
      </c>
      <c r="O48" s="468">
        <f>SUM(K48:N48)</f>
        <v>116.983</v>
      </c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  <c r="AA48" s="442"/>
      <c r="AB48" s="442"/>
      <c r="AC48" s="442"/>
      <c r="AD48" s="442"/>
      <c r="AE48" s="442"/>
      <c r="AF48" s="442"/>
    </row>
    <row r="49" spans="2:32" s="354" customFormat="1" ht="18" customHeight="1" x14ac:dyDescent="0.35">
      <c r="B49" s="355"/>
      <c r="E49" s="332"/>
      <c r="F49" s="329"/>
      <c r="G49" s="329"/>
      <c r="H49" s="329"/>
      <c r="I49" s="329"/>
      <c r="J49" s="327"/>
      <c r="K49" s="442"/>
      <c r="L49" s="442"/>
      <c r="M49" s="442"/>
      <c r="N49" s="442"/>
      <c r="O49" s="470">
        <f>SUM(O45:O48)</f>
        <v>1229.5511999999999</v>
      </c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  <c r="AA49" s="442"/>
      <c r="AB49" s="442"/>
      <c r="AC49" s="442"/>
      <c r="AD49" s="442"/>
      <c r="AE49" s="442"/>
      <c r="AF49" s="442"/>
    </row>
    <row r="50" spans="2:32" s="354" customFormat="1" ht="15" customHeight="1" x14ac:dyDescent="0.35">
      <c r="B50" s="355" t="s">
        <v>756</v>
      </c>
      <c r="E50" s="350" t="s">
        <v>759</v>
      </c>
      <c r="F50" s="329"/>
      <c r="G50" s="329"/>
      <c r="H50" s="329"/>
      <c r="I50" s="329"/>
      <c r="J50" s="327"/>
      <c r="K50" s="442"/>
      <c r="L50" s="442"/>
      <c r="M50" s="442"/>
      <c r="N50" s="442"/>
      <c r="O50" s="442"/>
      <c r="P50" s="442"/>
      <c r="Q50" s="442"/>
      <c r="R50" s="442"/>
      <c r="S50" s="442"/>
      <c r="T50" s="442"/>
      <c r="U50" s="442"/>
      <c r="V50" s="442"/>
      <c r="W50" s="442"/>
      <c r="X50" s="442"/>
      <c r="Y50" s="442"/>
      <c r="Z50" s="442"/>
      <c r="AA50" s="442"/>
      <c r="AB50" s="442"/>
      <c r="AC50" s="442"/>
      <c r="AD50" s="442"/>
      <c r="AE50" s="442"/>
      <c r="AF50" s="442"/>
    </row>
    <row r="51" spans="2:32" s="354" customFormat="1" ht="15" customHeight="1" x14ac:dyDescent="0.35">
      <c r="B51" s="355"/>
      <c r="E51" s="332"/>
      <c r="F51" s="329"/>
      <c r="G51" s="329"/>
      <c r="H51" s="329"/>
      <c r="I51" s="329"/>
      <c r="J51" s="327"/>
      <c r="K51" s="442"/>
      <c r="L51" s="442"/>
      <c r="M51" s="442"/>
      <c r="N51" s="442"/>
      <c r="O51" s="442"/>
      <c r="P51" s="442"/>
      <c r="Q51" s="442"/>
      <c r="R51" s="442"/>
      <c r="S51" s="442"/>
      <c r="T51" s="442"/>
      <c r="U51" s="442"/>
      <c r="V51" s="442"/>
      <c r="W51" s="442"/>
      <c r="X51" s="442"/>
      <c r="Y51" s="442"/>
      <c r="Z51" s="442"/>
      <c r="AA51" s="442"/>
      <c r="AB51" s="442"/>
      <c r="AC51" s="442"/>
      <c r="AD51" s="442"/>
      <c r="AE51" s="442"/>
      <c r="AF51" s="442"/>
    </row>
    <row r="52" spans="2:32" s="354" customFormat="1" ht="15" customHeight="1" x14ac:dyDescent="0.35">
      <c r="B52" s="355"/>
      <c r="E52" s="350"/>
      <c r="F52" s="329"/>
      <c r="G52" s="329"/>
      <c r="H52" s="329"/>
      <c r="I52" s="329"/>
      <c r="J52" s="327"/>
      <c r="K52" s="442"/>
      <c r="L52" s="442"/>
      <c r="M52" s="442"/>
      <c r="N52" s="442"/>
      <c r="O52" s="442"/>
      <c r="P52" s="442"/>
      <c r="Q52" s="442"/>
      <c r="R52" s="442"/>
      <c r="S52" s="442"/>
      <c r="T52" s="442"/>
      <c r="U52" s="442"/>
      <c r="V52" s="442"/>
      <c r="W52" s="442"/>
      <c r="X52" s="442"/>
      <c r="Y52" s="442"/>
      <c r="Z52" s="442"/>
      <c r="AA52" s="442"/>
      <c r="AB52" s="442"/>
      <c r="AC52" s="442"/>
      <c r="AD52" s="442"/>
      <c r="AE52" s="442"/>
      <c r="AF52" s="442"/>
    </row>
    <row r="53" spans="2:32" s="354" customFormat="1" ht="15" customHeight="1" x14ac:dyDescent="0.35">
      <c r="B53" s="356" t="s">
        <v>153</v>
      </c>
      <c r="E53" s="318" t="s">
        <v>157</v>
      </c>
      <c r="F53" s="329"/>
      <c r="G53" s="329"/>
      <c r="H53" s="329"/>
      <c r="I53" s="329"/>
      <c r="J53" s="327"/>
      <c r="K53" s="442"/>
      <c r="L53" s="442"/>
      <c r="M53" s="442"/>
      <c r="N53" s="442"/>
      <c r="O53" s="442"/>
      <c r="P53" s="442"/>
      <c r="Q53" s="442"/>
      <c r="R53" s="442"/>
      <c r="S53" s="442"/>
      <c r="T53" s="442"/>
      <c r="U53" s="442"/>
      <c r="V53" s="442"/>
      <c r="W53" s="442"/>
      <c r="X53" s="442"/>
      <c r="Y53" s="442"/>
      <c r="Z53" s="442"/>
      <c r="AA53" s="442"/>
      <c r="AB53" s="442"/>
      <c r="AC53" s="442"/>
      <c r="AD53" s="442"/>
      <c r="AE53" s="442"/>
      <c r="AF53" s="442"/>
    </row>
    <row r="54" spans="2:32" s="354" customFormat="1" ht="15" customHeight="1" x14ac:dyDescent="0.35">
      <c r="B54" s="355" t="s">
        <v>155</v>
      </c>
      <c r="E54" s="332" t="s">
        <v>760</v>
      </c>
      <c r="F54" s="329"/>
      <c r="G54" s="329"/>
      <c r="H54" s="329"/>
      <c r="I54" s="362"/>
      <c r="J54" s="327"/>
      <c r="K54" s="442"/>
      <c r="L54" s="442"/>
      <c r="M54" s="442"/>
      <c r="N54" s="442"/>
      <c r="O54" s="442"/>
      <c r="P54" s="442"/>
      <c r="Q54" s="442"/>
      <c r="R54" s="442"/>
      <c r="S54" s="442"/>
      <c r="T54" s="442"/>
      <c r="U54" s="442"/>
      <c r="V54" s="442"/>
      <c r="W54" s="442"/>
      <c r="X54" s="442"/>
      <c r="Y54" s="442"/>
      <c r="Z54" s="442"/>
      <c r="AA54" s="442"/>
      <c r="AB54" s="442"/>
      <c r="AC54" s="442"/>
      <c r="AD54" s="442"/>
      <c r="AE54" s="442"/>
      <c r="AF54" s="442"/>
    </row>
    <row r="55" spans="2:32" s="354" customFormat="1" ht="15" customHeight="1" x14ac:dyDescent="0.35">
      <c r="B55" s="327"/>
      <c r="E55" s="332" t="s">
        <v>761</v>
      </c>
      <c r="F55" s="329"/>
      <c r="G55" s="329"/>
      <c r="H55" s="329"/>
      <c r="I55" s="329"/>
      <c r="J55" s="327"/>
      <c r="K55" s="442"/>
      <c r="L55" s="442"/>
      <c r="M55" s="442"/>
      <c r="N55" s="442"/>
      <c r="O55" s="442"/>
      <c r="P55" s="442"/>
      <c r="Q55" s="442"/>
      <c r="R55" s="442"/>
      <c r="S55" s="442"/>
      <c r="T55" s="442"/>
      <c r="U55" s="442"/>
      <c r="V55" s="442"/>
      <c r="W55" s="442"/>
      <c r="X55" s="442"/>
      <c r="Y55" s="442"/>
      <c r="Z55" s="442"/>
      <c r="AA55" s="442"/>
      <c r="AB55" s="442"/>
      <c r="AC55" s="442"/>
      <c r="AD55" s="442"/>
      <c r="AE55" s="442"/>
      <c r="AF55" s="442"/>
    </row>
    <row r="56" spans="2:32" s="354" customFormat="1" ht="15" customHeight="1" x14ac:dyDescent="0.35">
      <c r="B56" s="328"/>
      <c r="C56" s="329"/>
      <c r="D56" s="329"/>
      <c r="E56" s="329"/>
      <c r="F56" s="329"/>
      <c r="G56" s="329"/>
      <c r="H56" s="329"/>
      <c r="I56" s="329"/>
      <c r="J56" s="327"/>
      <c r="K56" s="442"/>
      <c r="L56" s="442"/>
      <c r="M56" s="442"/>
      <c r="N56" s="442"/>
      <c r="O56" s="442"/>
      <c r="P56" s="442"/>
      <c r="Q56" s="442"/>
      <c r="R56" s="442"/>
      <c r="S56" s="442"/>
      <c r="T56" s="442"/>
      <c r="U56" s="442"/>
      <c r="V56" s="442"/>
      <c r="W56" s="442"/>
      <c r="X56" s="442"/>
      <c r="Y56" s="442"/>
      <c r="Z56" s="442"/>
      <c r="AA56" s="442"/>
      <c r="AB56" s="442"/>
      <c r="AC56" s="442"/>
      <c r="AD56" s="442"/>
      <c r="AE56" s="442"/>
      <c r="AF56" s="442"/>
    </row>
    <row r="57" spans="2:32" s="354" customFormat="1" ht="15" customHeight="1" x14ac:dyDescent="0.35">
      <c r="B57" s="328"/>
      <c r="C57" s="332" t="s">
        <v>152</v>
      </c>
      <c r="D57" s="329"/>
      <c r="E57" s="329"/>
      <c r="F57" s="329"/>
      <c r="G57" s="329"/>
      <c r="H57" s="329"/>
      <c r="I57" s="329"/>
      <c r="J57" s="327"/>
      <c r="K57" s="442"/>
      <c r="L57" s="442"/>
      <c r="M57" s="442"/>
      <c r="N57" s="442"/>
      <c r="O57" s="442"/>
      <c r="P57" s="442"/>
      <c r="Q57" s="442"/>
      <c r="R57" s="442"/>
      <c r="S57" s="442"/>
      <c r="T57" s="442"/>
      <c r="U57" s="442"/>
      <c r="V57" s="442"/>
      <c r="W57" s="442"/>
      <c r="X57" s="442"/>
      <c r="Y57" s="442"/>
      <c r="Z57" s="442"/>
      <c r="AA57" s="442"/>
      <c r="AB57" s="442"/>
      <c r="AC57" s="442"/>
      <c r="AD57" s="442"/>
      <c r="AE57" s="442"/>
      <c r="AF57" s="442"/>
    </row>
    <row r="58" spans="2:32" s="354" customFormat="1" ht="15" customHeight="1" x14ac:dyDescent="0.35">
      <c r="B58" s="327"/>
      <c r="C58" s="329"/>
      <c r="D58" s="329"/>
      <c r="E58" s="329"/>
      <c r="F58" s="329"/>
      <c r="G58" s="329"/>
      <c r="H58" s="329"/>
      <c r="I58" s="329"/>
      <c r="J58" s="327"/>
      <c r="K58" s="442"/>
      <c r="L58" s="442"/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2"/>
      <c r="AA58" s="442"/>
      <c r="AB58" s="442"/>
      <c r="AC58" s="442"/>
      <c r="AD58" s="442"/>
      <c r="AE58" s="442"/>
      <c r="AF58" s="442"/>
    </row>
    <row r="59" spans="2:32" s="354" customFormat="1" ht="15" customHeight="1" x14ac:dyDescent="0.35">
      <c r="B59" s="327"/>
      <c r="C59" s="329"/>
      <c r="D59" s="329"/>
      <c r="E59" s="329"/>
      <c r="F59" s="329"/>
      <c r="G59" s="329"/>
      <c r="H59" s="329"/>
      <c r="I59" s="329"/>
      <c r="J59" s="327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  <c r="AA59" s="442"/>
      <c r="AB59" s="442"/>
      <c r="AC59" s="442"/>
      <c r="AD59" s="442"/>
      <c r="AE59" s="442"/>
      <c r="AF59" s="442"/>
    </row>
    <row r="60" spans="2:32" s="354" customFormat="1" ht="18" customHeight="1" x14ac:dyDescent="0.35">
      <c r="B60" s="327"/>
      <c r="C60" s="318" t="s">
        <v>762</v>
      </c>
      <c r="D60" s="329"/>
      <c r="E60" s="329"/>
      <c r="F60" s="329"/>
      <c r="G60" s="329"/>
      <c r="H60" s="329"/>
      <c r="I60" s="329"/>
      <c r="J60" s="327"/>
      <c r="K60" s="443"/>
      <c r="L60" s="443"/>
      <c r="M60" s="443"/>
      <c r="N60" s="443"/>
      <c r="O60" s="443"/>
      <c r="P60" s="443"/>
      <c r="Q60" s="443"/>
      <c r="R60" s="443"/>
      <c r="S60" s="443"/>
      <c r="T60" s="443"/>
      <c r="U60" s="443"/>
      <c r="V60" s="443"/>
      <c r="W60" s="443"/>
      <c r="X60" s="443"/>
      <c r="Y60" s="443"/>
      <c r="Z60" s="443"/>
      <c r="AA60" s="443"/>
      <c r="AB60" s="443"/>
      <c r="AC60" s="443"/>
      <c r="AD60" s="443"/>
      <c r="AE60" s="443"/>
      <c r="AF60" s="443"/>
    </row>
    <row r="61" spans="2:32" s="354" customFormat="1" ht="18" customHeight="1" x14ac:dyDescent="0.35">
      <c r="B61" s="327"/>
      <c r="C61" s="332" t="s">
        <v>763</v>
      </c>
      <c r="D61" s="329"/>
      <c r="E61" s="329"/>
      <c r="F61" s="329"/>
      <c r="G61" s="329"/>
      <c r="H61" s="329"/>
      <c r="I61" s="329"/>
      <c r="J61" s="327"/>
      <c r="K61" s="443"/>
      <c r="L61" s="443"/>
      <c r="M61" s="443"/>
      <c r="N61" s="443"/>
      <c r="O61" s="443"/>
      <c r="P61" s="443"/>
      <c r="Q61" s="443"/>
      <c r="R61" s="443"/>
      <c r="S61" s="443"/>
      <c r="T61" s="443"/>
      <c r="U61" s="443"/>
      <c r="V61" s="443"/>
      <c r="W61" s="443"/>
      <c r="X61" s="443"/>
      <c r="Y61" s="443"/>
      <c r="Z61" s="443"/>
      <c r="AA61" s="443"/>
      <c r="AB61" s="443"/>
      <c r="AC61" s="443"/>
      <c r="AD61" s="443"/>
      <c r="AE61" s="443"/>
      <c r="AF61" s="443"/>
    </row>
  </sheetData>
  <sortState xmlns:xlrd2="http://schemas.microsoft.com/office/spreadsheetml/2017/richdata2" ref="A8:F15">
    <sortCondition ref="A8"/>
  </sortState>
  <mergeCells count="10">
    <mergeCell ref="A1:H1"/>
    <mergeCell ref="A2:H2"/>
    <mergeCell ref="A3:H3"/>
    <mergeCell ref="A5:H5"/>
    <mergeCell ref="A33:H33"/>
    <mergeCell ref="A40:B40"/>
    <mergeCell ref="E35:H35"/>
    <mergeCell ref="E38:G38"/>
    <mergeCell ref="E37:G37"/>
    <mergeCell ref="E36:G36"/>
  </mergeCells>
  <printOptions horizontalCentered="1"/>
  <pageMargins left="0" right="0" top="1" bottom="0.54" header="0.41" footer="0"/>
  <pageSetup paperSize="9" scale="64" fitToWidth="0" orientation="portrait" horizontalDpi="1200" verticalDpi="1200" r:id="rId1"/>
  <headerFooter>
    <oddFooter>&amp;L&amp;"-,Italic"&amp;9&amp;K01+049&amp;F&amp;R&amp;"-,Italic"&amp;9&amp;K01+049Page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Z1000"/>
  <sheetViews>
    <sheetView workbookViewId="0">
      <selection activeCell="W38" sqref="W38"/>
    </sheetView>
  </sheetViews>
  <sheetFormatPr defaultColWidth="12.81640625" defaultRowHeight="15" customHeight="1" x14ac:dyDescent="0.35"/>
  <cols>
    <col min="1" max="1" width="12.26953125" style="478" customWidth="1"/>
    <col min="2" max="2" width="16.453125" style="478" customWidth="1"/>
    <col min="3" max="3" width="21.26953125" style="478" customWidth="1"/>
    <col min="4" max="4" width="19.7265625" style="478" customWidth="1"/>
    <col min="5" max="5" width="20.1796875" style="478" customWidth="1"/>
    <col min="6" max="6" width="25.7265625" style="478" customWidth="1"/>
    <col min="7" max="7" width="25.81640625" style="478" customWidth="1"/>
    <col min="8" max="8" width="33.1796875" style="478" customWidth="1"/>
    <col min="9" max="9" width="10.54296875" style="478" customWidth="1"/>
    <col min="10" max="10" width="12.26953125" style="478" customWidth="1"/>
    <col min="11" max="14" width="12.26953125" style="478" hidden="1" customWidth="1"/>
    <col min="15" max="26" width="12.26953125" style="478" customWidth="1"/>
    <col min="27" max="16384" width="12.81640625" style="478"/>
  </cols>
  <sheetData>
    <row r="1" spans="1:26" ht="15.5" x14ac:dyDescent="0.35">
      <c r="A1" s="1197" t="s">
        <v>787</v>
      </c>
      <c r="B1" s="1198"/>
      <c r="C1" s="1198"/>
      <c r="D1" s="1198"/>
      <c r="E1" s="477"/>
      <c r="F1" s="477"/>
      <c r="G1" s="477" t="s">
        <v>788</v>
      </c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</row>
    <row r="2" spans="1:26" ht="15.5" x14ac:dyDescent="0.35">
      <c r="A2" s="477"/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77"/>
      <c r="Q2" s="477"/>
      <c r="R2" s="477"/>
      <c r="S2" s="477"/>
      <c r="T2" s="477"/>
      <c r="U2" s="477"/>
      <c r="V2" s="477"/>
      <c r="W2" s="477"/>
      <c r="X2" s="477"/>
      <c r="Y2" s="477"/>
      <c r="Z2" s="477"/>
    </row>
    <row r="3" spans="1:26" ht="15.5" x14ac:dyDescent="0.35">
      <c r="A3" s="477"/>
      <c r="B3" s="479" t="s">
        <v>789</v>
      </c>
      <c r="C3" s="477"/>
      <c r="D3" s="477"/>
      <c r="E3" s="477"/>
      <c r="F3" s="477"/>
      <c r="G3" s="477"/>
      <c r="H3" s="477"/>
      <c r="I3" s="477"/>
      <c r="J3" s="477"/>
      <c r="K3" s="477"/>
      <c r="L3" s="477"/>
      <c r="M3" s="477"/>
      <c r="N3" s="477"/>
      <c r="O3" s="477"/>
      <c r="P3" s="477"/>
      <c r="Q3" s="477"/>
      <c r="R3" s="477"/>
      <c r="S3" s="477"/>
      <c r="T3" s="477"/>
      <c r="U3" s="477"/>
      <c r="V3" s="477"/>
      <c r="W3" s="477"/>
      <c r="X3" s="477"/>
      <c r="Y3" s="477"/>
      <c r="Z3" s="477"/>
    </row>
    <row r="4" spans="1:26" ht="15.5" x14ac:dyDescent="0.35">
      <c r="A4" s="477"/>
      <c r="B4" s="477" t="s">
        <v>790</v>
      </c>
      <c r="C4" s="477"/>
      <c r="D4" s="477"/>
      <c r="E4" s="477"/>
      <c r="F4" s="477"/>
      <c r="G4" s="477"/>
      <c r="H4" s="477"/>
      <c r="I4" s="477"/>
      <c r="J4" s="477"/>
      <c r="K4" s="477"/>
      <c r="L4" s="477"/>
      <c r="M4" s="477"/>
      <c r="N4" s="477"/>
      <c r="O4" s="477"/>
      <c r="P4" s="477"/>
      <c r="Q4" s="477"/>
      <c r="R4" s="477"/>
      <c r="S4" s="477"/>
      <c r="T4" s="477"/>
      <c r="U4" s="477"/>
      <c r="V4" s="477"/>
      <c r="W4" s="477"/>
      <c r="X4" s="477"/>
      <c r="Y4" s="477"/>
      <c r="Z4" s="477"/>
    </row>
    <row r="5" spans="1:26" ht="15.5" x14ac:dyDescent="0.35">
      <c r="A5" s="477"/>
      <c r="B5" s="480"/>
      <c r="C5" s="477"/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  <c r="P5" s="477"/>
      <c r="Q5" s="477"/>
      <c r="R5" s="477"/>
      <c r="S5" s="477"/>
      <c r="T5" s="477"/>
      <c r="U5" s="477"/>
      <c r="V5" s="477"/>
      <c r="W5" s="477"/>
      <c r="X5" s="477"/>
      <c r="Y5" s="477"/>
      <c r="Z5" s="477"/>
    </row>
    <row r="6" spans="1:26" ht="15.5" x14ac:dyDescent="0.35">
      <c r="A6" s="477"/>
      <c r="B6" s="481" t="s">
        <v>791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77"/>
      <c r="V6" s="477"/>
      <c r="W6" s="477"/>
      <c r="X6" s="477"/>
      <c r="Y6" s="477"/>
      <c r="Z6" s="477"/>
    </row>
    <row r="7" spans="1:26" ht="43.5" x14ac:dyDescent="0.35">
      <c r="A7" s="477"/>
      <c r="B7" s="482" t="s">
        <v>792</v>
      </c>
      <c r="C7" s="483" t="s">
        <v>793</v>
      </c>
      <c r="D7" s="483" t="s">
        <v>794</v>
      </c>
      <c r="E7" s="483" t="s">
        <v>795</v>
      </c>
      <c r="F7" s="483" t="s">
        <v>796</v>
      </c>
      <c r="G7" s="483" t="s">
        <v>797</v>
      </c>
      <c r="H7" s="483" t="s">
        <v>798</v>
      </c>
      <c r="I7" s="477"/>
      <c r="J7" s="477"/>
      <c r="K7" s="477"/>
      <c r="L7" s="477"/>
      <c r="M7" s="477"/>
      <c r="N7" s="477"/>
      <c r="O7" s="477"/>
      <c r="P7" s="477"/>
      <c r="Q7" s="477"/>
      <c r="R7" s="477"/>
      <c r="S7" s="477"/>
      <c r="T7" s="477"/>
      <c r="U7" s="477"/>
      <c r="V7" s="477"/>
      <c r="W7" s="477"/>
      <c r="X7" s="477"/>
      <c r="Y7" s="477"/>
      <c r="Z7" s="477"/>
    </row>
    <row r="8" spans="1:26" ht="15.5" x14ac:dyDescent="0.35">
      <c r="A8" s="477">
        <v>2021</v>
      </c>
      <c r="B8" s="484" t="s">
        <v>799</v>
      </c>
      <c r="C8" s="485"/>
      <c r="D8" s="485">
        <v>150</v>
      </c>
      <c r="E8" s="485">
        <f>IF(D8=150, 4572000, IF(D8=200, 4851000))</f>
        <v>4572000</v>
      </c>
      <c r="F8" s="485">
        <f>C8*E8</f>
        <v>0</v>
      </c>
      <c r="G8" s="486"/>
      <c r="H8" s="487" t="str">
        <f>IF(C8="","",(G8/F8 * 100))</f>
        <v/>
      </c>
      <c r="I8" s="477"/>
      <c r="J8" s="477"/>
      <c r="K8" s="477" t="b">
        <f>OR(C8&gt;=1,C9&gt;=1,C10&gt;=1)</f>
        <v>0</v>
      </c>
      <c r="L8" s="477">
        <f>IF(K8=TRUE,1,0)</f>
        <v>0</v>
      </c>
      <c r="M8" s="477" t="b">
        <f>C8&gt;=1</f>
        <v>0</v>
      </c>
      <c r="N8" s="477">
        <f>IF(M8=TRUE,1,0)</f>
        <v>0</v>
      </c>
      <c r="O8" s="477"/>
      <c r="P8" s="477"/>
      <c r="Q8" s="477"/>
      <c r="R8" s="477"/>
      <c r="S8" s="477"/>
      <c r="T8" s="477"/>
      <c r="U8" s="477"/>
      <c r="V8" s="477"/>
      <c r="W8" s="477"/>
      <c r="X8" s="477"/>
      <c r="Y8" s="477"/>
      <c r="Z8" s="477"/>
    </row>
    <row r="9" spans="1:26" ht="15.5" x14ac:dyDescent="0.35">
      <c r="A9" s="477">
        <v>2020</v>
      </c>
      <c r="B9" s="484" t="s">
        <v>800</v>
      </c>
      <c r="C9" s="485"/>
      <c r="D9" s="485">
        <v>150</v>
      </c>
      <c r="E9" s="485">
        <f>IF(D9=150, 4572000, IF(D9=200, 4851000))</f>
        <v>4572000</v>
      </c>
      <c r="F9" s="485">
        <f>C9*E9</f>
        <v>0</v>
      </c>
      <c r="G9" s="486"/>
      <c r="H9" s="487" t="str">
        <f>IF(C9="","",(G9/F9 * 100))</f>
        <v/>
      </c>
      <c r="I9" s="477"/>
      <c r="J9" s="477"/>
      <c r="K9" s="477"/>
      <c r="L9" s="477"/>
      <c r="M9" s="477" t="b">
        <f>C9&gt;=1</f>
        <v>0</v>
      </c>
      <c r="N9" s="477">
        <f>IF(M9=TRUE,1,0)</f>
        <v>0</v>
      </c>
      <c r="O9" s="477"/>
      <c r="P9" s="477"/>
      <c r="Q9" s="477"/>
      <c r="R9" s="477"/>
      <c r="S9" s="477"/>
      <c r="T9" s="477"/>
      <c r="U9" s="477"/>
      <c r="V9" s="477"/>
      <c r="W9" s="477"/>
      <c r="X9" s="477"/>
      <c r="Y9" s="477"/>
      <c r="Z9" s="477"/>
    </row>
    <row r="10" spans="1:26" ht="15.5" x14ac:dyDescent="0.35">
      <c r="A10" s="477">
        <v>2019</v>
      </c>
      <c r="B10" s="484" t="s">
        <v>801</v>
      </c>
      <c r="C10" s="485"/>
      <c r="D10" s="485">
        <v>150</v>
      </c>
      <c r="E10" s="485">
        <f>IF(D10=150, 4572000, IF(D10=200, 4851000))</f>
        <v>4572000</v>
      </c>
      <c r="F10" s="485">
        <f>C10*E10</f>
        <v>0</v>
      </c>
      <c r="G10" s="486"/>
      <c r="H10" s="487" t="str">
        <f>IF(C10="","",(G10/F10 * 100))</f>
        <v/>
      </c>
      <c r="I10" s="477"/>
      <c r="J10" s="477"/>
      <c r="K10" s="477"/>
      <c r="L10" s="477"/>
      <c r="M10" s="477" t="b">
        <f>C10&gt;=1</f>
        <v>0</v>
      </c>
      <c r="N10" s="477">
        <f>IF(M10=TRUE,1,0)</f>
        <v>0</v>
      </c>
      <c r="O10" s="477"/>
      <c r="P10" s="477"/>
      <c r="Q10" s="477"/>
      <c r="R10" s="477"/>
      <c r="S10" s="477"/>
      <c r="T10" s="477"/>
      <c r="U10" s="477"/>
      <c r="V10" s="477"/>
      <c r="W10" s="477"/>
      <c r="X10" s="477"/>
      <c r="Y10" s="477"/>
      <c r="Z10" s="477"/>
    </row>
    <row r="11" spans="1:26" ht="15.5" x14ac:dyDescent="0.35">
      <c r="A11" s="477"/>
      <c r="B11" s="488"/>
      <c r="C11" s="489"/>
      <c r="D11" s="489"/>
      <c r="E11" s="489"/>
      <c r="F11" s="489"/>
      <c r="G11" s="490" t="s">
        <v>802</v>
      </c>
      <c r="H11" s="491" t="str">
        <f>IF(AND(C8="",C9="",C10=""),"",(SUM(H8:H10)/SUM(N8:N10)))</f>
        <v/>
      </c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</row>
    <row r="12" spans="1:26" ht="15.5" x14ac:dyDescent="0.35">
      <c r="A12" s="477"/>
      <c r="B12" s="492"/>
      <c r="C12" s="493"/>
      <c r="D12" s="493"/>
      <c r="E12" s="493"/>
      <c r="F12" s="493"/>
      <c r="G12" s="494"/>
      <c r="H12" s="495"/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  <c r="Y12" s="477"/>
      <c r="Z12" s="477"/>
    </row>
    <row r="13" spans="1:26" ht="15.5" x14ac:dyDescent="0.35">
      <c r="A13" s="477"/>
      <c r="B13" s="492"/>
      <c r="C13" s="493"/>
      <c r="D13" s="493"/>
      <c r="E13" s="493"/>
      <c r="F13" s="493"/>
      <c r="G13" s="494" t="s">
        <v>803</v>
      </c>
      <c r="H13" s="496">
        <f>IF(L8=0,0,(IF(H11 &gt;=100, 4, IF(H11 &gt;=80, 3, IF(H11 &gt;=60, 2, IF(H11 &gt;=40, 1, 0))))))</f>
        <v>0</v>
      </c>
      <c r="I13" s="477"/>
      <c r="J13" s="477"/>
      <c r="K13" s="477"/>
      <c r="L13" s="477"/>
      <c r="M13" s="477"/>
      <c r="N13" s="477"/>
      <c r="O13" s="477"/>
      <c r="P13" s="477"/>
      <c r="Q13" s="477"/>
      <c r="R13" s="477"/>
      <c r="S13" s="477"/>
      <c r="T13" s="477"/>
      <c r="U13" s="477"/>
      <c r="V13" s="477"/>
      <c r="W13" s="477"/>
      <c r="X13" s="477"/>
      <c r="Y13" s="477"/>
      <c r="Z13" s="477"/>
    </row>
    <row r="14" spans="1:26" ht="15.5" x14ac:dyDescent="0.35">
      <c r="A14" s="477"/>
      <c r="B14" s="492"/>
      <c r="C14" s="493"/>
      <c r="D14" s="493"/>
      <c r="E14" s="493"/>
      <c r="F14" s="493"/>
      <c r="G14" s="494"/>
      <c r="H14" s="497"/>
      <c r="I14" s="477"/>
      <c r="J14" s="477"/>
      <c r="K14" s="477"/>
      <c r="L14" s="477"/>
      <c r="M14" s="477"/>
      <c r="N14" s="477"/>
      <c r="O14" s="477"/>
      <c r="P14" s="477"/>
      <c r="Q14" s="477"/>
      <c r="R14" s="477"/>
      <c r="S14" s="477"/>
      <c r="T14" s="477"/>
      <c r="U14" s="477"/>
      <c r="V14" s="477"/>
      <c r="W14" s="477"/>
      <c r="X14" s="477"/>
      <c r="Y14" s="477"/>
      <c r="Z14" s="477"/>
    </row>
    <row r="15" spans="1:26" ht="15.5" x14ac:dyDescent="0.35">
      <c r="A15" s="477"/>
      <c r="B15" s="481" t="s">
        <v>804</v>
      </c>
      <c r="C15" s="477"/>
      <c r="D15" s="477"/>
      <c r="E15" s="477"/>
      <c r="F15" s="477"/>
      <c r="G15" s="477"/>
      <c r="H15" s="477"/>
      <c r="I15" s="477"/>
      <c r="J15" s="477"/>
      <c r="K15" s="477"/>
      <c r="L15" s="477"/>
      <c r="M15" s="477"/>
      <c r="N15" s="477"/>
      <c r="O15" s="477"/>
      <c r="P15" s="477"/>
      <c r="Q15" s="477"/>
      <c r="R15" s="477"/>
      <c r="S15" s="477"/>
      <c r="T15" s="477"/>
      <c r="U15" s="477"/>
      <c r="V15" s="477"/>
      <c r="W15" s="477"/>
      <c r="X15" s="477"/>
      <c r="Y15" s="477"/>
      <c r="Z15" s="477"/>
    </row>
    <row r="16" spans="1:26" ht="43.5" x14ac:dyDescent="0.35">
      <c r="A16" s="477"/>
      <c r="B16" s="482" t="s">
        <v>792</v>
      </c>
      <c r="C16" s="483" t="s">
        <v>805</v>
      </c>
      <c r="D16" s="483" t="s">
        <v>794</v>
      </c>
      <c r="E16" s="483" t="s">
        <v>795</v>
      </c>
      <c r="F16" s="483" t="s">
        <v>796</v>
      </c>
      <c r="G16" s="483" t="s">
        <v>797</v>
      </c>
      <c r="H16" s="483" t="s">
        <v>798</v>
      </c>
      <c r="I16" s="477"/>
      <c r="J16" s="477"/>
      <c r="K16" s="477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</row>
    <row r="17" spans="1:26" ht="15.5" x14ac:dyDescent="0.35">
      <c r="A17" s="477">
        <v>2021</v>
      </c>
      <c r="B17" s="484" t="s">
        <v>799</v>
      </c>
      <c r="C17" s="485"/>
      <c r="D17" s="485">
        <v>50</v>
      </c>
      <c r="E17" s="485">
        <f>IF(D17=50, 6591000)</f>
        <v>6591000</v>
      </c>
      <c r="F17" s="485">
        <f>C17*E17</f>
        <v>0</v>
      </c>
      <c r="G17" s="486"/>
      <c r="H17" s="487" t="str">
        <f>IF(C17="","",(G17/F17 * 100))</f>
        <v/>
      </c>
      <c r="I17" s="477"/>
      <c r="J17" s="477"/>
      <c r="K17" s="477" t="b">
        <f>OR(C17&gt;=1,C18&gt;=1,C19&gt;=1)</f>
        <v>0</v>
      </c>
      <c r="L17" s="477">
        <f>IF(K17=TRUE,1,0)</f>
        <v>0</v>
      </c>
      <c r="M17" s="477" t="b">
        <f>C17&gt;=1</f>
        <v>0</v>
      </c>
      <c r="N17" s="477">
        <f>IF(M17=TRUE,1,0)</f>
        <v>0</v>
      </c>
      <c r="O17" s="477"/>
      <c r="P17" s="477"/>
      <c r="Q17" s="477"/>
      <c r="R17" s="477"/>
      <c r="S17" s="477"/>
      <c r="T17" s="477"/>
      <c r="U17" s="477"/>
      <c r="V17" s="477"/>
      <c r="W17" s="477"/>
      <c r="X17" s="477"/>
      <c r="Y17" s="477"/>
      <c r="Z17" s="477"/>
    </row>
    <row r="18" spans="1:26" ht="15.5" x14ac:dyDescent="0.35">
      <c r="A18" s="477">
        <v>2020</v>
      </c>
      <c r="B18" s="484" t="s">
        <v>800</v>
      </c>
      <c r="C18" s="485"/>
      <c r="D18" s="485">
        <v>50</v>
      </c>
      <c r="E18" s="485">
        <f>IF(D18=50, 6591000)</f>
        <v>6591000</v>
      </c>
      <c r="F18" s="485">
        <f>C18*E18</f>
        <v>0</v>
      </c>
      <c r="G18" s="486"/>
      <c r="H18" s="487" t="str">
        <f>IF(C18="","",(G18/F18 * 100))</f>
        <v/>
      </c>
      <c r="I18" s="477"/>
      <c r="J18" s="477"/>
      <c r="K18" s="477"/>
      <c r="L18" s="477"/>
      <c r="M18" s="477" t="b">
        <f>C18&gt;=1</f>
        <v>0</v>
      </c>
      <c r="N18" s="477">
        <f>IF(M18=TRUE,1,0)</f>
        <v>0</v>
      </c>
      <c r="O18" s="477"/>
      <c r="P18" s="477"/>
      <c r="Q18" s="477"/>
      <c r="R18" s="477"/>
      <c r="S18" s="477"/>
      <c r="T18" s="477"/>
      <c r="U18" s="477"/>
      <c r="V18" s="477"/>
      <c r="W18" s="477"/>
      <c r="X18" s="477"/>
      <c r="Y18" s="477"/>
      <c r="Z18" s="477"/>
    </row>
    <row r="19" spans="1:26" ht="15.5" x14ac:dyDescent="0.35">
      <c r="A19" s="477">
        <v>2019</v>
      </c>
      <c r="B19" s="484" t="s">
        <v>801</v>
      </c>
      <c r="C19" s="485"/>
      <c r="D19" s="485">
        <v>50</v>
      </c>
      <c r="E19" s="485">
        <f>IF(D19=50, 6591000)</f>
        <v>6591000</v>
      </c>
      <c r="F19" s="485">
        <f>C19*E19</f>
        <v>0</v>
      </c>
      <c r="G19" s="486"/>
      <c r="H19" s="487" t="str">
        <f>IF(C19="","",(G19/F19 * 100))</f>
        <v/>
      </c>
      <c r="I19" s="477"/>
      <c r="J19" s="477"/>
      <c r="K19" s="477"/>
      <c r="L19" s="477"/>
      <c r="M19" s="477" t="b">
        <f>C19&gt;=1</f>
        <v>0</v>
      </c>
      <c r="N19" s="477">
        <f>IF(M19=TRUE,1,0)</f>
        <v>0</v>
      </c>
      <c r="O19" s="477"/>
      <c r="P19" s="477"/>
      <c r="Q19" s="477"/>
      <c r="R19" s="477"/>
      <c r="S19" s="477"/>
      <c r="T19" s="477"/>
      <c r="U19" s="477"/>
      <c r="V19" s="477"/>
      <c r="W19" s="477"/>
      <c r="X19" s="477"/>
      <c r="Y19" s="477"/>
      <c r="Z19" s="477"/>
    </row>
    <row r="20" spans="1:26" ht="15.5" x14ac:dyDescent="0.35">
      <c r="A20" s="477"/>
      <c r="B20" s="488"/>
      <c r="C20" s="489"/>
      <c r="D20" s="489"/>
      <c r="E20" s="489"/>
      <c r="F20" s="489"/>
      <c r="G20" s="490" t="s">
        <v>802</v>
      </c>
      <c r="H20" s="491" t="str">
        <f>IF(AND(C17="",C18="",C19=""),"",(SUM(H17:H19)/SUM(N17:N19)))</f>
        <v/>
      </c>
      <c r="I20" s="477"/>
      <c r="J20" s="477"/>
      <c r="K20" s="477"/>
      <c r="L20" s="477"/>
      <c r="M20" s="477"/>
      <c r="N20" s="477"/>
      <c r="O20" s="477"/>
      <c r="P20" s="477"/>
      <c r="Q20" s="477"/>
      <c r="R20" s="477"/>
      <c r="S20" s="477"/>
      <c r="T20" s="477"/>
      <c r="U20" s="477"/>
      <c r="V20" s="477"/>
      <c r="W20" s="477"/>
      <c r="X20" s="477"/>
      <c r="Y20" s="477"/>
      <c r="Z20" s="477"/>
    </row>
    <row r="21" spans="1:26" ht="15.5" x14ac:dyDescent="0.35">
      <c r="A21" s="477"/>
      <c r="B21" s="492"/>
      <c r="C21" s="493"/>
      <c r="D21" s="493"/>
      <c r="E21" s="493"/>
      <c r="F21" s="493"/>
      <c r="G21" s="498"/>
      <c r="H21" s="499"/>
      <c r="I21" s="477"/>
      <c r="J21" s="477"/>
      <c r="K21" s="477"/>
      <c r="L21" s="477"/>
      <c r="M21" s="477"/>
      <c r="N21" s="477"/>
      <c r="O21" s="477"/>
      <c r="P21" s="477"/>
      <c r="Q21" s="477"/>
      <c r="R21" s="477"/>
      <c r="S21" s="477"/>
      <c r="T21" s="477"/>
      <c r="U21" s="477"/>
      <c r="V21" s="477"/>
      <c r="W21" s="477"/>
      <c r="X21" s="477"/>
      <c r="Y21" s="477"/>
      <c r="Z21" s="477"/>
    </row>
    <row r="22" spans="1:26" ht="15.5" x14ac:dyDescent="0.35">
      <c r="A22" s="477"/>
      <c r="B22" s="492"/>
      <c r="C22" s="493"/>
      <c r="D22" s="493"/>
      <c r="E22" s="493"/>
      <c r="F22" s="493"/>
      <c r="G22" s="498" t="s">
        <v>806</v>
      </c>
      <c r="H22" s="500">
        <f>IF(L17=0,0,IF(AND(C26="",C17="",C8=""),0,(IF(H20 &gt;=100, 4, IF(H20 &gt;=80, 3, IF(H20 &gt;=60, 2, IF(H20 &gt;=40, 1, 0)))))))</f>
        <v>0</v>
      </c>
      <c r="I22" s="477"/>
      <c r="J22" s="477"/>
      <c r="K22" s="477"/>
      <c r="L22" s="477"/>
      <c r="M22" s="477"/>
      <c r="N22" s="477"/>
      <c r="O22" s="477"/>
      <c r="P22" s="477"/>
      <c r="Q22" s="477"/>
      <c r="R22" s="477"/>
      <c r="S22" s="477"/>
      <c r="T22" s="477"/>
      <c r="U22" s="477"/>
      <c r="V22" s="477"/>
      <c r="W22" s="477"/>
      <c r="X22" s="477"/>
      <c r="Y22" s="477"/>
      <c r="Z22" s="477"/>
    </row>
    <row r="23" spans="1:26" ht="15.5" x14ac:dyDescent="0.35">
      <c r="A23" s="477"/>
      <c r="B23" s="501"/>
      <c r="C23" s="493"/>
      <c r="D23" s="493"/>
      <c r="E23" s="493"/>
      <c r="F23" s="493"/>
      <c r="G23" s="498"/>
      <c r="H23" s="502"/>
      <c r="I23" s="477"/>
      <c r="J23" s="477"/>
      <c r="K23" s="477"/>
      <c r="L23" s="477"/>
      <c r="M23" s="477"/>
      <c r="N23" s="477"/>
      <c r="O23" s="477"/>
      <c r="P23" s="477"/>
      <c r="Q23" s="477"/>
      <c r="R23" s="477"/>
      <c r="S23" s="477"/>
      <c r="T23" s="477"/>
      <c r="U23" s="477"/>
      <c r="V23" s="477"/>
      <c r="W23" s="477"/>
      <c r="X23" s="477"/>
      <c r="Y23" s="477"/>
      <c r="Z23" s="477"/>
    </row>
    <row r="24" spans="1:26" ht="15.5" x14ac:dyDescent="0.35">
      <c r="A24" s="477"/>
      <c r="B24" s="481" t="s">
        <v>807</v>
      </c>
      <c r="C24" s="477"/>
      <c r="D24" s="477"/>
      <c r="E24" s="477"/>
      <c r="F24" s="477"/>
      <c r="G24" s="503"/>
      <c r="H24" s="503"/>
      <c r="I24" s="477"/>
      <c r="J24" s="477"/>
      <c r="K24" s="477"/>
      <c r="L24" s="477"/>
      <c r="M24" s="477"/>
      <c r="N24" s="477"/>
      <c r="O24" s="477"/>
      <c r="P24" s="477"/>
      <c r="Q24" s="477"/>
      <c r="R24" s="477"/>
      <c r="S24" s="477"/>
      <c r="T24" s="477"/>
      <c r="U24" s="477"/>
      <c r="V24" s="477"/>
      <c r="W24" s="477"/>
      <c r="X24" s="477"/>
      <c r="Y24" s="477"/>
      <c r="Z24" s="477"/>
    </row>
    <row r="25" spans="1:26" ht="43.5" x14ac:dyDescent="0.35">
      <c r="A25" s="477"/>
      <c r="B25" s="482" t="s">
        <v>792</v>
      </c>
      <c r="C25" s="483" t="s">
        <v>793</v>
      </c>
      <c r="D25" s="483" t="s">
        <v>794</v>
      </c>
      <c r="E25" s="483" t="s">
        <v>795</v>
      </c>
      <c r="F25" s="483" t="s">
        <v>796</v>
      </c>
      <c r="G25" s="504" t="s">
        <v>797</v>
      </c>
      <c r="H25" s="504" t="s">
        <v>798</v>
      </c>
      <c r="I25" s="477"/>
      <c r="J25" s="477"/>
      <c r="K25" s="477"/>
      <c r="L25" s="477"/>
      <c r="M25" s="477"/>
      <c r="N25" s="477"/>
      <c r="O25" s="477"/>
      <c r="P25" s="477"/>
      <c r="Q25" s="477"/>
      <c r="R25" s="477"/>
      <c r="S25" s="477"/>
      <c r="T25" s="477"/>
      <c r="U25" s="477"/>
      <c r="V25" s="477"/>
      <c r="W25" s="477"/>
      <c r="X25" s="477"/>
      <c r="Y25" s="477"/>
      <c r="Z25" s="477"/>
    </row>
    <row r="26" spans="1:26" ht="15.5" x14ac:dyDescent="0.35">
      <c r="A26" s="477">
        <v>2021</v>
      </c>
      <c r="B26" s="484" t="s">
        <v>799</v>
      </c>
      <c r="C26" s="485"/>
      <c r="D26" s="485">
        <v>230</v>
      </c>
      <c r="E26" s="485">
        <f>IF(D26=150, 7487000, IF(D26=200, 9106000, IF(D26=230, 9847000)))</f>
        <v>9847000</v>
      </c>
      <c r="F26" s="485">
        <f>C26*E26</f>
        <v>0</v>
      </c>
      <c r="G26" s="505">
        <v>970000000</v>
      </c>
      <c r="H26" s="491" t="str">
        <f>IF(C26="","",(G26/F26 * 100))</f>
        <v/>
      </c>
      <c r="I26" s="477"/>
      <c r="J26" s="477"/>
      <c r="K26" s="477" t="b">
        <f>OR(C26&gt;=1,C27&gt;=1,C28&gt;=1)</f>
        <v>0</v>
      </c>
      <c r="L26" s="477">
        <f>IF(K26=TRUE,1,0)</f>
        <v>0</v>
      </c>
      <c r="M26" s="477" t="b">
        <f>C26&gt;=1</f>
        <v>0</v>
      </c>
      <c r="N26" s="477">
        <f>IF(M26=TRUE,1,0)</f>
        <v>0</v>
      </c>
      <c r="O26" s="477"/>
      <c r="P26" s="477"/>
      <c r="Q26" s="477"/>
      <c r="R26" s="477"/>
      <c r="S26" s="477"/>
      <c r="T26" s="477"/>
      <c r="U26" s="477"/>
      <c r="V26" s="477"/>
      <c r="W26" s="477"/>
      <c r="X26" s="477"/>
      <c r="Y26" s="477"/>
      <c r="Z26" s="477"/>
    </row>
    <row r="27" spans="1:26" ht="15.5" x14ac:dyDescent="0.35">
      <c r="A27" s="477">
        <v>2020</v>
      </c>
      <c r="B27" s="484" t="s">
        <v>800</v>
      </c>
      <c r="C27" s="485"/>
      <c r="D27" s="485">
        <v>200</v>
      </c>
      <c r="E27" s="485">
        <f>IF(D27=150, 7487000, IF(D27=200, 9106000, IF(D27=230, 9847000)))</f>
        <v>9106000</v>
      </c>
      <c r="F27" s="485">
        <f>C27*E27</f>
        <v>0</v>
      </c>
      <c r="G27" s="505">
        <v>810000000</v>
      </c>
      <c r="H27" s="491" t="str">
        <f>IF(C27="","",(G27/F27 * 100))</f>
        <v/>
      </c>
      <c r="I27" s="477"/>
      <c r="J27" s="477"/>
      <c r="K27" s="477"/>
      <c r="L27" s="477"/>
      <c r="M27" s="477" t="b">
        <f>C27&gt;=1</f>
        <v>0</v>
      </c>
      <c r="N27" s="477">
        <f>IF(M27=TRUE,1,0)</f>
        <v>0</v>
      </c>
      <c r="O27" s="477"/>
      <c r="P27" s="477"/>
      <c r="Q27" s="477"/>
      <c r="R27" s="477"/>
      <c r="S27" s="477"/>
      <c r="T27" s="477"/>
      <c r="U27" s="477"/>
      <c r="V27" s="477"/>
      <c r="W27" s="477"/>
      <c r="X27" s="477"/>
      <c r="Y27" s="477"/>
      <c r="Z27" s="477"/>
    </row>
    <row r="28" spans="1:26" ht="15.5" x14ac:dyDescent="0.35">
      <c r="A28" s="477">
        <v>2019</v>
      </c>
      <c r="B28" s="484" t="s">
        <v>801</v>
      </c>
      <c r="C28" s="485"/>
      <c r="D28" s="485">
        <v>150</v>
      </c>
      <c r="E28" s="485">
        <f>IF(D28=150, 7487000, IF(D28=200, 9106000, IF(D28=230, 9847000)))</f>
        <v>7487000</v>
      </c>
      <c r="F28" s="485">
        <f>C28*E28</f>
        <v>0</v>
      </c>
      <c r="G28" s="505">
        <v>590000000</v>
      </c>
      <c r="H28" s="491" t="str">
        <f>IF(C28="","",(G28/F28 * 100))</f>
        <v/>
      </c>
      <c r="I28" s="477"/>
      <c r="J28" s="477"/>
      <c r="K28" s="477"/>
      <c r="L28" s="477"/>
      <c r="M28" s="477" t="b">
        <f>C28&gt;=1</f>
        <v>0</v>
      </c>
      <c r="N28" s="477">
        <f>IF(M28=TRUE,1,0)</f>
        <v>0</v>
      </c>
      <c r="O28" s="477"/>
      <c r="P28" s="477"/>
      <c r="Q28" s="477"/>
      <c r="R28" s="477"/>
      <c r="S28" s="477"/>
      <c r="T28" s="477"/>
      <c r="U28" s="477"/>
      <c r="V28" s="477"/>
      <c r="W28" s="477"/>
      <c r="X28" s="477"/>
      <c r="Y28" s="477"/>
      <c r="Z28" s="477"/>
    </row>
    <row r="29" spans="1:26" ht="15.5" x14ac:dyDescent="0.35">
      <c r="A29" s="477"/>
      <c r="B29" s="488"/>
      <c r="C29" s="489"/>
      <c r="D29" s="489"/>
      <c r="E29" s="489"/>
      <c r="F29" s="489"/>
      <c r="G29" s="490" t="s">
        <v>802</v>
      </c>
      <c r="H29" s="491" t="str">
        <f>IF(AND(C26="",C27="",C28=""),"",(SUM(H26:H28)/SUM(N26:N28)))</f>
        <v/>
      </c>
      <c r="I29" s="477"/>
      <c r="J29" s="477"/>
      <c r="K29" s="477"/>
      <c r="L29" s="477"/>
      <c r="M29" s="477"/>
      <c r="N29" s="477"/>
      <c r="O29" s="477"/>
      <c r="P29" s="477"/>
      <c r="Q29" s="477"/>
      <c r="R29" s="477"/>
      <c r="S29" s="477"/>
      <c r="T29" s="477"/>
      <c r="U29" s="477"/>
      <c r="V29" s="477"/>
      <c r="W29" s="477"/>
      <c r="X29" s="477"/>
      <c r="Y29" s="477"/>
      <c r="Z29" s="477"/>
    </row>
    <row r="30" spans="1:26" ht="15.5" x14ac:dyDescent="0.35">
      <c r="A30" s="477"/>
      <c r="B30" s="492"/>
      <c r="C30" s="493"/>
      <c r="D30" s="493"/>
      <c r="E30" s="493"/>
      <c r="F30" s="493"/>
      <c r="G30" s="494"/>
      <c r="H30" s="495"/>
      <c r="I30" s="477"/>
      <c r="J30" s="477"/>
      <c r="K30" s="477"/>
      <c r="L30" s="477"/>
      <c r="M30" s="477"/>
      <c r="N30" s="477"/>
      <c r="O30" s="477"/>
      <c r="P30" s="477"/>
      <c r="Q30" s="477"/>
      <c r="R30" s="477"/>
      <c r="S30" s="477"/>
      <c r="T30" s="477"/>
      <c r="U30" s="477"/>
      <c r="V30" s="477"/>
      <c r="W30" s="477"/>
      <c r="X30" s="477"/>
      <c r="Y30" s="477"/>
      <c r="Z30" s="477"/>
    </row>
    <row r="31" spans="1:26" ht="15.5" x14ac:dyDescent="0.35">
      <c r="A31" s="477"/>
      <c r="B31" s="492"/>
      <c r="C31" s="493"/>
      <c r="D31" s="493"/>
      <c r="E31" s="493"/>
      <c r="F31" s="493"/>
      <c r="G31" s="494" t="s">
        <v>808</v>
      </c>
      <c r="H31" s="496">
        <f>IF(L26=0,0,(IF(H29 &gt;=100, 4, IF(H29 &gt;=80, 3, IF(H29 &gt;=60, 2, IF(H29 &gt;=40, 1, 0))))))</f>
        <v>0</v>
      </c>
      <c r="I31" s="477"/>
      <c r="J31" s="477"/>
      <c r="K31" s="477"/>
      <c r="L31" s="477"/>
      <c r="M31" s="477"/>
      <c r="N31" s="477"/>
      <c r="O31" s="477"/>
      <c r="P31" s="477"/>
      <c r="Q31" s="477"/>
      <c r="R31" s="477"/>
      <c r="S31" s="477"/>
      <c r="T31" s="477"/>
      <c r="U31" s="477"/>
      <c r="V31" s="477"/>
      <c r="W31" s="477"/>
      <c r="X31" s="477"/>
      <c r="Y31" s="477"/>
      <c r="Z31" s="477"/>
    </row>
    <row r="32" spans="1:26" ht="15.5" x14ac:dyDescent="0.35">
      <c r="A32" s="477"/>
      <c r="B32" s="481" t="s">
        <v>809</v>
      </c>
      <c r="C32" s="493"/>
      <c r="D32" s="493"/>
      <c r="E32" s="493"/>
      <c r="F32" s="493"/>
      <c r="G32" s="494"/>
      <c r="H32" s="497"/>
      <c r="I32" s="477"/>
      <c r="J32" s="477"/>
      <c r="K32" s="477"/>
      <c r="L32" s="477"/>
      <c r="M32" s="477"/>
      <c r="N32" s="477"/>
      <c r="O32" s="477"/>
      <c r="P32" s="477"/>
      <c r="Q32" s="477"/>
      <c r="R32" s="477"/>
      <c r="S32" s="477"/>
      <c r="T32" s="477"/>
      <c r="U32" s="477"/>
      <c r="V32" s="477"/>
      <c r="W32" s="477"/>
      <c r="X32" s="477"/>
      <c r="Y32" s="477"/>
      <c r="Z32" s="477"/>
    </row>
    <row r="33" spans="1:26" ht="15.5" x14ac:dyDescent="0.35">
      <c r="A33" s="477"/>
      <c r="B33" s="506" t="s">
        <v>810</v>
      </c>
      <c r="C33" s="507" t="s">
        <v>811</v>
      </c>
      <c r="D33" s="493"/>
      <c r="E33" s="493"/>
      <c r="F33" s="493"/>
      <c r="G33" s="494"/>
      <c r="H33" s="497"/>
      <c r="I33" s="477"/>
      <c r="J33" s="477"/>
      <c r="K33" s="477"/>
      <c r="L33" s="477"/>
      <c r="M33" s="477"/>
      <c r="N33" s="477"/>
      <c r="O33" s="477"/>
      <c r="P33" s="477"/>
      <c r="Q33" s="477"/>
      <c r="R33" s="477"/>
      <c r="S33" s="477"/>
      <c r="T33" s="477"/>
      <c r="U33" s="477"/>
      <c r="V33" s="477"/>
      <c r="W33" s="477"/>
      <c r="X33" s="477"/>
      <c r="Y33" s="477"/>
      <c r="Z33" s="477"/>
    </row>
    <row r="34" spans="1:26" ht="15.5" x14ac:dyDescent="0.35">
      <c r="A34" s="477"/>
      <c r="B34" s="484" t="s">
        <v>645</v>
      </c>
      <c r="C34" s="508" t="str">
        <f>IF(AND(C8="",C9="",C10=""),"",H11)</f>
        <v/>
      </c>
      <c r="D34" s="493"/>
      <c r="E34" s="493"/>
      <c r="F34" s="493"/>
      <c r="G34" s="494"/>
      <c r="H34" s="497"/>
      <c r="I34" s="477"/>
      <c r="J34" s="477"/>
      <c r="K34" s="477"/>
      <c r="L34" s="477"/>
      <c r="M34" s="477"/>
      <c r="N34" s="477"/>
      <c r="O34" s="477"/>
      <c r="P34" s="477"/>
      <c r="Q34" s="477"/>
      <c r="R34" s="477"/>
      <c r="S34" s="477"/>
      <c r="T34" s="477"/>
      <c r="U34" s="477"/>
      <c r="V34" s="477"/>
      <c r="W34" s="477"/>
      <c r="X34" s="477"/>
      <c r="Y34" s="477"/>
      <c r="Z34" s="477"/>
    </row>
    <row r="35" spans="1:26" ht="15.5" x14ac:dyDescent="0.35">
      <c r="A35" s="477"/>
      <c r="B35" s="484" t="s">
        <v>643</v>
      </c>
      <c r="C35" s="508" t="str">
        <f>IF(AND(C17="",C18="",C19=""),"",H20)</f>
        <v/>
      </c>
      <c r="D35" s="493"/>
      <c r="E35" s="493"/>
      <c r="F35" s="493"/>
      <c r="G35" s="494"/>
      <c r="H35" s="497"/>
      <c r="I35" s="477"/>
      <c r="J35" s="477"/>
      <c r="K35" s="477"/>
      <c r="L35" s="477"/>
      <c r="M35" s="477"/>
      <c r="N35" s="477"/>
      <c r="O35" s="477"/>
      <c r="P35" s="477"/>
      <c r="Q35" s="477"/>
      <c r="R35" s="477"/>
      <c r="S35" s="477"/>
      <c r="T35" s="477"/>
      <c r="U35" s="477"/>
      <c r="V35" s="477"/>
      <c r="W35" s="477"/>
      <c r="X35" s="477"/>
      <c r="Y35" s="477"/>
      <c r="Z35" s="477"/>
    </row>
    <row r="36" spans="1:26" ht="15.5" x14ac:dyDescent="0.35">
      <c r="A36" s="477"/>
      <c r="B36" s="484" t="s">
        <v>812</v>
      </c>
      <c r="C36" s="508" t="str">
        <f>IF(AND(C26="",C27="",C28=""),"",H29)</f>
        <v/>
      </c>
      <c r="D36" s="493"/>
      <c r="E36" s="493"/>
      <c r="F36" s="493"/>
      <c r="G36" s="494"/>
      <c r="H36" s="497"/>
      <c r="I36" s="477"/>
      <c r="J36" s="477"/>
      <c r="K36" s="477"/>
      <c r="L36" s="477"/>
      <c r="M36" s="477"/>
      <c r="N36" s="477"/>
      <c r="O36" s="477"/>
      <c r="P36" s="477"/>
      <c r="Q36" s="477"/>
      <c r="R36" s="477"/>
      <c r="S36" s="477"/>
      <c r="T36" s="477"/>
      <c r="U36" s="477"/>
      <c r="V36" s="477"/>
      <c r="W36" s="477"/>
      <c r="X36" s="477"/>
      <c r="Y36" s="477"/>
      <c r="Z36" s="477"/>
    </row>
    <row r="37" spans="1:26" ht="15.5" x14ac:dyDescent="0.35">
      <c r="A37" s="477"/>
      <c r="B37" s="509" t="s">
        <v>802</v>
      </c>
      <c r="C37" s="510">
        <f>IF(AND(C26="",C17="",C8=""),0,(SUM(C34:C36)/SUM(L8,L17,L26)))</f>
        <v>0</v>
      </c>
      <c r="D37" s="493"/>
      <c r="E37" s="493"/>
      <c r="F37" s="493"/>
      <c r="G37" s="494"/>
      <c r="H37" s="497"/>
      <c r="I37" s="477"/>
      <c r="J37" s="477"/>
      <c r="K37" s="477"/>
      <c r="L37" s="477"/>
      <c r="M37" s="477"/>
      <c r="N37" s="477"/>
      <c r="O37" s="477"/>
      <c r="P37" s="477"/>
      <c r="Q37" s="477"/>
      <c r="R37" s="477"/>
      <c r="S37" s="477"/>
      <c r="T37" s="477"/>
      <c r="U37" s="477"/>
      <c r="V37" s="477"/>
      <c r="W37" s="477"/>
      <c r="X37" s="477"/>
      <c r="Y37" s="477"/>
      <c r="Z37" s="477"/>
    </row>
    <row r="38" spans="1:26" ht="15.5" x14ac:dyDescent="0.35">
      <c r="A38" s="477"/>
      <c r="B38" s="511"/>
      <c r="C38" s="512"/>
      <c r="D38" s="493"/>
      <c r="E38" s="493"/>
      <c r="F38" s="493"/>
      <c r="G38" s="494"/>
      <c r="H38" s="497"/>
      <c r="I38" s="477"/>
      <c r="J38" s="477"/>
      <c r="K38" s="477"/>
      <c r="L38" s="477"/>
      <c r="M38" s="477"/>
      <c r="N38" s="477"/>
      <c r="O38" s="477"/>
      <c r="P38" s="477"/>
      <c r="Q38" s="477"/>
      <c r="R38" s="477"/>
      <c r="S38" s="477"/>
      <c r="T38" s="477"/>
      <c r="U38" s="477"/>
      <c r="V38" s="477"/>
      <c r="W38" s="477"/>
      <c r="X38" s="477"/>
      <c r="Y38" s="477"/>
      <c r="Z38" s="477"/>
    </row>
    <row r="39" spans="1:26" ht="15.5" x14ac:dyDescent="0.35">
      <c r="A39" s="477"/>
      <c r="B39" s="513" t="s">
        <v>813</v>
      </c>
      <c r="C39" s="514">
        <f>IF(C37 &gt;=100, 4, IF(C37 &gt;=80, 3, IF(C37 &gt;=60, 2, IF(C37 &gt;=40, 1, 0))))</f>
        <v>0</v>
      </c>
      <c r="D39" s="493"/>
      <c r="E39" s="493"/>
      <c r="F39" s="493"/>
      <c r="G39" s="494"/>
      <c r="H39" s="497"/>
      <c r="I39" s="477"/>
      <c r="J39" s="477"/>
      <c r="K39" s="477"/>
      <c r="L39" s="477"/>
      <c r="M39" s="477"/>
      <c r="N39" s="477"/>
      <c r="O39" s="477"/>
      <c r="P39" s="477"/>
      <c r="Q39" s="477"/>
      <c r="R39" s="477"/>
      <c r="S39" s="477"/>
      <c r="T39" s="477"/>
      <c r="U39" s="477"/>
      <c r="V39" s="477"/>
      <c r="W39" s="477"/>
      <c r="X39" s="477"/>
      <c r="Y39" s="477"/>
      <c r="Z39" s="477"/>
    </row>
    <row r="40" spans="1:26" ht="15.5" x14ac:dyDescent="0.35">
      <c r="A40" s="477"/>
      <c r="B40" s="477"/>
      <c r="C40" s="477"/>
      <c r="D40" s="477"/>
      <c r="E40" s="477"/>
      <c r="F40" s="477"/>
      <c r="G40" s="477"/>
      <c r="H40" s="477"/>
      <c r="I40" s="477"/>
      <c r="J40" s="477"/>
      <c r="K40" s="477"/>
      <c r="L40" s="477"/>
      <c r="M40" s="477"/>
      <c r="N40" s="477"/>
      <c r="O40" s="477"/>
      <c r="P40" s="477"/>
      <c r="Q40" s="477"/>
      <c r="R40" s="477"/>
      <c r="S40" s="477"/>
      <c r="T40" s="477"/>
      <c r="U40" s="477"/>
      <c r="V40" s="477"/>
      <c r="W40" s="477"/>
      <c r="X40" s="477"/>
      <c r="Y40" s="477"/>
      <c r="Z40" s="477"/>
    </row>
    <row r="41" spans="1:26" ht="15.5" x14ac:dyDescent="0.35">
      <c r="A41" s="477"/>
      <c r="B41" s="515" t="s">
        <v>814</v>
      </c>
      <c r="C41" s="477"/>
      <c r="D41" s="477"/>
      <c r="E41" s="477"/>
      <c r="F41" s="477"/>
      <c r="G41" s="477"/>
      <c r="H41" s="477"/>
      <c r="I41" s="477"/>
      <c r="J41" s="477"/>
      <c r="K41" s="477"/>
      <c r="L41" s="477"/>
      <c r="M41" s="477"/>
      <c r="N41" s="477"/>
      <c r="O41" s="477"/>
      <c r="P41" s="477"/>
      <c r="Q41" s="477"/>
      <c r="R41" s="477"/>
      <c r="S41" s="477"/>
      <c r="T41" s="477"/>
      <c r="U41" s="477"/>
      <c r="V41" s="477"/>
      <c r="W41" s="477"/>
      <c r="X41" s="477"/>
      <c r="Y41" s="477"/>
      <c r="Z41" s="477"/>
    </row>
    <row r="42" spans="1:26" ht="15" customHeight="1" x14ac:dyDescent="0.35">
      <c r="A42" s="477"/>
      <c r="B42" s="477"/>
      <c r="C42" s="477"/>
      <c r="D42" s="477"/>
      <c r="E42" s="477"/>
      <c r="F42" s="477"/>
      <c r="G42" s="477"/>
      <c r="H42" s="477"/>
      <c r="I42" s="477"/>
      <c r="J42" s="477"/>
      <c r="K42" s="477"/>
      <c r="L42" s="477"/>
      <c r="M42" s="477"/>
      <c r="N42" s="477"/>
      <c r="O42" s="477"/>
      <c r="P42" s="477"/>
      <c r="Q42" s="477"/>
      <c r="R42" s="477"/>
      <c r="S42" s="477"/>
      <c r="T42" s="477"/>
      <c r="U42" s="477"/>
      <c r="V42" s="477"/>
      <c r="W42" s="477"/>
      <c r="X42" s="477"/>
      <c r="Y42" s="477"/>
      <c r="Z42" s="477"/>
    </row>
    <row r="43" spans="1:26" ht="15" customHeight="1" x14ac:dyDescent="0.35">
      <c r="A43" s="477"/>
      <c r="B43" s="477"/>
      <c r="C43" s="477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7"/>
      <c r="R43" s="477"/>
      <c r="S43" s="477"/>
      <c r="T43" s="477"/>
      <c r="U43" s="477"/>
      <c r="V43" s="477"/>
      <c r="W43" s="477"/>
      <c r="X43" s="477"/>
      <c r="Y43" s="477"/>
      <c r="Z43" s="477"/>
    </row>
    <row r="44" spans="1:26" ht="15" customHeight="1" x14ac:dyDescent="0.35">
      <c r="A44" s="477"/>
      <c r="B44" s="477"/>
      <c r="C44" s="477"/>
      <c r="D44" s="477"/>
      <c r="E44" s="477"/>
      <c r="F44" s="477"/>
      <c r="G44" s="477"/>
      <c r="H44" s="477"/>
      <c r="I44" s="477"/>
      <c r="J44" s="477"/>
      <c r="K44" s="477"/>
      <c r="L44" s="477"/>
      <c r="M44" s="477"/>
      <c r="N44" s="477"/>
      <c r="O44" s="477"/>
      <c r="P44" s="477"/>
      <c r="Q44" s="477"/>
      <c r="R44" s="477"/>
      <c r="S44" s="477"/>
      <c r="T44" s="477"/>
      <c r="U44" s="477"/>
      <c r="V44" s="477"/>
      <c r="W44" s="477"/>
      <c r="X44" s="477"/>
      <c r="Y44" s="477"/>
      <c r="Z44" s="477"/>
    </row>
    <row r="45" spans="1:26" ht="15" customHeight="1" x14ac:dyDescent="0.35">
      <c r="A45" s="477"/>
      <c r="B45" s="477"/>
      <c r="C45" s="477"/>
      <c r="D45" s="477"/>
      <c r="E45" s="477"/>
      <c r="F45" s="477"/>
      <c r="G45" s="477"/>
      <c r="H45" s="477"/>
      <c r="I45" s="477"/>
      <c r="J45" s="477"/>
      <c r="K45" s="477"/>
      <c r="L45" s="477"/>
      <c r="M45" s="477"/>
      <c r="N45" s="477"/>
      <c r="O45" s="477"/>
      <c r="P45" s="477"/>
      <c r="Q45" s="477"/>
      <c r="R45" s="477"/>
      <c r="S45" s="477"/>
      <c r="T45" s="477"/>
      <c r="U45" s="477"/>
      <c r="V45" s="477"/>
      <c r="W45" s="477"/>
      <c r="X45" s="477"/>
      <c r="Y45" s="477"/>
      <c r="Z45" s="477"/>
    </row>
    <row r="46" spans="1:26" ht="15" customHeight="1" x14ac:dyDescent="0.35">
      <c r="A46" s="477"/>
      <c r="B46" s="477"/>
      <c r="C46" s="477"/>
      <c r="D46" s="477"/>
      <c r="E46" s="477"/>
      <c r="F46" s="477"/>
      <c r="G46" s="477"/>
      <c r="H46" s="477"/>
      <c r="I46" s="477"/>
      <c r="J46" s="477"/>
      <c r="K46" s="477"/>
      <c r="L46" s="477"/>
      <c r="M46" s="477"/>
      <c r="N46" s="477"/>
      <c r="O46" s="477"/>
      <c r="P46" s="477"/>
      <c r="Q46" s="477"/>
      <c r="R46" s="477"/>
      <c r="S46" s="477"/>
      <c r="T46" s="477"/>
      <c r="U46" s="477"/>
      <c r="V46" s="477"/>
      <c r="W46" s="477"/>
      <c r="X46" s="477"/>
      <c r="Y46" s="477"/>
      <c r="Z46" s="477"/>
    </row>
    <row r="47" spans="1:26" ht="15" customHeight="1" x14ac:dyDescent="0.35">
      <c r="A47" s="477"/>
      <c r="B47" s="477"/>
      <c r="C47" s="477"/>
      <c r="D47" s="477"/>
      <c r="E47" s="477"/>
      <c r="F47" s="477"/>
      <c r="G47" s="477"/>
      <c r="H47" s="477"/>
      <c r="I47" s="477"/>
      <c r="J47" s="477"/>
      <c r="K47" s="477"/>
      <c r="L47" s="477"/>
      <c r="M47" s="477"/>
      <c r="N47" s="477"/>
      <c r="O47" s="477"/>
      <c r="P47" s="477"/>
      <c r="Q47" s="477"/>
      <c r="R47" s="477"/>
      <c r="S47" s="477"/>
      <c r="T47" s="477"/>
      <c r="U47" s="477"/>
      <c r="V47" s="477"/>
      <c r="W47" s="477"/>
      <c r="X47" s="477"/>
      <c r="Y47" s="477"/>
      <c r="Z47" s="477"/>
    </row>
    <row r="48" spans="1:26" ht="15" customHeight="1" x14ac:dyDescent="0.35">
      <c r="A48" s="477"/>
      <c r="B48" s="477"/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  <c r="Y48" s="477"/>
      <c r="Z48" s="477"/>
    </row>
    <row r="49" spans="1:26" ht="15" customHeight="1" x14ac:dyDescent="0.35">
      <c r="A49" s="477"/>
      <c r="B49" s="477"/>
      <c r="C49" s="477"/>
      <c r="D49" s="477"/>
      <c r="E49" s="477"/>
      <c r="F49" s="477"/>
      <c r="G49" s="477"/>
      <c r="H49" s="477"/>
      <c r="I49" s="477"/>
      <c r="J49" s="477"/>
      <c r="K49" s="477"/>
      <c r="L49" s="477"/>
      <c r="M49" s="477"/>
      <c r="N49" s="477"/>
      <c r="O49" s="477"/>
      <c r="P49" s="477"/>
      <c r="Q49" s="477"/>
      <c r="R49" s="477"/>
      <c r="S49" s="477"/>
      <c r="T49" s="477"/>
      <c r="U49" s="477"/>
      <c r="V49" s="477"/>
      <c r="W49" s="477"/>
      <c r="X49" s="477"/>
      <c r="Y49" s="477"/>
      <c r="Z49" s="477"/>
    </row>
    <row r="50" spans="1:26" ht="15" customHeight="1" x14ac:dyDescent="0.35">
      <c r="A50" s="477"/>
      <c r="B50" s="477"/>
      <c r="C50" s="477"/>
      <c r="D50" s="477"/>
      <c r="E50" s="477"/>
      <c r="F50" s="477"/>
      <c r="G50" s="477"/>
      <c r="H50" s="477"/>
      <c r="I50" s="477"/>
      <c r="J50" s="477"/>
      <c r="K50" s="477"/>
      <c r="L50" s="477"/>
      <c r="M50" s="477"/>
      <c r="N50" s="477"/>
      <c r="O50" s="477"/>
      <c r="P50" s="477"/>
      <c r="Q50" s="477"/>
      <c r="R50" s="477"/>
      <c r="S50" s="477"/>
      <c r="T50" s="477"/>
      <c r="U50" s="477"/>
      <c r="V50" s="477"/>
      <c r="W50" s="477"/>
      <c r="X50" s="477"/>
      <c r="Y50" s="477"/>
      <c r="Z50" s="477"/>
    </row>
    <row r="51" spans="1:26" ht="15" customHeight="1" x14ac:dyDescent="0.35">
      <c r="A51" s="477"/>
      <c r="B51" s="477"/>
      <c r="C51" s="477"/>
      <c r="D51" s="477"/>
      <c r="E51" s="477"/>
      <c r="F51" s="477"/>
      <c r="G51" s="477"/>
      <c r="H51" s="477"/>
      <c r="I51" s="477"/>
      <c r="J51" s="477"/>
      <c r="K51" s="477"/>
      <c r="L51" s="477"/>
      <c r="M51" s="477"/>
      <c r="N51" s="477"/>
      <c r="O51" s="477"/>
      <c r="P51" s="477"/>
      <c r="Q51" s="477"/>
      <c r="R51" s="477"/>
      <c r="S51" s="477"/>
      <c r="T51" s="477"/>
      <c r="U51" s="477"/>
      <c r="V51" s="477"/>
      <c r="W51" s="477"/>
      <c r="X51" s="477"/>
      <c r="Y51" s="477"/>
      <c r="Z51" s="477"/>
    </row>
    <row r="52" spans="1:26" ht="15" customHeight="1" x14ac:dyDescent="0.35">
      <c r="A52" s="477"/>
      <c r="B52" s="477"/>
      <c r="C52" s="477"/>
      <c r="D52" s="477"/>
      <c r="E52" s="477"/>
      <c r="F52" s="477"/>
      <c r="G52" s="477"/>
      <c r="H52" s="477"/>
      <c r="I52" s="477"/>
      <c r="J52" s="477"/>
      <c r="K52" s="477"/>
      <c r="L52" s="477"/>
      <c r="M52" s="477"/>
      <c r="N52" s="477"/>
      <c r="O52" s="477"/>
      <c r="P52" s="477"/>
      <c r="Q52" s="477"/>
      <c r="R52" s="477"/>
      <c r="S52" s="477"/>
      <c r="T52" s="477"/>
      <c r="U52" s="477"/>
      <c r="V52" s="477"/>
      <c r="W52" s="477"/>
      <c r="X52" s="477"/>
      <c r="Y52" s="477"/>
      <c r="Z52" s="477"/>
    </row>
    <row r="53" spans="1:26" ht="15" customHeight="1" x14ac:dyDescent="0.35">
      <c r="A53" s="477"/>
      <c r="B53" s="516" t="s">
        <v>815</v>
      </c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77"/>
      <c r="U53" s="477"/>
      <c r="V53" s="477"/>
      <c r="W53" s="477"/>
      <c r="X53" s="477"/>
      <c r="Y53" s="477"/>
      <c r="Z53" s="477"/>
    </row>
    <row r="54" spans="1:26" ht="15" customHeight="1" x14ac:dyDescent="0.35">
      <c r="A54" s="477"/>
      <c r="B54" s="516" t="s">
        <v>816</v>
      </c>
      <c r="C54" s="477"/>
      <c r="D54" s="477"/>
      <c r="E54" s="477"/>
      <c r="F54" s="477"/>
      <c r="G54" s="477"/>
      <c r="H54" s="477"/>
      <c r="I54" s="477"/>
      <c r="J54" s="477"/>
      <c r="K54" s="477"/>
      <c r="L54" s="477"/>
      <c r="M54" s="477"/>
      <c r="N54" s="477"/>
      <c r="O54" s="477"/>
      <c r="P54" s="477"/>
      <c r="Q54" s="477"/>
      <c r="R54" s="477"/>
      <c r="S54" s="477"/>
      <c r="T54" s="477"/>
      <c r="U54" s="477"/>
      <c r="V54" s="477"/>
      <c r="W54" s="477"/>
      <c r="X54" s="477"/>
      <c r="Y54" s="477"/>
      <c r="Z54" s="477"/>
    </row>
    <row r="55" spans="1:26" ht="15" customHeight="1" x14ac:dyDescent="0.35">
      <c r="A55" s="477"/>
      <c r="B55" s="516" t="s">
        <v>817</v>
      </c>
      <c r="C55" s="477"/>
      <c r="D55" s="477"/>
      <c r="E55" s="477"/>
      <c r="F55" s="477"/>
      <c r="G55" s="477"/>
      <c r="H55" s="477"/>
      <c r="I55" s="477"/>
      <c r="J55" s="477"/>
      <c r="K55" s="477"/>
      <c r="L55" s="477"/>
      <c r="M55" s="477"/>
      <c r="N55" s="477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</row>
    <row r="56" spans="1:26" ht="15" customHeight="1" x14ac:dyDescent="0.35">
      <c r="A56" s="477"/>
      <c r="B56" s="516" t="s">
        <v>818</v>
      </c>
      <c r="C56" s="477"/>
      <c r="D56" s="477"/>
      <c r="E56" s="477"/>
      <c r="F56" s="477"/>
      <c r="G56" s="477"/>
      <c r="H56" s="477"/>
      <c r="I56" s="477"/>
      <c r="J56" s="477"/>
      <c r="K56" s="477"/>
      <c r="L56" s="477"/>
      <c r="M56" s="477"/>
      <c r="N56" s="477"/>
      <c r="O56" s="477"/>
      <c r="P56" s="477"/>
      <c r="Q56" s="477"/>
      <c r="R56" s="477"/>
      <c r="S56" s="477"/>
      <c r="T56" s="477"/>
      <c r="U56" s="477"/>
      <c r="V56" s="477"/>
      <c r="W56" s="477"/>
      <c r="X56" s="477"/>
      <c r="Y56" s="477"/>
      <c r="Z56" s="477"/>
    </row>
    <row r="57" spans="1:26" ht="15" customHeight="1" x14ac:dyDescent="0.35">
      <c r="A57" s="477"/>
      <c r="B57" s="516" t="s">
        <v>819</v>
      </c>
      <c r="C57" s="477"/>
      <c r="D57" s="477"/>
      <c r="E57" s="477"/>
      <c r="F57" s="477"/>
      <c r="G57" s="477"/>
      <c r="H57" s="477"/>
      <c r="I57" s="477"/>
      <c r="J57" s="477"/>
      <c r="K57" s="477"/>
      <c r="L57" s="477"/>
      <c r="M57" s="477"/>
      <c r="N57" s="477"/>
      <c r="O57" s="477"/>
      <c r="P57" s="477"/>
      <c r="Q57" s="477"/>
      <c r="R57" s="477"/>
      <c r="S57" s="477"/>
      <c r="T57" s="477"/>
      <c r="U57" s="477"/>
      <c r="V57" s="477"/>
      <c r="W57" s="477"/>
      <c r="X57" s="477"/>
      <c r="Y57" s="477"/>
      <c r="Z57" s="477"/>
    </row>
    <row r="58" spans="1:26" ht="15" customHeight="1" x14ac:dyDescent="0.35">
      <c r="A58" s="477"/>
      <c r="B58" s="477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</row>
    <row r="59" spans="1:26" ht="15" customHeight="1" x14ac:dyDescent="0.35">
      <c r="A59" s="477"/>
      <c r="B59" s="477"/>
      <c r="C59" s="477"/>
      <c r="D59" s="477"/>
      <c r="E59" s="477"/>
      <c r="F59" s="477"/>
      <c r="G59" s="477"/>
      <c r="H59" s="477"/>
      <c r="I59" s="477"/>
      <c r="J59" s="477"/>
      <c r="K59" s="477"/>
      <c r="L59" s="477"/>
      <c r="M59" s="477"/>
      <c r="N59" s="477"/>
      <c r="O59" s="477"/>
      <c r="P59" s="477"/>
      <c r="Q59" s="477"/>
      <c r="R59" s="477"/>
      <c r="S59" s="477"/>
      <c r="T59" s="477"/>
      <c r="U59" s="477"/>
      <c r="V59" s="477"/>
      <c r="W59" s="477"/>
      <c r="X59" s="477"/>
      <c r="Y59" s="477"/>
      <c r="Z59" s="477"/>
    </row>
    <row r="60" spans="1:26" ht="15" customHeight="1" x14ac:dyDescent="0.35">
      <c r="A60" s="477"/>
      <c r="B60" s="477"/>
      <c r="C60" s="477"/>
      <c r="D60" s="477"/>
      <c r="E60" s="477"/>
      <c r="F60" s="477"/>
      <c r="G60" s="477"/>
      <c r="H60" s="477"/>
      <c r="I60" s="477"/>
      <c r="J60" s="477"/>
      <c r="K60" s="477"/>
      <c r="L60" s="477"/>
      <c r="M60" s="477"/>
      <c r="N60" s="477"/>
      <c r="O60" s="477"/>
      <c r="P60" s="477"/>
      <c r="Q60" s="477"/>
      <c r="R60" s="477"/>
      <c r="S60" s="477"/>
      <c r="T60" s="477"/>
      <c r="U60" s="477"/>
      <c r="V60" s="477"/>
      <c r="W60" s="477"/>
      <c r="X60" s="477"/>
      <c r="Y60" s="477"/>
      <c r="Z60" s="477"/>
    </row>
    <row r="61" spans="1:26" ht="15" customHeight="1" x14ac:dyDescent="0.35">
      <c r="A61" s="477"/>
      <c r="B61" s="477"/>
      <c r="C61" s="477"/>
      <c r="D61" s="477"/>
      <c r="E61" s="477"/>
      <c r="F61" s="477"/>
      <c r="G61" s="477"/>
      <c r="H61" s="477"/>
      <c r="I61" s="477"/>
      <c r="J61" s="477"/>
      <c r="K61" s="477"/>
      <c r="L61" s="477"/>
      <c r="M61" s="477"/>
      <c r="N61" s="477"/>
      <c r="O61" s="477"/>
      <c r="P61" s="477"/>
      <c r="Q61" s="477"/>
      <c r="R61" s="477"/>
      <c r="S61" s="477"/>
      <c r="T61" s="477"/>
      <c r="U61" s="477"/>
      <c r="V61" s="477"/>
      <c r="W61" s="477"/>
      <c r="X61" s="477"/>
      <c r="Y61" s="477"/>
      <c r="Z61" s="477"/>
    </row>
    <row r="62" spans="1:26" ht="15" customHeight="1" x14ac:dyDescent="0.35">
      <c r="A62" s="477"/>
      <c r="B62" s="477"/>
      <c r="C62" s="477"/>
      <c r="D62" s="477"/>
      <c r="E62" s="477"/>
      <c r="F62" s="477"/>
      <c r="G62" s="477"/>
      <c r="H62" s="477"/>
      <c r="I62" s="477"/>
      <c r="J62" s="477"/>
      <c r="K62" s="477"/>
      <c r="L62" s="477"/>
      <c r="M62" s="477"/>
      <c r="N62" s="477"/>
      <c r="O62" s="477"/>
      <c r="P62" s="477"/>
      <c r="Q62" s="477"/>
      <c r="R62" s="477"/>
      <c r="S62" s="477"/>
      <c r="T62" s="477"/>
      <c r="U62" s="477"/>
      <c r="V62" s="477"/>
      <c r="W62" s="477"/>
      <c r="X62" s="477"/>
      <c r="Y62" s="477"/>
      <c r="Z62" s="477"/>
    </row>
    <row r="63" spans="1:26" ht="15" customHeight="1" x14ac:dyDescent="0.35">
      <c r="A63" s="477"/>
      <c r="B63" s="477"/>
      <c r="C63" s="477"/>
      <c r="D63" s="477"/>
      <c r="E63" s="477"/>
      <c r="F63" s="477"/>
      <c r="G63" s="477"/>
      <c r="H63" s="477"/>
      <c r="I63" s="477"/>
      <c r="J63" s="477"/>
      <c r="K63" s="477"/>
      <c r="L63" s="477"/>
      <c r="M63" s="477"/>
      <c r="N63" s="477"/>
      <c r="O63" s="477"/>
      <c r="P63" s="477"/>
      <c r="Q63" s="477"/>
      <c r="R63" s="477"/>
      <c r="S63" s="477"/>
      <c r="T63" s="477"/>
      <c r="U63" s="477"/>
      <c r="V63" s="477"/>
      <c r="W63" s="477"/>
      <c r="X63" s="477"/>
      <c r="Y63" s="477"/>
      <c r="Z63" s="477"/>
    </row>
    <row r="64" spans="1:26" ht="15" customHeight="1" x14ac:dyDescent="0.35">
      <c r="A64" s="477"/>
      <c r="B64" s="477"/>
      <c r="C64" s="477"/>
      <c r="D64" s="477"/>
      <c r="E64" s="477"/>
      <c r="F64" s="477"/>
      <c r="G64" s="477"/>
      <c r="H64" s="477"/>
      <c r="I64" s="477"/>
      <c r="J64" s="477"/>
      <c r="K64" s="477"/>
      <c r="L64" s="477"/>
      <c r="M64" s="477"/>
      <c r="N64" s="477"/>
      <c r="O64" s="477"/>
      <c r="P64" s="477"/>
      <c r="Q64" s="477"/>
      <c r="R64" s="477"/>
      <c r="S64" s="477"/>
      <c r="T64" s="477"/>
      <c r="U64" s="477"/>
      <c r="V64" s="477"/>
      <c r="W64" s="477"/>
      <c r="X64" s="477"/>
      <c r="Y64" s="477"/>
      <c r="Z64" s="477"/>
    </row>
    <row r="65" spans="1:26" ht="15" customHeight="1" x14ac:dyDescent="0.35">
      <c r="A65" s="477"/>
      <c r="B65" s="477"/>
      <c r="C65" s="477"/>
      <c r="D65" s="477"/>
      <c r="E65" s="477"/>
      <c r="F65" s="477"/>
      <c r="G65" s="477"/>
      <c r="H65" s="477"/>
      <c r="I65" s="477"/>
      <c r="J65" s="477"/>
      <c r="K65" s="477"/>
      <c r="L65" s="477"/>
      <c r="M65" s="477"/>
      <c r="N65" s="477"/>
      <c r="O65" s="477"/>
      <c r="P65" s="477"/>
      <c r="Q65" s="477"/>
      <c r="R65" s="477"/>
      <c r="S65" s="477"/>
      <c r="T65" s="477"/>
      <c r="U65" s="477"/>
      <c r="V65" s="477"/>
      <c r="W65" s="477"/>
      <c r="X65" s="477"/>
      <c r="Y65" s="477"/>
      <c r="Z65" s="477"/>
    </row>
    <row r="66" spans="1:26" ht="15" customHeight="1" x14ac:dyDescent="0.35">
      <c r="A66" s="477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7"/>
      <c r="R66" s="477"/>
      <c r="S66" s="477"/>
      <c r="T66" s="477"/>
      <c r="U66" s="477"/>
      <c r="V66" s="477"/>
      <c r="W66" s="477"/>
      <c r="X66" s="477"/>
      <c r="Y66" s="477"/>
      <c r="Z66" s="477"/>
    </row>
    <row r="67" spans="1:26" ht="15" customHeight="1" x14ac:dyDescent="0.35">
      <c r="A67" s="477"/>
      <c r="B67" s="477"/>
      <c r="C67" s="477"/>
      <c r="D67" s="477"/>
      <c r="E67" s="477"/>
      <c r="F67" s="477"/>
      <c r="G67" s="477"/>
      <c r="H67" s="477"/>
      <c r="I67" s="477"/>
      <c r="J67" s="477"/>
      <c r="K67" s="477"/>
      <c r="L67" s="477"/>
      <c r="M67" s="477"/>
      <c r="N67" s="477"/>
      <c r="O67" s="477"/>
      <c r="P67" s="477"/>
      <c r="Q67" s="477"/>
      <c r="R67" s="477"/>
      <c r="S67" s="477"/>
      <c r="T67" s="477"/>
      <c r="U67" s="477"/>
      <c r="V67" s="477"/>
      <c r="W67" s="477"/>
      <c r="X67" s="477"/>
      <c r="Y67" s="477"/>
      <c r="Z67" s="477"/>
    </row>
    <row r="68" spans="1:26" ht="15" customHeight="1" x14ac:dyDescent="0.35">
      <c r="A68" s="477"/>
      <c r="B68" s="477"/>
      <c r="C68" s="477"/>
      <c r="D68" s="477"/>
      <c r="E68" s="477"/>
      <c r="F68" s="477"/>
      <c r="G68" s="477"/>
      <c r="H68" s="477"/>
      <c r="I68" s="477"/>
      <c r="J68" s="477"/>
      <c r="K68" s="477"/>
      <c r="L68" s="477"/>
      <c r="M68" s="477"/>
      <c r="N68" s="477"/>
      <c r="O68" s="477"/>
      <c r="P68" s="477"/>
      <c r="Q68" s="477"/>
      <c r="R68" s="477"/>
      <c r="S68" s="477"/>
      <c r="T68" s="477"/>
      <c r="U68" s="477"/>
      <c r="V68" s="477"/>
      <c r="W68" s="477"/>
      <c r="X68" s="477"/>
      <c r="Y68" s="477"/>
      <c r="Z68" s="477"/>
    </row>
    <row r="69" spans="1:26" ht="15" customHeight="1" x14ac:dyDescent="0.35">
      <c r="A69" s="477"/>
      <c r="B69" s="477"/>
      <c r="C69" s="477"/>
      <c r="D69" s="477"/>
      <c r="E69" s="477"/>
      <c r="F69" s="477"/>
      <c r="G69" s="477"/>
      <c r="H69" s="477"/>
      <c r="I69" s="477"/>
      <c r="J69" s="477"/>
      <c r="K69" s="477"/>
      <c r="L69" s="477"/>
      <c r="M69" s="477"/>
      <c r="N69" s="477"/>
      <c r="O69" s="477"/>
      <c r="P69" s="477"/>
      <c r="Q69" s="477"/>
      <c r="R69" s="477"/>
      <c r="S69" s="477"/>
      <c r="T69" s="477"/>
      <c r="U69" s="477"/>
      <c r="V69" s="477"/>
      <c r="W69" s="477"/>
      <c r="X69" s="477"/>
      <c r="Y69" s="477"/>
      <c r="Z69" s="477"/>
    </row>
    <row r="70" spans="1:26" ht="15" customHeight="1" x14ac:dyDescent="0.35">
      <c r="A70" s="477"/>
      <c r="B70" s="477"/>
      <c r="C70" s="477"/>
      <c r="D70" s="477"/>
      <c r="E70" s="477"/>
      <c r="F70" s="477"/>
      <c r="G70" s="477"/>
      <c r="H70" s="477"/>
      <c r="I70" s="477"/>
      <c r="J70" s="477"/>
      <c r="K70" s="477"/>
      <c r="L70" s="477"/>
      <c r="M70" s="477"/>
      <c r="N70" s="477"/>
      <c r="O70" s="477"/>
      <c r="P70" s="477"/>
      <c r="Q70" s="477"/>
      <c r="R70" s="477"/>
      <c r="S70" s="477"/>
      <c r="T70" s="477"/>
      <c r="U70" s="477"/>
      <c r="V70" s="477"/>
      <c r="W70" s="477"/>
      <c r="X70" s="477"/>
      <c r="Y70" s="477"/>
      <c r="Z70" s="477"/>
    </row>
    <row r="71" spans="1:26" ht="15" customHeight="1" x14ac:dyDescent="0.35">
      <c r="A71" s="477"/>
      <c r="B71" s="477"/>
      <c r="C71" s="477"/>
      <c r="D71" s="477"/>
      <c r="E71" s="477"/>
      <c r="F71" s="477"/>
      <c r="G71" s="477"/>
      <c r="H71" s="477"/>
      <c r="I71" s="477"/>
      <c r="J71" s="477"/>
      <c r="K71" s="477"/>
      <c r="L71" s="477"/>
      <c r="M71" s="477"/>
      <c r="N71" s="477"/>
      <c r="O71" s="477"/>
      <c r="P71" s="477"/>
      <c r="Q71" s="477"/>
      <c r="R71" s="477"/>
      <c r="S71" s="477"/>
      <c r="T71" s="477"/>
      <c r="U71" s="477"/>
      <c r="V71" s="477"/>
      <c r="W71" s="477"/>
      <c r="X71" s="477"/>
      <c r="Y71" s="477"/>
      <c r="Z71" s="477"/>
    </row>
    <row r="72" spans="1:26" ht="15" customHeight="1" x14ac:dyDescent="0.35">
      <c r="A72" s="477"/>
      <c r="B72" s="477"/>
      <c r="C72" s="477"/>
      <c r="D72" s="477"/>
      <c r="E72" s="477"/>
      <c r="F72" s="477"/>
      <c r="G72" s="477"/>
      <c r="H72" s="477"/>
      <c r="I72" s="477"/>
      <c r="J72" s="477"/>
      <c r="K72" s="477"/>
      <c r="L72" s="477"/>
      <c r="M72" s="477"/>
      <c r="N72" s="477"/>
      <c r="O72" s="477"/>
      <c r="P72" s="477"/>
      <c r="Q72" s="477"/>
      <c r="R72" s="477"/>
      <c r="S72" s="477"/>
      <c r="T72" s="477"/>
      <c r="U72" s="477"/>
      <c r="V72" s="477"/>
      <c r="W72" s="477"/>
      <c r="X72" s="477"/>
      <c r="Y72" s="477"/>
      <c r="Z72" s="477"/>
    </row>
    <row r="73" spans="1:26" ht="15" customHeight="1" x14ac:dyDescent="0.35">
      <c r="A73" s="477"/>
      <c r="B73" s="477"/>
      <c r="C73" s="477"/>
      <c r="D73" s="477"/>
      <c r="E73" s="477"/>
      <c r="F73" s="477"/>
      <c r="G73" s="477"/>
      <c r="H73" s="477"/>
      <c r="I73" s="477"/>
      <c r="J73" s="477"/>
      <c r="K73" s="477"/>
      <c r="L73" s="477"/>
      <c r="M73" s="477"/>
      <c r="N73" s="477"/>
      <c r="O73" s="477"/>
      <c r="P73" s="477"/>
      <c r="Q73" s="477"/>
      <c r="R73" s="477"/>
      <c r="S73" s="477"/>
      <c r="T73" s="477"/>
      <c r="U73" s="477"/>
      <c r="V73" s="477"/>
      <c r="W73" s="477"/>
      <c r="X73" s="477"/>
      <c r="Y73" s="477"/>
      <c r="Z73" s="477"/>
    </row>
    <row r="74" spans="1:26" ht="15" customHeight="1" x14ac:dyDescent="0.35">
      <c r="A74" s="477"/>
      <c r="B74" s="477"/>
      <c r="C74" s="477"/>
      <c r="D74" s="477"/>
      <c r="E74" s="477"/>
      <c r="F74" s="477"/>
      <c r="G74" s="477"/>
      <c r="H74" s="477"/>
      <c r="I74" s="477"/>
      <c r="J74" s="477"/>
      <c r="K74" s="477"/>
      <c r="L74" s="477"/>
      <c r="M74" s="477"/>
      <c r="N74" s="477"/>
      <c r="O74" s="477"/>
      <c r="P74" s="477"/>
      <c r="Q74" s="477"/>
      <c r="R74" s="477"/>
      <c r="S74" s="477"/>
      <c r="T74" s="477"/>
      <c r="U74" s="477"/>
      <c r="V74" s="477"/>
      <c r="W74" s="477"/>
      <c r="X74" s="477"/>
      <c r="Y74" s="477"/>
      <c r="Z74" s="477"/>
    </row>
    <row r="75" spans="1:26" ht="15" customHeight="1" x14ac:dyDescent="0.35">
      <c r="A75" s="477"/>
      <c r="B75" s="477"/>
      <c r="C75" s="477"/>
      <c r="D75" s="477"/>
      <c r="E75" s="477"/>
      <c r="F75" s="477"/>
      <c r="G75" s="477"/>
      <c r="H75" s="477"/>
      <c r="I75" s="477"/>
      <c r="J75" s="477"/>
      <c r="K75" s="477"/>
      <c r="L75" s="477"/>
      <c r="M75" s="477"/>
      <c r="N75" s="477"/>
      <c r="O75" s="477"/>
      <c r="P75" s="477"/>
      <c r="Q75" s="477"/>
      <c r="R75" s="477"/>
      <c r="S75" s="477"/>
      <c r="T75" s="477"/>
      <c r="U75" s="477"/>
      <c r="V75" s="477"/>
      <c r="W75" s="477"/>
      <c r="X75" s="477"/>
      <c r="Y75" s="477"/>
      <c r="Z75" s="477"/>
    </row>
    <row r="76" spans="1:26" ht="15" customHeight="1" x14ac:dyDescent="0.35">
      <c r="A76" s="477"/>
      <c r="B76" s="477"/>
      <c r="C76" s="477"/>
      <c r="D76" s="477"/>
      <c r="E76" s="477"/>
      <c r="F76" s="477"/>
      <c r="G76" s="477"/>
      <c r="H76" s="477"/>
      <c r="I76" s="477"/>
      <c r="J76" s="477"/>
      <c r="K76" s="477"/>
      <c r="L76" s="477"/>
      <c r="M76" s="477"/>
      <c r="N76" s="477"/>
      <c r="O76" s="477"/>
      <c r="P76" s="477"/>
      <c r="Q76" s="477"/>
      <c r="R76" s="477"/>
      <c r="S76" s="477"/>
      <c r="T76" s="477"/>
      <c r="U76" s="477"/>
      <c r="V76" s="477"/>
      <c r="W76" s="477"/>
      <c r="X76" s="477"/>
      <c r="Y76" s="477"/>
      <c r="Z76" s="477"/>
    </row>
    <row r="77" spans="1:26" ht="15" customHeight="1" x14ac:dyDescent="0.35">
      <c r="A77" s="477"/>
      <c r="B77" s="477"/>
      <c r="C77" s="477"/>
      <c r="D77" s="477"/>
      <c r="E77" s="477"/>
      <c r="F77" s="477"/>
      <c r="G77" s="477"/>
      <c r="H77" s="477"/>
      <c r="I77" s="477"/>
      <c r="J77" s="477"/>
      <c r="K77" s="477"/>
      <c r="L77" s="477"/>
      <c r="M77" s="477"/>
      <c r="N77" s="477"/>
      <c r="O77" s="477"/>
      <c r="P77" s="477"/>
      <c r="Q77" s="477"/>
      <c r="R77" s="477"/>
      <c r="S77" s="477"/>
      <c r="T77" s="477"/>
      <c r="U77" s="477"/>
      <c r="V77" s="477"/>
      <c r="W77" s="477"/>
      <c r="X77" s="477"/>
      <c r="Y77" s="477"/>
      <c r="Z77" s="477"/>
    </row>
    <row r="78" spans="1:26" ht="15" customHeight="1" x14ac:dyDescent="0.35">
      <c r="A78" s="477"/>
      <c r="B78" s="477"/>
      <c r="C78" s="477"/>
      <c r="D78" s="477"/>
      <c r="E78" s="477"/>
      <c r="F78" s="477"/>
      <c r="G78" s="477"/>
      <c r="H78" s="477"/>
      <c r="I78" s="477"/>
      <c r="J78" s="477"/>
      <c r="K78" s="477"/>
      <c r="L78" s="477"/>
      <c r="M78" s="477"/>
      <c r="N78" s="477"/>
      <c r="O78" s="477"/>
      <c r="P78" s="477"/>
      <c r="Q78" s="477"/>
      <c r="R78" s="477"/>
      <c r="S78" s="477"/>
      <c r="T78" s="477"/>
      <c r="U78" s="477"/>
      <c r="V78" s="477"/>
      <c r="W78" s="477"/>
      <c r="X78" s="477"/>
      <c r="Y78" s="477"/>
      <c r="Z78" s="477"/>
    </row>
    <row r="79" spans="1:26" ht="15" customHeight="1" x14ac:dyDescent="0.35">
      <c r="A79" s="477"/>
      <c r="B79" s="477"/>
      <c r="C79" s="477"/>
      <c r="D79" s="477"/>
      <c r="E79" s="477"/>
      <c r="F79" s="477"/>
      <c r="G79" s="477"/>
      <c r="H79" s="477"/>
      <c r="I79" s="477"/>
      <c r="J79" s="477"/>
      <c r="K79" s="477"/>
      <c r="L79" s="477"/>
      <c r="M79" s="477"/>
      <c r="N79" s="477"/>
      <c r="O79" s="477"/>
      <c r="P79" s="477"/>
      <c r="Q79" s="477"/>
      <c r="R79" s="477"/>
      <c r="S79" s="477"/>
      <c r="T79" s="477"/>
      <c r="U79" s="477"/>
      <c r="V79" s="477"/>
      <c r="W79" s="477"/>
      <c r="X79" s="477"/>
      <c r="Y79" s="477"/>
      <c r="Z79" s="477"/>
    </row>
    <row r="80" spans="1:26" ht="15" customHeight="1" x14ac:dyDescent="0.35">
      <c r="A80" s="477"/>
      <c r="B80" s="477"/>
      <c r="C80" s="477"/>
      <c r="D80" s="477"/>
      <c r="E80" s="477"/>
      <c r="F80" s="477"/>
      <c r="G80" s="477"/>
      <c r="H80" s="477"/>
      <c r="I80" s="477"/>
      <c r="J80" s="477"/>
      <c r="K80" s="477"/>
      <c r="L80" s="477"/>
      <c r="M80" s="477"/>
      <c r="N80" s="477"/>
      <c r="O80" s="477"/>
      <c r="P80" s="477"/>
      <c r="Q80" s="477"/>
      <c r="R80" s="477"/>
      <c r="S80" s="477"/>
      <c r="T80" s="477"/>
      <c r="U80" s="477"/>
      <c r="V80" s="477"/>
      <c r="W80" s="477"/>
      <c r="X80" s="477"/>
      <c r="Y80" s="477"/>
      <c r="Z80" s="477"/>
    </row>
    <row r="81" spans="1:26" ht="15" customHeight="1" x14ac:dyDescent="0.35">
      <c r="A81" s="477"/>
      <c r="B81" s="477"/>
      <c r="C81" s="477"/>
      <c r="D81" s="477"/>
      <c r="E81" s="477"/>
      <c r="F81" s="477"/>
      <c r="G81" s="477"/>
      <c r="H81" s="477"/>
      <c r="I81" s="477"/>
      <c r="J81" s="477"/>
      <c r="K81" s="477"/>
      <c r="L81" s="477"/>
      <c r="M81" s="477"/>
      <c r="N81" s="477"/>
      <c r="O81" s="477"/>
      <c r="P81" s="477"/>
      <c r="Q81" s="477"/>
      <c r="R81" s="477"/>
      <c r="S81" s="477"/>
      <c r="T81" s="477"/>
      <c r="U81" s="477"/>
      <c r="V81" s="477"/>
      <c r="W81" s="477"/>
      <c r="X81" s="477"/>
      <c r="Y81" s="477"/>
      <c r="Z81" s="477"/>
    </row>
    <row r="82" spans="1:26" ht="15" customHeight="1" x14ac:dyDescent="0.35">
      <c r="A82" s="477"/>
      <c r="B82" s="477"/>
      <c r="C82" s="477"/>
      <c r="D82" s="477"/>
      <c r="E82" s="477"/>
      <c r="F82" s="477"/>
      <c r="G82" s="477"/>
      <c r="H82" s="477"/>
      <c r="I82" s="477"/>
      <c r="J82" s="477"/>
      <c r="K82" s="477"/>
      <c r="L82" s="477"/>
      <c r="M82" s="477"/>
      <c r="N82" s="477"/>
      <c r="O82" s="477"/>
      <c r="P82" s="477"/>
      <c r="Q82" s="477"/>
      <c r="R82" s="477"/>
      <c r="S82" s="477"/>
      <c r="T82" s="477"/>
      <c r="U82" s="477"/>
      <c r="V82" s="477"/>
      <c r="W82" s="477"/>
      <c r="X82" s="477"/>
      <c r="Y82" s="477"/>
      <c r="Z82" s="477"/>
    </row>
    <row r="83" spans="1:26" ht="15" customHeight="1" x14ac:dyDescent="0.35">
      <c r="A83" s="477"/>
      <c r="B83" s="477"/>
      <c r="C83" s="477"/>
      <c r="D83" s="477"/>
      <c r="E83" s="477"/>
      <c r="F83" s="477"/>
      <c r="G83" s="477"/>
      <c r="H83" s="477"/>
      <c r="I83" s="477"/>
      <c r="J83" s="477"/>
      <c r="K83" s="477"/>
      <c r="L83" s="477"/>
      <c r="M83" s="477"/>
      <c r="N83" s="477"/>
      <c r="O83" s="477"/>
      <c r="P83" s="477"/>
      <c r="Q83" s="477"/>
      <c r="R83" s="477"/>
      <c r="S83" s="477"/>
      <c r="T83" s="477"/>
      <c r="U83" s="477"/>
      <c r="V83" s="477"/>
      <c r="W83" s="477"/>
      <c r="X83" s="477"/>
      <c r="Y83" s="477"/>
      <c r="Z83" s="477"/>
    </row>
    <row r="84" spans="1:26" ht="15" customHeight="1" x14ac:dyDescent="0.35">
      <c r="A84" s="477"/>
      <c r="B84" s="477"/>
      <c r="C84" s="477"/>
      <c r="D84" s="477"/>
      <c r="E84" s="477"/>
      <c r="F84" s="477"/>
      <c r="G84" s="477"/>
      <c r="H84" s="477"/>
      <c r="I84" s="477"/>
      <c r="J84" s="477"/>
      <c r="K84" s="477"/>
      <c r="L84" s="477"/>
      <c r="M84" s="477"/>
      <c r="N84" s="477"/>
      <c r="O84" s="477"/>
      <c r="P84" s="477"/>
      <c r="Q84" s="477"/>
      <c r="R84" s="477"/>
      <c r="S84" s="477"/>
      <c r="T84" s="477"/>
      <c r="U84" s="477"/>
      <c r="V84" s="477"/>
      <c r="W84" s="477"/>
      <c r="X84" s="477"/>
      <c r="Y84" s="477"/>
      <c r="Z84" s="477"/>
    </row>
    <row r="85" spans="1:26" ht="15" customHeight="1" x14ac:dyDescent="0.35">
      <c r="A85" s="477"/>
      <c r="B85" s="477"/>
      <c r="C85" s="477"/>
      <c r="D85" s="477"/>
      <c r="E85" s="477"/>
      <c r="F85" s="477"/>
      <c r="G85" s="477"/>
      <c r="H85" s="477"/>
      <c r="I85" s="477"/>
      <c r="J85" s="477"/>
      <c r="K85" s="477"/>
      <c r="L85" s="477"/>
      <c r="M85" s="477"/>
      <c r="N85" s="477"/>
      <c r="O85" s="477"/>
      <c r="P85" s="477"/>
      <c r="Q85" s="477"/>
      <c r="R85" s="477"/>
      <c r="S85" s="477"/>
      <c r="T85" s="477"/>
      <c r="U85" s="477"/>
      <c r="V85" s="477"/>
      <c r="W85" s="477"/>
      <c r="X85" s="477"/>
      <c r="Y85" s="477"/>
      <c r="Z85" s="477"/>
    </row>
    <row r="86" spans="1:26" ht="15" customHeight="1" x14ac:dyDescent="0.35">
      <c r="A86" s="477"/>
      <c r="B86" s="477"/>
      <c r="C86" s="477"/>
      <c r="D86" s="477"/>
      <c r="E86" s="477"/>
      <c r="F86" s="477"/>
      <c r="G86" s="477"/>
      <c r="H86" s="477"/>
      <c r="I86" s="477"/>
      <c r="J86" s="477"/>
      <c r="K86" s="477"/>
      <c r="L86" s="477"/>
      <c r="M86" s="477"/>
      <c r="N86" s="477"/>
      <c r="O86" s="477"/>
      <c r="P86" s="477"/>
      <c r="Q86" s="477"/>
      <c r="R86" s="477"/>
      <c r="S86" s="477"/>
      <c r="T86" s="477"/>
      <c r="U86" s="477"/>
      <c r="V86" s="477"/>
      <c r="W86" s="477"/>
      <c r="X86" s="477"/>
      <c r="Y86" s="477"/>
      <c r="Z86" s="477"/>
    </row>
    <row r="87" spans="1:26" ht="15" customHeight="1" x14ac:dyDescent="0.35">
      <c r="A87" s="477"/>
      <c r="B87" s="477"/>
      <c r="C87" s="477"/>
      <c r="D87" s="477"/>
      <c r="E87" s="477"/>
      <c r="F87" s="477"/>
      <c r="G87" s="477"/>
      <c r="H87" s="477"/>
      <c r="I87" s="477"/>
      <c r="J87" s="477"/>
      <c r="K87" s="477"/>
      <c r="L87" s="477"/>
      <c r="M87" s="477"/>
      <c r="N87" s="477"/>
      <c r="O87" s="477"/>
      <c r="P87" s="477"/>
      <c r="Q87" s="477"/>
      <c r="R87" s="477"/>
      <c r="S87" s="477"/>
      <c r="T87" s="477"/>
      <c r="U87" s="477"/>
      <c r="V87" s="477"/>
      <c r="W87" s="477"/>
      <c r="X87" s="477"/>
      <c r="Y87" s="477"/>
      <c r="Z87" s="477"/>
    </row>
    <row r="88" spans="1:26" ht="15" customHeight="1" x14ac:dyDescent="0.35">
      <c r="A88" s="477"/>
      <c r="B88" s="477"/>
      <c r="C88" s="477"/>
      <c r="D88" s="477"/>
      <c r="E88" s="477"/>
      <c r="F88" s="477"/>
      <c r="G88" s="477"/>
      <c r="H88" s="477"/>
      <c r="I88" s="477"/>
      <c r="J88" s="477"/>
      <c r="K88" s="477"/>
      <c r="L88" s="477"/>
      <c r="M88" s="477"/>
      <c r="N88" s="477"/>
      <c r="O88" s="477"/>
      <c r="P88" s="477"/>
      <c r="Q88" s="477"/>
      <c r="R88" s="477"/>
      <c r="S88" s="477"/>
      <c r="T88" s="477"/>
      <c r="U88" s="477"/>
      <c r="V88" s="477"/>
      <c r="W88" s="477"/>
      <c r="X88" s="477"/>
      <c r="Y88" s="477"/>
      <c r="Z88" s="477"/>
    </row>
    <row r="89" spans="1:26" ht="15" customHeight="1" x14ac:dyDescent="0.35">
      <c r="A89" s="477"/>
      <c r="B89" s="477"/>
      <c r="C89" s="477"/>
      <c r="D89" s="477"/>
      <c r="E89" s="477"/>
      <c r="F89" s="477"/>
      <c r="G89" s="477"/>
      <c r="H89" s="477"/>
      <c r="I89" s="477"/>
      <c r="J89" s="477"/>
      <c r="K89" s="477"/>
      <c r="L89" s="477"/>
      <c r="M89" s="477"/>
      <c r="N89" s="477"/>
      <c r="O89" s="477"/>
      <c r="P89" s="477"/>
      <c r="Q89" s="477"/>
      <c r="R89" s="477"/>
      <c r="S89" s="477"/>
      <c r="T89" s="477"/>
      <c r="U89" s="477"/>
      <c r="V89" s="477"/>
      <c r="W89" s="477"/>
      <c r="X89" s="477"/>
      <c r="Y89" s="477"/>
      <c r="Z89" s="477"/>
    </row>
    <row r="90" spans="1:26" ht="15" customHeight="1" x14ac:dyDescent="0.35">
      <c r="A90" s="477"/>
      <c r="B90" s="477"/>
      <c r="C90" s="477"/>
      <c r="D90" s="477"/>
      <c r="E90" s="477"/>
      <c r="F90" s="477"/>
      <c r="G90" s="477"/>
      <c r="H90" s="477"/>
      <c r="I90" s="477"/>
      <c r="J90" s="477"/>
      <c r="K90" s="477"/>
      <c r="L90" s="477"/>
      <c r="M90" s="477"/>
      <c r="N90" s="477"/>
      <c r="O90" s="477"/>
      <c r="P90" s="477"/>
      <c r="Q90" s="477"/>
      <c r="R90" s="477"/>
      <c r="S90" s="477"/>
      <c r="T90" s="477"/>
      <c r="U90" s="477"/>
      <c r="V90" s="477"/>
      <c r="W90" s="477"/>
      <c r="X90" s="477"/>
      <c r="Y90" s="477"/>
      <c r="Z90" s="477"/>
    </row>
    <row r="91" spans="1:26" ht="15" customHeight="1" x14ac:dyDescent="0.35">
      <c r="A91" s="477"/>
      <c r="B91" s="477"/>
      <c r="C91" s="477"/>
      <c r="D91" s="477"/>
      <c r="E91" s="477"/>
      <c r="F91" s="477"/>
      <c r="G91" s="477"/>
      <c r="H91" s="477"/>
      <c r="I91" s="477"/>
      <c r="J91" s="477"/>
      <c r="K91" s="477"/>
      <c r="L91" s="477"/>
      <c r="M91" s="477"/>
      <c r="N91" s="477"/>
      <c r="O91" s="477"/>
      <c r="P91" s="477"/>
      <c r="Q91" s="477"/>
      <c r="R91" s="477"/>
      <c r="S91" s="477"/>
      <c r="T91" s="477"/>
      <c r="U91" s="477"/>
      <c r="V91" s="477"/>
      <c r="W91" s="477"/>
      <c r="X91" s="477"/>
      <c r="Y91" s="477"/>
      <c r="Z91" s="477"/>
    </row>
    <row r="92" spans="1:26" ht="15" customHeight="1" x14ac:dyDescent="0.35">
      <c r="A92" s="477"/>
      <c r="B92" s="477"/>
      <c r="C92" s="477"/>
      <c r="D92" s="477"/>
      <c r="E92" s="477"/>
      <c r="F92" s="477"/>
      <c r="G92" s="477"/>
      <c r="H92" s="477"/>
      <c r="I92" s="477"/>
      <c r="J92" s="477"/>
      <c r="K92" s="477"/>
      <c r="L92" s="477"/>
      <c r="M92" s="477"/>
      <c r="N92" s="477"/>
      <c r="O92" s="477"/>
      <c r="P92" s="477"/>
      <c r="Q92" s="477"/>
      <c r="R92" s="477"/>
      <c r="S92" s="477"/>
      <c r="T92" s="477"/>
      <c r="U92" s="477"/>
      <c r="V92" s="477"/>
      <c r="W92" s="477"/>
      <c r="X92" s="477"/>
      <c r="Y92" s="477"/>
      <c r="Z92" s="477"/>
    </row>
    <row r="93" spans="1:26" ht="15" customHeight="1" x14ac:dyDescent="0.35">
      <c r="A93" s="477"/>
      <c r="B93" s="477"/>
      <c r="C93" s="477"/>
      <c r="D93" s="477"/>
      <c r="E93" s="477"/>
      <c r="F93" s="477"/>
      <c r="G93" s="477"/>
      <c r="H93" s="477"/>
      <c r="I93" s="477"/>
      <c r="J93" s="477"/>
      <c r="K93" s="477"/>
      <c r="L93" s="477"/>
      <c r="M93" s="477"/>
      <c r="N93" s="477"/>
      <c r="O93" s="477"/>
      <c r="P93" s="477"/>
      <c r="Q93" s="477"/>
      <c r="R93" s="477"/>
      <c r="S93" s="477"/>
      <c r="T93" s="477"/>
      <c r="U93" s="477"/>
      <c r="V93" s="477"/>
      <c r="W93" s="477"/>
      <c r="X93" s="477"/>
      <c r="Y93" s="477"/>
      <c r="Z93" s="477"/>
    </row>
    <row r="94" spans="1:26" ht="15" customHeight="1" x14ac:dyDescent="0.35">
      <c r="A94" s="477"/>
      <c r="B94" s="477"/>
      <c r="C94" s="477"/>
      <c r="D94" s="477"/>
      <c r="E94" s="477"/>
      <c r="F94" s="477"/>
      <c r="G94" s="477"/>
      <c r="H94" s="477"/>
      <c r="I94" s="477"/>
      <c r="J94" s="477"/>
      <c r="K94" s="477"/>
      <c r="L94" s="477"/>
      <c r="M94" s="477"/>
      <c r="N94" s="477"/>
      <c r="O94" s="477"/>
      <c r="P94" s="477"/>
      <c r="Q94" s="477"/>
      <c r="R94" s="477"/>
      <c r="S94" s="477"/>
      <c r="T94" s="477"/>
      <c r="U94" s="477"/>
      <c r="V94" s="477"/>
      <c r="W94" s="477"/>
      <c r="X94" s="477"/>
      <c r="Y94" s="477"/>
      <c r="Z94" s="477"/>
    </row>
    <row r="95" spans="1:26" ht="15" customHeight="1" x14ac:dyDescent="0.35">
      <c r="A95" s="477"/>
      <c r="B95" s="477"/>
      <c r="C95" s="477"/>
      <c r="D95" s="477"/>
      <c r="E95" s="477"/>
      <c r="F95" s="477"/>
      <c r="G95" s="477"/>
      <c r="H95" s="477"/>
      <c r="I95" s="477"/>
      <c r="J95" s="477"/>
      <c r="K95" s="477"/>
      <c r="L95" s="477"/>
      <c r="M95" s="477"/>
      <c r="N95" s="477"/>
      <c r="O95" s="477"/>
      <c r="P95" s="477"/>
      <c r="Q95" s="477"/>
      <c r="R95" s="477"/>
      <c r="S95" s="477"/>
      <c r="T95" s="477"/>
      <c r="U95" s="477"/>
      <c r="V95" s="477"/>
      <c r="W95" s="477"/>
      <c r="X95" s="477"/>
      <c r="Y95" s="477"/>
      <c r="Z95" s="477"/>
    </row>
    <row r="96" spans="1:26" ht="15" customHeight="1" x14ac:dyDescent="0.35">
      <c r="A96" s="477"/>
      <c r="B96" s="477"/>
      <c r="C96" s="477"/>
      <c r="D96" s="477"/>
      <c r="E96" s="477"/>
      <c r="F96" s="477"/>
      <c r="G96" s="477"/>
      <c r="H96" s="477"/>
      <c r="I96" s="477"/>
      <c r="J96" s="477"/>
      <c r="K96" s="477"/>
      <c r="L96" s="477"/>
      <c r="M96" s="477"/>
      <c r="N96" s="477"/>
      <c r="O96" s="477"/>
      <c r="P96" s="477"/>
      <c r="Q96" s="477"/>
      <c r="R96" s="477"/>
      <c r="S96" s="477"/>
      <c r="T96" s="477"/>
      <c r="U96" s="477"/>
      <c r="V96" s="477"/>
      <c r="W96" s="477"/>
      <c r="X96" s="477"/>
      <c r="Y96" s="477"/>
      <c r="Z96" s="477"/>
    </row>
    <row r="97" spans="1:26" ht="15" customHeight="1" x14ac:dyDescent="0.35">
      <c r="A97" s="477"/>
      <c r="B97" s="477"/>
      <c r="C97" s="477"/>
      <c r="D97" s="477"/>
      <c r="E97" s="477"/>
      <c r="F97" s="477"/>
      <c r="G97" s="477"/>
      <c r="H97" s="477"/>
      <c r="I97" s="477"/>
      <c r="J97" s="477"/>
      <c r="K97" s="477"/>
      <c r="L97" s="477"/>
      <c r="M97" s="477"/>
      <c r="N97" s="477"/>
      <c r="O97" s="477"/>
      <c r="P97" s="477"/>
      <c r="Q97" s="477"/>
      <c r="R97" s="477"/>
      <c r="S97" s="477"/>
      <c r="T97" s="477"/>
      <c r="U97" s="477"/>
      <c r="V97" s="477"/>
      <c r="W97" s="477"/>
      <c r="X97" s="477"/>
      <c r="Y97" s="477"/>
      <c r="Z97" s="477"/>
    </row>
    <row r="98" spans="1:26" ht="15" customHeight="1" x14ac:dyDescent="0.35">
      <c r="A98" s="477"/>
      <c r="B98" s="477"/>
      <c r="C98" s="477"/>
      <c r="D98" s="477"/>
      <c r="E98" s="477"/>
      <c r="F98" s="477"/>
      <c r="G98" s="477"/>
      <c r="H98" s="477"/>
      <c r="I98" s="477"/>
      <c r="J98" s="477"/>
      <c r="K98" s="477"/>
      <c r="L98" s="477"/>
      <c r="M98" s="477"/>
      <c r="N98" s="477"/>
      <c r="O98" s="477"/>
      <c r="P98" s="477"/>
      <c r="Q98" s="477"/>
      <c r="R98" s="477"/>
      <c r="S98" s="477"/>
      <c r="T98" s="477"/>
      <c r="U98" s="477"/>
      <c r="V98" s="477"/>
      <c r="W98" s="477"/>
      <c r="X98" s="477"/>
      <c r="Y98" s="477"/>
      <c r="Z98" s="477"/>
    </row>
    <row r="99" spans="1:26" ht="15" customHeight="1" x14ac:dyDescent="0.35">
      <c r="A99" s="477"/>
      <c r="B99" s="477"/>
      <c r="C99" s="477"/>
      <c r="D99" s="477"/>
      <c r="E99" s="477"/>
      <c r="F99" s="477"/>
      <c r="G99" s="477"/>
      <c r="H99" s="477"/>
      <c r="I99" s="477"/>
      <c r="J99" s="477"/>
      <c r="K99" s="477"/>
      <c r="L99" s="477"/>
      <c r="M99" s="477"/>
      <c r="N99" s="477"/>
      <c r="O99" s="477"/>
      <c r="P99" s="477"/>
      <c r="Q99" s="477"/>
      <c r="R99" s="477"/>
      <c r="S99" s="477"/>
      <c r="T99" s="477"/>
      <c r="U99" s="477"/>
      <c r="V99" s="477"/>
      <c r="W99" s="477"/>
      <c r="X99" s="477"/>
      <c r="Y99" s="477"/>
      <c r="Z99" s="477"/>
    </row>
    <row r="100" spans="1:26" ht="15" customHeight="1" x14ac:dyDescent="0.35">
      <c r="A100" s="477"/>
      <c r="B100" s="477"/>
      <c r="C100" s="477"/>
      <c r="D100" s="477"/>
      <c r="E100" s="477"/>
      <c r="F100" s="477"/>
      <c r="G100" s="477"/>
      <c r="H100" s="477"/>
      <c r="I100" s="477"/>
      <c r="J100" s="477"/>
      <c r="K100" s="477"/>
      <c r="L100" s="477"/>
      <c r="M100" s="477"/>
      <c r="N100" s="477"/>
      <c r="O100" s="477"/>
      <c r="P100" s="477"/>
      <c r="Q100" s="477"/>
      <c r="R100" s="477"/>
      <c r="S100" s="477"/>
      <c r="T100" s="477"/>
      <c r="U100" s="477"/>
      <c r="V100" s="477"/>
      <c r="W100" s="477"/>
      <c r="X100" s="477"/>
      <c r="Y100" s="477"/>
      <c r="Z100" s="477"/>
    </row>
    <row r="101" spans="1:26" ht="15" customHeight="1" x14ac:dyDescent="0.35">
      <c r="A101" s="477"/>
      <c r="B101" s="477"/>
      <c r="C101" s="477"/>
      <c r="D101" s="477"/>
      <c r="E101" s="477"/>
      <c r="F101" s="477"/>
      <c r="G101" s="477"/>
      <c r="H101" s="477"/>
      <c r="I101" s="477"/>
      <c r="J101" s="477"/>
      <c r="K101" s="477"/>
      <c r="L101" s="477"/>
      <c r="M101" s="477"/>
      <c r="N101" s="477"/>
      <c r="O101" s="477"/>
      <c r="P101" s="477"/>
      <c r="Q101" s="477"/>
      <c r="R101" s="477"/>
      <c r="S101" s="477"/>
      <c r="T101" s="477"/>
      <c r="U101" s="477"/>
      <c r="V101" s="477"/>
      <c r="W101" s="477"/>
      <c r="X101" s="477"/>
      <c r="Y101" s="477"/>
      <c r="Z101" s="477"/>
    </row>
    <row r="102" spans="1:26" ht="15" customHeight="1" x14ac:dyDescent="0.35">
      <c r="A102" s="477"/>
      <c r="B102" s="477"/>
      <c r="C102" s="477"/>
      <c r="D102" s="477"/>
      <c r="E102" s="477"/>
      <c r="F102" s="477"/>
      <c r="G102" s="477"/>
      <c r="H102" s="477"/>
      <c r="I102" s="477"/>
      <c r="J102" s="477"/>
      <c r="K102" s="477"/>
      <c r="L102" s="477"/>
      <c r="M102" s="477"/>
      <c r="N102" s="477"/>
      <c r="O102" s="477"/>
      <c r="P102" s="477"/>
      <c r="Q102" s="477"/>
      <c r="R102" s="477"/>
      <c r="S102" s="477"/>
      <c r="T102" s="477"/>
      <c r="U102" s="477"/>
      <c r="V102" s="477"/>
      <c r="W102" s="477"/>
      <c r="X102" s="477"/>
      <c r="Y102" s="477"/>
      <c r="Z102" s="477"/>
    </row>
    <row r="103" spans="1:26" ht="15" customHeight="1" x14ac:dyDescent="0.35">
      <c r="A103" s="477"/>
      <c r="B103" s="477"/>
      <c r="C103" s="477"/>
      <c r="D103" s="477"/>
      <c r="E103" s="477"/>
      <c r="F103" s="477"/>
      <c r="G103" s="477"/>
      <c r="H103" s="477"/>
      <c r="I103" s="477"/>
      <c r="J103" s="477"/>
      <c r="K103" s="477"/>
      <c r="L103" s="477"/>
      <c r="M103" s="477"/>
      <c r="N103" s="477"/>
      <c r="O103" s="477"/>
      <c r="P103" s="477"/>
      <c r="Q103" s="477"/>
      <c r="R103" s="477"/>
      <c r="S103" s="477"/>
      <c r="T103" s="477"/>
      <c r="U103" s="477"/>
      <c r="V103" s="477"/>
      <c r="W103" s="477"/>
      <c r="X103" s="477"/>
      <c r="Y103" s="477"/>
      <c r="Z103" s="477"/>
    </row>
    <row r="104" spans="1:26" ht="15" customHeight="1" x14ac:dyDescent="0.35">
      <c r="A104" s="477"/>
      <c r="B104" s="477"/>
      <c r="C104" s="477"/>
      <c r="D104" s="477"/>
      <c r="E104" s="477"/>
      <c r="F104" s="477"/>
      <c r="G104" s="477"/>
      <c r="H104" s="477"/>
      <c r="I104" s="477"/>
      <c r="J104" s="477"/>
      <c r="K104" s="477"/>
      <c r="L104" s="477"/>
      <c r="M104" s="477"/>
      <c r="N104" s="477"/>
      <c r="O104" s="477"/>
      <c r="P104" s="477"/>
      <c r="Q104" s="477"/>
      <c r="R104" s="477"/>
      <c r="S104" s="477"/>
      <c r="T104" s="477"/>
      <c r="U104" s="477"/>
      <c r="V104" s="477"/>
      <c r="W104" s="477"/>
      <c r="X104" s="477"/>
      <c r="Y104" s="477"/>
      <c r="Z104" s="477"/>
    </row>
    <row r="105" spans="1:26" ht="15" customHeight="1" x14ac:dyDescent="0.35">
      <c r="A105" s="477"/>
      <c r="B105" s="477"/>
      <c r="C105" s="477"/>
      <c r="D105" s="477"/>
      <c r="E105" s="477"/>
      <c r="F105" s="477"/>
      <c r="G105" s="477"/>
      <c r="H105" s="477"/>
      <c r="I105" s="477"/>
      <c r="J105" s="477"/>
      <c r="K105" s="477"/>
      <c r="L105" s="477"/>
      <c r="M105" s="477"/>
      <c r="N105" s="477"/>
      <c r="O105" s="477"/>
      <c r="P105" s="477"/>
      <c r="Q105" s="477"/>
      <c r="R105" s="477"/>
      <c r="S105" s="477"/>
      <c r="T105" s="477"/>
      <c r="U105" s="477"/>
      <c r="V105" s="477"/>
      <c r="W105" s="477"/>
      <c r="X105" s="477"/>
      <c r="Y105" s="477"/>
      <c r="Z105" s="477"/>
    </row>
    <row r="106" spans="1:26" ht="15" customHeight="1" x14ac:dyDescent="0.35">
      <c r="A106" s="477"/>
      <c r="B106" s="477"/>
      <c r="C106" s="477"/>
      <c r="D106" s="477"/>
      <c r="E106" s="477"/>
      <c r="F106" s="477"/>
      <c r="G106" s="477"/>
      <c r="H106" s="477"/>
      <c r="I106" s="477"/>
      <c r="J106" s="477"/>
      <c r="K106" s="477"/>
      <c r="L106" s="477"/>
      <c r="M106" s="477"/>
      <c r="N106" s="477"/>
      <c r="O106" s="477"/>
      <c r="P106" s="477"/>
      <c r="Q106" s="477"/>
      <c r="R106" s="477"/>
      <c r="S106" s="477"/>
      <c r="T106" s="477"/>
      <c r="U106" s="477"/>
      <c r="V106" s="477"/>
      <c r="W106" s="477"/>
      <c r="X106" s="477"/>
      <c r="Y106" s="477"/>
      <c r="Z106" s="477"/>
    </row>
    <row r="107" spans="1:26" ht="15" customHeight="1" x14ac:dyDescent="0.35">
      <c r="A107" s="477"/>
      <c r="B107" s="477"/>
      <c r="C107" s="477"/>
      <c r="D107" s="477"/>
      <c r="E107" s="477"/>
      <c r="F107" s="477"/>
      <c r="G107" s="477"/>
      <c r="H107" s="477"/>
      <c r="I107" s="477"/>
      <c r="J107" s="477"/>
      <c r="K107" s="477"/>
      <c r="L107" s="477"/>
      <c r="M107" s="477"/>
      <c r="N107" s="477"/>
      <c r="O107" s="477"/>
      <c r="P107" s="477"/>
      <c r="Q107" s="477"/>
      <c r="R107" s="477"/>
      <c r="S107" s="477"/>
      <c r="T107" s="477"/>
      <c r="U107" s="477"/>
      <c r="V107" s="477"/>
      <c r="W107" s="477"/>
      <c r="X107" s="477"/>
      <c r="Y107" s="477"/>
      <c r="Z107" s="477"/>
    </row>
    <row r="108" spans="1:26" ht="15" customHeight="1" x14ac:dyDescent="0.35">
      <c r="A108" s="477"/>
      <c r="B108" s="477"/>
      <c r="C108" s="477"/>
      <c r="D108" s="477"/>
      <c r="E108" s="477"/>
      <c r="F108" s="477"/>
      <c r="G108" s="477"/>
      <c r="H108" s="477"/>
      <c r="I108" s="477"/>
      <c r="J108" s="477"/>
      <c r="K108" s="477"/>
      <c r="L108" s="477"/>
      <c r="M108" s="477"/>
      <c r="N108" s="477"/>
      <c r="O108" s="477"/>
      <c r="P108" s="477"/>
      <c r="Q108" s="477"/>
      <c r="R108" s="477"/>
      <c r="S108" s="477"/>
      <c r="T108" s="477"/>
      <c r="U108" s="477"/>
      <c r="V108" s="477"/>
      <c r="W108" s="477"/>
      <c r="X108" s="477"/>
      <c r="Y108" s="477"/>
      <c r="Z108" s="477"/>
    </row>
    <row r="109" spans="1:26" ht="15" customHeight="1" x14ac:dyDescent="0.35">
      <c r="A109" s="477"/>
      <c r="B109" s="477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477"/>
      <c r="Q109" s="477"/>
      <c r="R109" s="477"/>
      <c r="S109" s="477"/>
      <c r="T109" s="477"/>
      <c r="U109" s="477"/>
      <c r="V109" s="477"/>
      <c r="W109" s="477"/>
      <c r="X109" s="477"/>
      <c r="Y109" s="477"/>
      <c r="Z109" s="477"/>
    </row>
    <row r="110" spans="1:26" ht="15" customHeight="1" x14ac:dyDescent="0.35">
      <c r="A110" s="477"/>
      <c r="B110" s="477"/>
      <c r="C110" s="477"/>
      <c r="D110" s="477"/>
      <c r="E110" s="477"/>
      <c r="F110" s="477"/>
      <c r="G110" s="477"/>
      <c r="H110" s="477"/>
      <c r="I110" s="477"/>
      <c r="J110" s="477"/>
      <c r="K110" s="477"/>
      <c r="L110" s="477"/>
      <c r="M110" s="477"/>
      <c r="N110" s="477"/>
      <c r="O110" s="477"/>
      <c r="P110" s="477"/>
      <c r="Q110" s="477"/>
      <c r="R110" s="477"/>
      <c r="S110" s="477"/>
      <c r="T110" s="477"/>
      <c r="U110" s="477"/>
      <c r="V110" s="477"/>
      <c r="W110" s="477"/>
      <c r="X110" s="477"/>
      <c r="Y110" s="477"/>
      <c r="Z110" s="477"/>
    </row>
    <row r="111" spans="1:26" ht="15" customHeight="1" x14ac:dyDescent="0.35">
      <c r="A111" s="477"/>
      <c r="B111" s="477"/>
      <c r="C111" s="477"/>
      <c r="D111" s="477"/>
      <c r="E111" s="477"/>
      <c r="F111" s="477"/>
      <c r="G111" s="477"/>
      <c r="H111" s="477"/>
      <c r="I111" s="477"/>
      <c r="J111" s="477"/>
      <c r="K111" s="477"/>
      <c r="L111" s="477"/>
      <c r="M111" s="477"/>
      <c r="N111" s="477"/>
      <c r="O111" s="477"/>
      <c r="P111" s="477"/>
      <c r="Q111" s="477"/>
      <c r="R111" s="477"/>
      <c r="S111" s="477"/>
      <c r="T111" s="477"/>
      <c r="U111" s="477"/>
      <c r="V111" s="477"/>
      <c r="W111" s="477"/>
      <c r="X111" s="477"/>
      <c r="Y111" s="477"/>
      <c r="Z111" s="477"/>
    </row>
    <row r="112" spans="1:26" ht="15" customHeight="1" x14ac:dyDescent="0.35">
      <c r="A112" s="477"/>
      <c r="B112" s="477"/>
      <c r="C112" s="477"/>
      <c r="D112" s="477"/>
      <c r="E112" s="477"/>
      <c r="F112" s="477"/>
      <c r="G112" s="477"/>
      <c r="H112" s="477"/>
      <c r="I112" s="477"/>
      <c r="J112" s="477"/>
      <c r="K112" s="477"/>
      <c r="L112" s="477"/>
      <c r="M112" s="477"/>
      <c r="N112" s="477"/>
      <c r="O112" s="477"/>
      <c r="P112" s="477"/>
      <c r="Q112" s="477"/>
      <c r="R112" s="477"/>
      <c r="S112" s="477"/>
      <c r="T112" s="477"/>
      <c r="U112" s="477"/>
      <c r="V112" s="477"/>
      <c r="W112" s="477"/>
      <c r="X112" s="477"/>
      <c r="Y112" s="477"/>
      <c r="Z112" s="477"/>
    </row>
    <row r="113" spans="1:26" ht="15" customHeight="1" x14ac:dyDescent="0.35">
      <c r="A113" s="477"/>
      <c r="B113" s="477"/>
      <c r="C113" s="477"/>
      <c r="D113" s="477"/>
      <c r="E113" s="477"/>
      <c r="F113" s="477"/>
      <c r="G113" s="477"/>
      <c r="H113" s="477"/>
      <c r="I113" s="477"/>
      <c r="J113" s="477"/>
      <c r="K113" s="477"/>
      <c r="L113" s="477"/>
      <c r="M113" s="477"/>
      <c r="N113" s="477"/>
      <c r="O113" s="477"/>
      <c r="P113" s="477"/>
      <c r="Q113" s="477"/>
      <c r="R113" s="477"/>
      <c r="S113" s="477"/>
      <c r="T113" s="477"/>
      <c r="U113" s="477"/>
      <c r="V113" s="477"/>
      <c r="W113" s="477"/>
      <c r="X113" s="477"/>
      <c r="Y113" s="477"/>
      <c r="Z113" s="477"/>
    </row>
    <row r="114" spans="1:26" ht="15" customHeight="1" x14ac:dyDescent="0.35">
      <c r="A114" s="477"/>
      <c r="B114" s="477"/>
      <c r="C114" s="477"/>
      <c r="D114" s="477"/>
      <c r="E114" s="477"/>
      <c r="F114" s="477"/>
      <c r="G114" s="477"/>
      <c r="H114" s="477"/>
      <c r="I114" s="477"/>
      <c r="J114" s="477"/>
      <c r="K114" s="477"/>
      <c r="L114" s="477"/>
      <c r="M114" s="477"/>
      <c r="N114" s="477"/>
      <c r="O114" s="477"/>
      <c r="P114" s="477"/>
      <c r="Q114" s="477"/>
      <c r="R114" s="477"/>
      <c r="S114" s="477"/>
      <c r="T114" s="477"/>
      <c r="U114" s="477"/>
      <c r="V114" s="477"/>
      <c r="W114" s="477"/>
      <c r="X114" s="477"/>
      <c r="Y114" s="477"/>
      <c r="Z114" s="477"/>
    </row>
    <row r="115" spans="1:26" ht="15" customHeight="1" x14ac:dyDescent="0.35">
      <c r="A115" s="477"/>
      <c r="B115" s="477"/>
      <c r="C115" s="477"/>
      <c r="D115" s="477"/>
      <c r="E115" s="477"/>
      <c r="F115" s="477"/>
      <c r="G115" s="477"/>
      <c r="H115" s="477"/>
      <c r="I115" s="477"/>
      <c r="J115" s="477"/>
      <c r="K115" s="477"/>
      <c r="L115" s="477"/>
      <c r="M115" s="477"/>
      <c r="N115" s="477"/>
      <c r="O115" s="477"/>
      <c r="P115" s="477"/>
      <c r="Q115" s="477"/>
      <c r="R115" s="477"/>
      <c r="S115" s="477"/>
      <c r="T115" s="477"/>
      <c r="U115" s="477"/>
      <c r="V115" s="477"/>
      <c r="W115" s="477"/>
      <c r="X115" s="477"/>
      <c r="Y115" s="477"/>
      <c r="Z115" s="477"/>
    </row>
    <row r="116" spans="1:26" ht="15" customHeight="1" x14ac:dyDescent="0.35">
      <c r="A116" s="477"/>
      <c r="B116" s="477"/>
      <c r="C116" s="477"/>
      <c r="D116" s="477"/>
      <c r="E116" s="477"/>
      <c r="F116" s="477"/>
      <c r="G116" s="477"/>
      <c r="H116" s="477"/>
      <c r="I116" s="477"/>
      <c r="J116" s="477"/>
      <c r="K116" s="477"/>
      <c r="L116" s="477"/>
      <c r="M116" s="477"/>
      <c r="N116" s="477"/>
      <c r="O116" s="477"/>
      <c r="P116" s="477"/>
      <c r="Q116" s="477"/>
      <c r="R116" s="477"/>
      <c r="S116" s="477"/>
      <c r="T116" s="477"/>
      <c r="U116" s="477"/>
      <c r="V116" s="477"/>
      <c r="W116" s="477"/>
      <c r="X116" s="477"/>
      <c r="Y116" s="477"/>
      <c r="Z116" s="477"/>
    </row>
    <row r="117" spans="1:26" ht="15" customHeight="1" x14ac:dyDescent="0.35">
      <c r="A117" s="477"/>
      <c r="B117" s="477"/>
      <c r="C117" s="477"/>
      <c r="D117" s="477"/>
      <c r="E117" s="477"/>
      <c r="F117" s="477"/>
      <c r="G117" s="477"/>
      <c r="H117" s="477"/>
      <c r="I117" s="477"/>
      <c r="J117" s="477"/>
      <c r="K117" s="477"/>
      <c r="L117" s="477"/>
      <c r="M117" s="477"/>
      <c r="N117" s="477"/>
      <c r="O117" s="477"/>
      <c r="P117" s="477"/>
      <c r="Q117" s="477"/>
      <c r="R117" s="477"/>
      <c r="S117" s="477"/>
      <c r="T117" s="477"/>
      <c r="U117" s="477"/>
      <c r="V117" s="477"/>
      <c r="W117" s="477"/>
      <c r="X117" s="477"/>
      <c r="Y117" s="477"/>
      <c r="Z117" s="477"/>
    </row>
    <row r="118" spans="1:26" ht="15" customHeight="1" x14ac:dyDescent="0.35">
      <c r="A118" s="477"/>
      <c r="B118" s="477"/>
      <c r="C118" s="477"/>
      <c r="D118" s="477"/>
      <c r="E118" s="477"/>
      <c r="F118" s="477"/>
      <c r="G118" s="477"/>
      <c r="H118" s="477"/>
      <c r="I118" s="477"/>
      <c r="J118" s="477"/>
      <c r="K118" s="477"/>
      <c r="L118" s="477"/>
      <c r="M118" s="477"/>
      <c r="N118" s="477"/>
      <c r="O118" s="477"/>
      <c r="P118" s="477"/>
      <c r="Q118" s="477"/>
      <c r="R118" s="477"/>
      <c r="S118" s="477"/>
      <c r="T118" s="477"/>
      <c r="U118" s="477"/>
      <c r="V118" s="477"/>
      <c r="W118" s="477"/>
      <c r="X118" s="477"/>
      <c r="Y118" s="477"/>
      <c r="Z118" s="477"/>
    </row>
    <row r="119" spans="1:26" ht="15" customHeight="1" x14ac:dyDescent="0.35">
      <c r="A119" s="477"/>
      <c r="B119" s="477"/>
      <c r="C119" s="477"/>
      <c r="D119" s="477"/>
      <c r="E119" s="477"/>
      <c r="F119" s="477"/>
      <c r="G119" s="477"/>
      <c r="H119" s="477"/>
      <c r="I119" s="477"/>
      <c r="J119" s="477"/>
      <c r="K119" s="477"/>
      <c r="L119" s="477"/>
      <c r="M119" s="477"/>
      <c r="N119" s="477"/>
      <c r="O119" s="477"/>
      <c r="P119" s="477"/>
      <c r="Q119" s="477"/>
      <c r="R119" s="477"/>
      <c r="S119" s="477"/>
      <c r="T119" s="477"/>
      <c r="U119" s="477"/>
      <c r="V119" s="477"/>
      <c r="W119" s="477"/>
      <c r="X119" s="477"/>
      <c r="Y119" s="477"/>
      <c r="Z119" s="477"/>
    </row>
    <row r="120" spans="1:26" ht="15" customHeight="1" x14ac:dyDescent="0.35">
      <c r="A120" s="477"/>
      <c r="B120" s="477"/>
      <c r="C120" s="477"/>
      <c r="D120" s="477"/>
      <c r="E120" s="477"/>
      <c r="F120" s="477"/>
      <c r="G120" s="477"/>
      <c r="H120" s="477"/>
      <c r="I120" s="477"/>
      <c r="J120" s="477"/>
      <c r="K120" s="477"/>
      <c r="L120" s="477"/>
      <c r="M120" s="477"/>
      <c r="N120" s="477"/>
      <c r="O120" s="477"/>
      <c r="P120" s="477"/>
      <c r="Q120" s="477"/>
      <c r="R120" s="477"/>
      <c r="S120" s="477"/>
      <c r="T120" s="477"/>
      <c r="U120" s="477"/>
      <c r="V120" s="477"/>
      <c r="W120" s="477"/>
      <c r="X120" s="477"/>
      <c r="Y120" s="477"/>
      <c r="Z120" s="477"/>
    </row>
    <row r="121" spans="1:26" ht="15" customHeight="1" x14ac:dyDescent="0.35">
      <c r="A121" s="477"/>
      <c r="B121" s="477"/>
      <c r="C121" s="477"/>
      <c r="D121" s="477"/>
      <c r="E121" s="477"/>
      <c r="F121" s="477"/>
      <c r="G121" s="477"/>
      <c r="H121" s="477"/>
      <c r="I121" s="477"/>
      <c r="J121" s="477"/>
      <c r="K121" s="477"/>
      <c r="L121" s="477"/>
      <c r="M121" s="477"/>
      <c r="N121" s="477"/>
      <c r="O121" s="477"/>
      <c r="P121" s="477"/>
      <c r="Q121" s="477"/>
      <c r="R121" s="477"/>
      <c r="S121" s="477"/>
      <c r="T121" s="477"/>
      <c r="U121" s="477"/>
      <c r="V121" s="477"/>
      <c r="W121" s="477"/>
      <c r="X121" s="477"/>
      <c r="Y121" s="477"/>
      <c r="Z121" s="477"/>
    </row>
    <row r="122" spans="1:26" ht="15" customHeight="1" x14ac:dyDescent="0.35">
      <c r="A122" s="477"/>
      <c r="B122" s="477"/>
      <c r="C122" s="477"/>
      <c r="D122" s="477"/>
      <c r="E122" s="477"/>
      <c r="F122" s="477"/>
      <c r="G122" s="477"/>
      <c r="H122" s="477"/>
      <c r="I122" s="477"/>
      <c r="J122" s="477"/>
      <c r="K122" s="477"/>
      <c r="L122" s="477"/>
      <c r="M122" s="477"/>
      <c r="N122" s="477"/>
      <c r="O122" s="477"/>
      <c r="P122" s="477"/>
      <c r="Q122" s="477"/>
      <c r="R122" s="477"/>
      <c r="S122" s="477"/>
      <c r="T122" s="477"/>
      <c r="U122" s="477"/>
      <c r="V122" s="477"/>
      <c r="W122" s="477"/>
      <c r="X122" s="477"/>
      <c r="Y122" s="477"/>
      <c r="Z122" s="477"/>
    </row>
    <row r="123" spans="1:26" ht="15" customHeight="1" x14ac:dyDescent="0.35">
      <c r="A123" s="477"/>
      <c r="B123" s="477"/>
      <c r="C123" s="477"/>
      <c r="D123" s="477"/>
      <c r="E123" s="477"/>
      <c r="F123" s="477"/>
      <c r="G123" s="477"/>
      <c r="H123" s="477"/>
      <c r="I123" s="477"/>
      <c r="J123" s="477"/>
      <c r="K123" s="477"/>
      <c r="L123" s="477"/>
      <c r="M123" s="477"/>
      <c r="N123" s="477"/>
      <c r="O123" s="477"/>
      <c r="P123" s="477"/>
      <c r="Q123" s="477"/>
      <c r="R123" s="477"/>
      <c r="S123" s="477"/>
      <c r="T123" s="477"/>
      <c r="U123" s="477"/>
      <c r="V123" s="477"/>
      <c r="W123" s="477"/>
      <c r="X123" s="477"/>
      <c r="Y123" s="477"/>
      <c r="Z123" s="477"/>
    </row>
    <row r="124" spans="1:26" ht="15" customHeight="1" x14ac:dyDescent="0.35">
      <c r="A124" s="477"/>
      <c r="B124" s="477"/>
      <c r="C124" s="477"/>
      <c r="D124" s="477"/>
      <c r="E124" s="477"/>
      <c r="F124" s="477"/>
      <c r="G124" s="477"/>
      <c r="H124" s="477"/>
      <c r="I124" s="477"/>
      <c r="J124" s="477"/>
      <c r="K124" s="477"/>
      <c r="L124" s="477"/>
      <c r="M124" s="477"/>
      <c r="N124" s="477"/>
      <c r="O124" s="477"/>
      <c r="P124" s="477"/>
      <c r="Q124" s="477"/>
      <c r="R124" s="477"/>
      <c r="S124" s="477"/>
      <c r="T124" s="477"/>
      <c r="U124" s="477"/>
      <c r="V124" s="477"/>
      <c r="W124" s="477"/>
      <c r="X124" s="477"/>
      <c r="Y124" s="477"/>
      <c r="Z124" s="477"/>
    </row>
    <row r="125" spans="1:26" ht="15" customHeight="1" x14ac:dyDescent="0.35">
      <c r="A125" s="477"/>
      <c r="B125" s="477"/>
      <c r="C125" s="477"/>
      <c r="D125" s="477"/>
      <c r="E125" s="477"/>
      <c r="F125" s="477"/>
      <c r="G125" s="477"/>
      <c r="H125" s="477"/>
      <c r="I125" s="477"/>
      <c r="J125" s="477"/>
      <c r="K125" s="477"/>
      <c r="L125" s="477"/>
      <c r="M125" s="477"/>
      <c r="N125" s="477"/>
      <c r="O125" s="477"/>
      <c r="P125" s="477"/>
      <c r="Q125" s="477"/>
      <c r="R125" s="477"/>
      <c r="S125" s="477"/>
      <c r="T125" s="477"/>
      <c r="U125" s="477"/>
      <c r="V125" s="477"/>
      <c r="W125" s="477"/>
      <c r="X125" s="477"/>
      <c r="Y125" s="477"/>
      <c r="Z125" s="477"/>
    </row>
    <row r="126" spans="1:26" ht="15" customHeight="1" x14ac:dyDescent="0.35">
      <c r="A126" s="477"/>
      <c r="B126" s="477"/>
      <c r="C126" s="477"/>
      <c r="D126" s="477"/>
      <c r="E126" s="477"/>
      <c r="F126" s="477"/>
      <c r="G126" s="477"/>
      <c r="H126" s="477"/>
      <c r="I126" s="477"/>
      <c r="J126" s="477"/>
      <c r="K126" s="477"/>
      <c r="L126" s="477"/>
      <c r="M126" s="477"/>
      <c r="N126" s="477"/>
      <c r="O126" s="477"/>
      <c r="P126" s="477"/>
      <c r="Q126" s="477"/>
      <c r="R126" s="477"/>
      <c r="S126" s="477"/>
      <c r="T126" s="477"/>
      <c r="U126" s="477"/>
      <c r="V126" s="477"/>
      <c r="W126" s="477"/>
      <c r="X126" s="477"/>
      <c r="Y126" s="477"/>
      <c r="Z126" s="477"/>
    </row>
    <row r="127" spans="1:26" ht="15" customHeight="1" x14ac:dyDescent="0.35">
      <c r="A127" s="477"/>
      <c r="B127" s="477"/>
      <c r="C127" s="477"/>
      <c r="D127" s="477"/>
      <c r="E127" s="477"/>
      <c r="F127" s="477"/>
      <c r="G127" s="477"/>
      <c r="H127" s="477"/>
      <c r="I127" s="477"/>
      <c r="J127" s="477"/>
      <c r="K127" s="477"/>
      <c r="L127" s="477"/>
      <c r="M127" s="477"/>
      <c r="N127" s="477"/>
      <c r="O127" s="477"/>
      <c r="P127" s="477"/>
      <c r="Q127" s="477"/>
      <c r="R127" s="477"/>
      <c r="S127" s="477"/>
      <c r="T127" s="477"/>
      <c r="U127" s="477"/>
      <c r="V127" s="477"/>
      <c r="W127" s="477"/>
      <c r="X127" s="477"/>
      <c r="Y127" s="477"/>
      <c r="Z127" s="477"/>
    </row>
    <row r="128" spans="1:26" ht="15" customHeight="1" x14ac:dyDescent="0.35">
      <c r="A128" s="477"/>
      <c r="B128" s="477"/>
      <c r="C128" s="477"/>
      <c r="D128" s="477"/>
      <c r="E128" s="477"/>
      <c r="F128" s="477"/>
      <c r="G128" s="477"/>
      <c r="H128" s="477"/>
      <c r="I128" s="477"/>
      <c r="J128" s="477"/>
      <c r="K128" s="477"/>
      <c r="L128" s="477"/>
      <c r="M128" s="477"/>
      <c r="N128" s="477"/>
      <c r="O128" s="477"/>
      <c r="P128" s="477"/>
      <c r="Q128" s="477"/>
      <c r="R128" s="477"/>
      <c r="S128" s="477"/>
      <c r="T128" s="477"/>
      <c r="U128" s="477"/>
      <c r="V128" s="477"/>
      <c r="W128" s="477"/>
      <c r="X128" s="477"/>
      <c r="Y128" s="477"/>
      <c r="Z128" s="477"/>
    </row>
    <row r="129" spans="1:26" ht="15" customHeight="1" x14ac:dyDescent="0.35">
      <c r="A129" s="477"/>
      <c r="B129" s="477"/>
      <c r="C129" s="477"/>
      <c r="D129" s="477"/>
      <c r="E129" s="477"/>
      <c r="F129" s="477"/>
      <c r="G129" s="477"/>
      <c r="H129" s="477"/>
      <c r="I129" s="477"/>
      <c r="J129" s="477"/>
      <c r="K129" s="477"/>
      <c r="L129" s="477"/>
      <c r="M129" s="477"/>
      <c r="N129" s="477"/>
      <c r="O129" s="477"/>
      <c r="P129" s="477"/>
      <c r="Q129" s="477"/>
      <c r="R129" s="477"/>
      <c r="S129" s="477"/>
      <c r="T129" s="477"/>
      <c r="U129" s="477"/>
      <c r="V129" s="477"/>
      <c r="W129" s="477"/>
      <c r="X129" s="477"/>
      <c r="Y129" s="477"/>
      <c r="Z129" s="477"/>
    </row>
    <row r="130" spans="1:26" ht="15" customHeight="1" x14ac:dyDescent="0.35">
      <c r="A130" s="477"/>
      <c r="B130" s="477"/>
      <c r="C130" s="477"/>
      <c r="D130" s="477"/>
      <c r="E130" s="477"/>
      <c r="F130" s="477"/>
      <c r="G130" s="477"/>
      <c r="H130" s="477"/>
      <c r="I130" s="477"/>
      <c r="J130" s="477"/>
      <c r="K130" s="477"/>
      <c r="L130" s="477"/>
      <c r="M130" s="477"/>
      <c r="N130" s="477"/>
      <c r="O130" s="477"/>
      <c r="P130" s="477"/>
      <c r="Q130" s="477"/>
      <c r="R130" s="477"/>
      <c r="S130" s="477"/>
      <c r="T130" s="477"/>
      <c r="U130" s="477"/>
      <c r="V130" s="477"/>
      <c r="W130" s="477"/>
      <c r="X130" s="477"/>
      <c r="Y130" s="477"/>
      <c r="Z130" s="477"/>
    </row>
    <row r="131" spans="1:26" ht="15" customHeight="1" x14ac:dyDescent="0.35">
      <c r="A131" s="477"/>
      <c r="B131" s="477"/>
      <c r="C131" s="477"/>
      <c r="D131" s="477"/>
      <c r="E131" s="477"/>
      <c r="F131" s="477"/>
      <c r="G131" s="477"/>
      <c r="H131" s="477"/>
      <c r="I131" s="477"/>
      <c r="J131" s="477"/>
      <c r="K131" s="477"/>
      <c r="L131" s="477"/>
      <c r="M131" s="477"/>
      <c r="N131" s="477"/>
      <c r="O131" s="477"/>
      <c r="P131" s="477"/>
      <c r="Q131" s="477"/>
      <c r="R131" s="477"/>
      <c r="S131" s="477"/>
      <c r="T131" s="477"/>
      <c r="U131" s="477"/>
      <c r="V131" s="477"/>
      <c r="W131" s="477"/>
      <c r="X131" s="477"/>
      <c r="Y131" s="477"/>
      <c r="Z131" s="477"/>
    </row>
    <row r="132" spans="1:26" ht="15" customHeight="1" x14ac:dyDescent="0.35">
      <c r="A132" s="477"/>
      <c r="B132" s="477"/>
      <c r="C132" s="477"/>
      <c r="D132" s="477"/>
      <c r="E132" s="477"/>
      <c r="F132" s="477"/>
      <c r="G132" s="477"/>
      <c r="H132" s="477"/>
      <c r="I132" s="477"/>
      <c r="J132" s="477"/>
      <c r="K132" s="477"/>
      <c r="L132" s="477"/>
      <c r="M132" s="477"/>
      <c r="N132" s="477"/>
      <c r="O132" s="477"/>
      <c r="P132" s="477"/>
      <c r="Q132" s="477"/>
      <c r="R132" s="477"/>
      <c r="S132" s="477"/>
      <c r="T132" s="477"/>
      <c r="U132" s="477"/>
      <c r="V132" s="477"/>
      <c r="W132" s="477"/>
      <c r="X132" s="477"/>
      <c r="Y132" s="477"/>
      <c r="Z132" s="477"/>
    </row>
    <row r="133" spans="1:26" ht="15" customHeight="1" x14ac:dyDescent="0.35">
      <c r="A133" s="477"/>
      <c r="B133" s="477"/>
      <c r="C133" s="477"/>
      <c r="D133" s="477"/>
      <c r="E133" s="477"/>
      <c r="F133" s="477"/>
      <c r="G133" s="477"/>
      <c r="H133" s="477"/>
      <c r="I133" s="477"/>
      <c r="J133" s="477"/>
      <c r="K133" s="477"/>
      <c r="L133" s="477"/>
      <c r="M133" s="477"/>
      <c r="N133" s="477"/>
      <c r="O133" s="477"/>
      <c r="P133" s="477"/>
      <c r="Q133" s="477"/>
      <c r="R133" s="477"/>
      <c r="S133" s="477"/>
      <c r="T133" s="477"/>
      <c r="U133" s="477"/>
      <c r="V133" s="477"/>
      <c r="W133" s="477"/>
      <c r="X133" s="477"/>
      <c r="Y133" s="477"/>
      <c r="Z133" s="477"/>
    </row>
    <row r="134" spans="1:26" ht="15" customHeight="1" x14ac:dyDescent="0.35">
      <c r="A134" s="477"/>
      <c r="B134" s="477"/>
      <c r="C134" s="477"/>
      <c r="D134" s="477"/>
      <c r="E134" s="477"/>
      <c r="F134" s="477"/>
      <c r="G134" s="477"/>
      <c r="H134" s="477"/>
      <c r="I134" s="477"/>
      <c r="J134" s="477"/>
      <c r="K134" s="477"/>
      <c r="L134" s="477"/>
      <c r="M134" s="477"/>
      <c r="N134" s="477"/>
      <c r="O134" s="477"/>
      <c r="P134" s="477"/>
      <c r="Q134" s="477"/>
      <c r="R134" s="477"/>
      <c r="S134" s="477"/>
      <c r="T134" s="477"/>
      <c r="U134" s="477"/>
      <c r="V134" s="477"/>
      <c r="W134" s="477"/>
      <c r="X134" s="477"/>
      <c r="Y134" s="477"/>
      <c r="Z134" s="477"/>
    </row>
    <row r="135" spans="1:26" ht="15" customHeight="1" x14ac:dyDescent="0.35">
      <c r="A135" s="477"/>
      <c r="B135" s="477"/>
      <c r="C135" s="477"/>
      <c r="D135" s="477"/>
      <c r="E135" s="477"/>
      <c r="F135" s="477"/>
      <c r="G135" s="477"/>
      <c r="H135" s="477"/>
      <c r="I135" s="477"/>
      <c r="J135" s="477"/>
      <c r="K135" s="477"/>
      <c r="L135" s="477"/>
      <c r="M135" s="477"/>
      <c r="N135" s="477"/>
      <c r="O135" s="477"/>
      <c r="P135" s="477"/>
      <c r="Q135" s="477"/>
      <c r="R135" s="477"/>
      <c r="S135" s="477"/>
      <c r="T135" s="477"/>
      <c r="U135" s="477"/>
      <c r="V135" s="477"/>
      <c r="W135" s="477"/>
      <c r="X135" s="477"/>
      <c r="Y135" s="477"/>
      <c r="Z135" s="477"/>
    </row>
    <row r="136" spans="1:26" ht="15" customHeight="1" x14ac:dyDescent="0.35">
      <c r="A136" s="477"/>
      <c r="B136" s="477"/>
      <c r="C136" s="477"/>
      <c r="D136" s="477"/>
      <c r="E136" s="477"/>
      <c r="F136" s="477"/>
      <c r="G136" s="477"/>
      <c r="H136" s="477"/>
      <c r="I136" s="477"/>
      <c r="J136" s="477"/>
      <c r="K136" s="477"/>
      <c r="L136" s="477"/>
      <c r="M136" s="477"/>
      <c r="N136" s="477"/>
      <c r="O136" s="477"/>
      <c r="P136" s="477"/>
      <c r="Q136" s="477"/>
      <c r="R136" s="477"/>
      <c r="S136" s="477"/>
      <c r="T136" s="477"/>
      <c r="U136" s="477"/>
      <c r="V136" s="477"/>
      <c r="W136" s="477"/>
      <c r="X136" s="477"/>
      <c r="Y136" s="477"/>
      <c r="Z136" s="477"/>
    </row>
    <row r="137" spans="1:26" ht="15" customHeight="1" x14ac:dyDescent="0.35">
      <c r="A137" s="477"/>
      <c r="B137" s="477"/>
      <c r="C137" s="477"/>
      <c r="D137" s="477"/>
      <c r="E137" s="477"/>
      <c r="F137" s="477"/>
      <c r="G137" s="477"/>
      <c r="H137" s="477"/>
      <c r="I137" s="477"/>
      <c r="J137" s="477"/>
      <c r="K137" s="477"/>
      <c r="L137" s="477"/>
      <c r="M137" s="477"/>
      <c r="N137" s="477"/>
      <c r="O137" s="477"/>
      <c r="P137" s="477"/>
      <c r="Q137" s="477"/>
      <c r="R137" s="477"/>
      <c r="S137" s="477"/>
      <c r="T137" s="477"/>
      <c r="U137" s="477"/>
      <c r="V137" s="477"/>
      <c r="W137" s="477"/>
      <c r="X137" s="477"/>
      <c r="Y137" s="477"/>
      <c r="Z137" s="477"/>
    </row>
    <row r="138" spans="1:26" ht="15" customHeight="1" x14ac:dyDescent="0.35">
      <c r="A138" s="477"/>
      <c r="B138" s="477"/>
      <c r="C138" s="477"/>
      <c r="D138" s="477"/>
      <c r="E138" s="477"/>
      <c r="F138" s="477"/>
      <c r="G138" s="477"/>
      <c r="H138" s="477"/>
      <c r="I138" s="477"/>
      <c r="J138" s="477"/>
      <c r="K138" s="477"/>
      <c r="L138" s="477"/>
      <c r="M138" s="477"/>
      <c r="N138" s="477"/>
      <c r="O138" s="477"/>
      <c r="P138" s="477"/>
      <c r="Q138" s="477"/>
      <c r="R138" s="477"/>
      <c r="S138" s="477"/>
      <c r="T138" s="477"/>
      <c r="U138" s="477"/>
      <c r="V138" s="477"/>
      <c r="W138" s="477"/>
      <c r="X138" s="477"/>
      <c r="Y138" s="477"/>
      <c r="Z138" s="477"/>
    </row>
    <row r="139" spans="1:26" ht="15" customHeight="1" x14ac:dyDescent="0.35">
      <c r="A139" s="477"/>
      <c r="B139" s="477"/>
      <c r="C139" s="477"/>
      <c r="D139" s="477"/>
      <c r="E139" s="477"/>
      <c r="F139" s="477"/>
      <c r="G139" s="477"/>
      <c r="H139" s="477"/>
      <c r="I139" s="477"/>
      <c r="J139" s="477"/>
      <c r="K139" s="477"/>
      <c r="L139" s="477"/>
      <c r="M139" s="477"/>
      <c r="N139" s="477"/>
      <c r="O139" s="477"/>
      <c r="P139" s="477"/>
      <c r="Q139" s="477"/>
      <c r="R139" s="477"/>
      <c r="S139" s="477"/>
      <c r="T139" s="477"/>
      <c r="U139" s="477"/>
      <c r="V139" s="477"/>
      <c r="W139" s="477"/>
      <c r="X139" s="477"/>
      <c r="Y139" s="477"/>
      <c r="Z139" s="477"/>
    </row>
    <row r="140" spans="1:26" ht="15" customHeight="1" x14ac:dyDescent="0.35">
      <c r="A140" s="477"/>
      <c r="B140" s="477"/>
      <c r="C140" s="477"/>
      <c r="D140" s="477"/>
      <c r="E140" s="477"/>
      <c r="F140" s="477"/>
      <c r="G140" s="477"/>
      <c r="H140" s="477"/>
      <c r="I140" s="477"/>
      <c r="J140" s="477"/>
      <c r="K140" s="477"/>
      <c r="L140" s="477"/>
      <c r="M140" s="477"/>
      <c r="N140" s="477"/>
      <c r="O140" s="477"/>
      <c r="P140" s="477"/>
      <c r="Q140" s="477"/>
      <c r="R140" s="477"/>
      <c r="S140" s="477"/>
      <c r="T140" s="477"/>
      <c r="U140" s="477"/>
      <c r="V140" s="477"/>
      <c r="W140" s="477"/>
      <c r="X140" s="477"/>
      <c r="Y140" s="477"/>
      <c r="Z140" s="477"/>
    </row>
    <row r="141" spans="1:26" ht="15" customHeight="1" x14ac:dyDescent="0.35">
      <c r="A141" s="477"/>
      <c r="B141" s="477"/>
      <c r="C141" s="477"/>
      <c r="D141" s="477"/>
      <c r="E141" s="477"/>
      <c r="F141" s="477"/>
      <c r="G141" s="477"/>
      <c r="H141" s="477"/>
      <c r="I141" s="477"/>
      <c r="J141" s="477"/>
      <c r="K141" s="477"/>
      <c r="L141" s="477"/>
      <c r="M141" s="477"/>
      <c r="N141" s="477"/>
      <c r="O141" s="477"/>
      <c r="P141" s="477"/>
      <c r="Q141" s="477"/>
      <c r="R141" s="477"/>
      <c r="S141" s="477"/>
      <c r="T141" s="477"/>
      <c r="U141" s="477"/>
      <c r="V141" s="477"/>
      <c r="W141" s="477"/>
      <c r="X141" s="477"/>
      <c r="Y141" s="477"/>
      <c r="Z141" s="477"/>
    </row>
    <row r="142" spans="1:26" ht="15" customHeight="1" x14ac:dyDescent="0.35">
      <c r="A142" s="477"/>
      <c r="B142" s="477"/>
      <c r="C142" s="477"/>
      <c r="D142" s="477"/>
      <c r="E142" s="477"/>
      <c r="F142" s="477"/>
      <c r="G142" s="477"/>
      <c r="H142" s="477"/>
      <c r="I142" s="477"/>
      <c r="J142" s="477"/>
      <c r="K142" s="477"/>
      <c r="L142" s="477"/>
      <c r="M142" s="477"/>
      <c r="N142" s="477"/>
      <c r="O142" s="477"/>
      <c r="P142" s="477"/>
      <c r="Q142" s="477"/>
      <c r="R142" s="477"/>
      <c r="S142" s="477"/>
      <c r="T142" s="477"/>
      <c r="U142" s="477"/>
      <c r="V142" s="477"/>
      <c r="W142" s="477"/>
      <c r="X142" s="477"/>
      <c r="Y142" s="477"/>
      <c r="Z142" s="477"/>
    </row>
    <row r="143" spans="1:26" ht="15" customHeight="1" x14ac:dyDescent="0.35">
      <c r="A143" s="477"/>
      <c r="B143" s="477"/>
      <c r="C143" s="477"/>
      <c r="D143" s="477"/>
      <c r="E143" s="477"/>
      <c r="F143" s="477"/>
      <c r="G143" s="477"/>
      <c r="H143" s="477"/>
      <c r="I143" s="477"/>
      <c r="J143" s="477"/>
      <c r="K143" s="477"/>
      <c r="L143" s="477"/>
      <c r="M143" s="477"/>
      <c r="N143" s="477"/>
      <c r="O143" s="477"/>
      <c r="P143" s="477"/>
      <c r="Q143" s="477"/>
      <c r="R143" s="477"/>
      <c r="S143" s="477"/>
      <c r="T143" s="477"/>
      <c r="U143" s="477"/>
      <c r="V143" s="477"/>
      <c r="W143" s="477"/>
      <c r="X143" s="477"/>
      <c r="Y143" s="477"/>
      <c r="Z143" s="477"/>
    </row>
    <row r="144" spans="1:26" ht="15" customHeight="1" x14ac:dyDescent="0.35">
      <c r="A144" s="477"/>
      <c r="B144" s="477"/>
      <c r="C144" s="477"/>
      <c r="D144" s="477"/>
      <c r="E144" s="477"/>
      <c r="F144" s="477"/>
      <c r="G144" s="477"/>
      <c r="H144" s="477"/>
      <c r="I144" s="477"/>
      <c r="J144" s="477"/>
      <c r="K144" s="477"/>
      <c r="L144" s="477"/>
      <c r="M144" s="477"/>
      <c r="N144" s="477"/>
      <c r="O144" s="477"/>
      <c r="P144" s="477"/>
      <c r="Q144" s="477"/>
      <c r="R144" s="477"/>
      <c r="S144" s="477"/>
      <c r="T144" s="477"/>
      <c r="U144" s="477"/>
      <c r="V144" s="477"/>
      <c r="W144" s="477"/>
      <c r="X144" s="477"/>
      <c r="Y144" s="477"/>
      <c r="Z144" s="477"/>
    </row>
    <row r="145" spans="1:26" ht="15" customHeight="1" x14ac:dyDescent="0.35">
      <c r="A145" s="477"/>
      <c r="B145" s="477"/>
      <c r="C145" s="477"/>
      <c r="D145" s="477"/>
      <c r="E145" s="477"/>
      <c r="F145" s="477"/>
      <c r="G145" s="477"/>
      <c r="H145" s="477"/>
      <c r="I145" s="477"/>
      <c r="J145" s="477"/>
      <c r="K145" s="477"/>
      <c r="L145" s="477"/>
      <c r="M145" s="477"/>
      <c r="N145" s="477"/>
      <c r="O145" s="477"/>
      <c r="P145" s="477"/>
      <c r="Q145" s="477"/>
      <c r="R145" s="477"/>
      <c r="S145" s="477"/>
      <c r="T145" s="477"/>
      <c r="U145" s="477"/>
      <c r="V145" s="477"/>
      <c r="W145" s="477"/>
      <c r="X145" s="477"/>
      <c r="Y145" s="477"/>
      <c r="Z145" s="477"/>
    </row>
    <row r="146" spans="1:26" ht="15" customHeight="1" x14ac:dyDescent="0.35">
      <c r="A146" s="477"/>
      <c r="B146" s="477"/>
      <c r="C146" s="477"/>
      <c r="D146" s="477"/>
      <c r="E146" s="477"/>
      <c r="F146" s="477"/>
      <c r="G146" s="477"/>
      <c r="H146" s="477"/>
      <c r="I146" s="477"/>
      <c r="J146" s="477"/>
      <c r="K146" s="477"/>
      <c r="L146" s="477"/>
      <c r="M146" s="477"/>
      <c r="N146" s="477"/>
      <c r="O146" s="477"/>
      <c r="P146" s="477"/>
      <c r="Q146" s="477"/>
      <c r="R146" s="477"/>
      <c r="S146" s="477"/>
      <c r="T146" s="477"/>
      <c r="U146" s="477"/>
      <c r="V146" s="477"/>
      <c r="W146" s="477"/>
      <c r="X146" s="477"/>
      <c r="Y146" s="477"/>
      <c r="Z146" s="477"/>
    </row>
    <row r="147" spans="1:26" ht="15" customHeight="1" x14ac:dyDescent="0.35">
      <c r="A147" s="477"/>
      <c r="B147" s="477"/>
      <c r="C147" s="477"/>
      <c r="D147" s="477"/>
      <c r="E147" s="477"/>
      <c r="F147" s="477"/>
      <c r="G147" s="477"/>
      <c r="H147" s="477"/>
      <c r="I147" s="477"/>
      <c r="J147" s="477"/>
      <c r="K147" s="477"/>
      <c r="L147" s="477"/>
      <c r="M147" s="477"/>
      <c r="N147" s="477"/>
      <c r="O147" s="477"/>
      <c r="P147" s="477"/>
      <c r="Q147" s="477"/>
      <c r="R147" s="477"/>
      <c r="S147" s="477"/>
      <c r="T147" s="477"/>
      <c r="U147" s="477"/>
      <c r="V147" s="477"/>
      <c r="W147" s="477"/>
      <c r="X147" s="477"/>
      <c r="Y147" s="477"/>
      <c r="Z147" s="477"/>
    </row>
    <row r="148" spans="1:26" ht="15" customHeight="1" x14ac:dyDescent="0.35">
      <c r="A148" s="477"/>
      <c r="B148" s="477"/>
      <c r="C148" s="477"/>
      <c r="D148" s="477"/>
      <c r="E148" s="477"/>
      <c r="F148" s="477"/>
      <c r="G148" s="477"/>
      <c r="H148" s="477"/>
      <c r="I148" s="477"/>
      <c r="J148" s="477"/>
      <c r="K148" s="477"/>
      <c r="L148" s="477"/>
      <c r="M148" s="477"/>
      <c r="N148" s="477"/>
      <c r="O148" s="477"/>
      <c r="P148" s="477"/>
      <c r="Q148" s="477"/>
      <c r="R148" s="477"/>
      <c r="S148" s="477"/>
      <c r="T148" s="477"/>
      <c r="U148" s="477"/>
      <c r="V148" s="477"/>
      <c r="W148" s="477"/>
      <c r="X148" s="477"/>
      <c r="Y148" s="477"/>
      <c r="Z148" s="477"/>
    </row>
    <row r="149" spans="1:26" ht="15" customHeight="1" x14ac:dyDescent="0.35">
      <c r="A149" s="477"/>
      <c r="B149" s="477"/>
      <c r="C149" s="477"/>
      <c r="D149" s="477"/>
      <c r="E149" s="477"/>
      <c r="F149" s="477"/>
      <c r="G149" s="477"/>
      <c r="H149" s="477"/>
      <c r="I149" s="477"/>
      <c r="J149" s="477"/>
      <c r="K149" s="477"/>
      <c r="L149" s="477"/>
      <c r="M149" s="477"/>
      <c r="N149" s="477"/>
      <c r="O149" s="477"/>
      <c r="P149" s="477"/>
      <c r="Q149" s="477"/>
      <c r="R149" s="477"/>
      <c r="S149" s="477"/>
      <c r="T149" s="477"/>
      <c r="U149" s="477"/>
      <c r="V149" s="477"/>
      <c r="W149" s="477"/>
      <c r="X149" s="477"/>
      <c r="Y149" s="477"/>
      <c r="Z149" s="477"/>
    </row>
    <row r="150" spans="1:26" ht="15" customHeight="1" x14ac:dyDescent="0.35">
      <c r="A150" s="477"/>
      <c r="B150" s="477"/>
      <c r="C150" s="477"/>
      <c r="D150" s="477"/>
      <c r="E150" s="477"/>
      <c r="F150" s="477"/>
      <c r="G150" s="477"/>
      <c r="H150" s="477"/>
      <c r="I150" s="477"/>
      <c r="J150" s="477"/>
      <c r="K150" s="477"/>
      <c r="L150" s="477"/>
      <c r="M150" s="477"/>
      <c r="N150" s="477"/>
      <c r="O150" s="477"/>
      <c r="P150" s="477"/>
      <c r="Q150" s="477"/>
      <c r="R150" s="477"/>
      <c r="S150" s="477"/>
      <c r="T150" s="477"/>
      <c r="U150" s="477"/>
      <c r="V150" s="477"/>
      <c r="W150" s="477"/>
      <c r="X150" s="477"/>
      <c r="Y150" s="477"/>
      <c r="Z150" s="477"/>
    </row>
    <row r="151" spans="1:26" ht="15" customHeight="1" x14ac:dyDescent="0.35">
      <c r="A151" s="477"/>
      <c r="B151" s="477"/>
      <c r="C151" s="477"/>
      <c r="D151" s="477"/>
      <c r="E151" s="477"/>
      <c r="F151" s="477"/>
      <c r="G151" s="477"/>
      <c r="H151" s="477"/>
      <c r="I151" s="477"/>
      <c r="J151" s="477"/>
      <c r="K151" s="477"/>
      <c r="L151" s="477"/>
      <c r="M151" s="477"/>
      <c r="N151" s="477"/>
      <c r="O151" s="477"/>
      <c r="P151" s="477"/>
      <c r="Q151" s="477"/>
      <c r="R151" s="477"/>
      <c r="S151" s="477"/>
      <c r="T151" s="477"/>
      <c r="U151" s="477"/>
      <c r="V151" s="477"/>
      <c r="W151" s="477"/>
      <c r="X151" s="477"/>
      <c r="Y151" s="477"/>
      <c r="Z151" s="477"/>
    </row>
    <row r="152" spans="1:26" ht="15" customHeight="1" x14ac:dyDescent="0.35">
      <c r="A152" s="477"/>
      <c r="B152" s="477"/>
      <c r="C152" s="477"/>
      <c r="D152" s="477"/>
      <c r="E152" s="477"/>
      <c r="F152" s="477"/>
      <c r="G152" s="477"/>
      <c r="H152" s="477"/>
      <c r="I152" s="477"/>
      <c r="J152" s="477"/>
      <c r="K152" s="477"/>
      <c r="L152" s="477"/>
      <c r="M152" s="477"/>
      <c r="N152" s="477"/>
      <c r="O152" s="477"/>
      <c r="P152" s="477"/>
      <c r="Q152" s="477"/>
      <c r="R152" s="477"/>
      <c r="S152" s="477"/>
      <c r="T152" s="477"/>
      <c r="U152" s="477"/>
      <c r="V152" s="477"/>
      <c r="W152" s="477"/>
      <c r="X152" s="477"/>
      <c r="Y152" s="477"/>
      <c r="Z152" s="477"/>
    </row>
    <row r="153" spans="1:26" ht="15" customHeight="1" x14ac:dyDescent="0.35">
      <c r="A153" s="477"/>
      <c r="B153" s="477"/>
      <c r="C153" s="477"/>
      <c r="D153" s="477"/>
      <c r="E153" s="477"/>
      <c r="F153" s="477"/>
      <c r="G153" s="477"/>
      <c r="H153" s="477"/>
      <c r="I153" s="477"/>
      <c r="J153" s="477"/>
      <c r="K153" s="477"/>
      <c r="L153" s="477"/>
      <c r="M153" s="477"/>
      <c r="N153" s="477"/>
      <c r="O153" s="477"/>
      <c r="P153" s="477"/>
      <c r="Q153" s="477"/>
      <c r="R153" s="477"/>
      <c r="S153" s="477"/>
      <c r="T153" s="477"/>
      <c r="U153" s="477"/>
      <c r="V153" s="477"/>
      <c r="W153" s="477"/>
      <c r="X153" s="477"/>
      <c r="Y153" s="477"/>
      <c r="Z153" s="477"/>
    </row>
    <row r="154" spans="1:26" ht="15" customHeight="1" x14ac:dyDescent="0.35">
      <c r="A154" s="477"/>
      <c r="B154" s="477"/>
      <c r="C154" s="477"/>
      <c r="D154" s="477"/>
      <c r="E154" s="477"/>
      <c r="F154" s="477"/>
      <c r="G154" s="477"/>
      <c r="H154" s="477"/>
      <c r="I154" s="477"/>
      <c r="J154" s="477"/>
      <c r="K154" s="477"/>
      <c r="L154" s="477"/>
      <c r="M154" s="477"/>
      <c r="N154" s="477"/>
      <c r="O154" s="477"/>
      <c r="P154" s="477"/>
      <c r="Q154" s="477"/>
      <c r="R154" s="477"/>
      <c r="S154" s="477"/>
      <c r="T154" s="477"/>
      <c r="U154" s="477"/>
      <c r="V154" s="477"/>
      <c r="W154" s="477"/>
      <c r="X154" s="477"/>
      <c r="Y154" s="477"/>
      <c r="Z154" s="477"/>
    </row>
    <row r="155" spans="1:26" ht="15" customHeight="1" x14ac:dyDescent="0.35">
      <c r="A155" s="477"/>
      <c r="B155" s="477"/>
      <c r="C155" s="477"/>
      <c r="D155" s="477"/>
      <c r="E155" s="477"/>
      <c r="F155" s="477"/>
      <c r="G155" s="477"/>
      <c r="H155" s="477"/>
      <c r="I155" s="477"/>
      <c r="J155" s="477"/>
      <c r="K155" s="477"/>
      <c r="L155" s="477"/>
      <c r="M155" s="477"/>
      <c r="N155" s="477"/>
      <c r="O155" s="477"/>
      <c r="P155" s="477"/>
      <c r="Q155" s="477"/>
      <c r="R155" s="477"/>
      <c r="S155" s="477"/>
      <c r="T155" s="477"/>
      <c r="U155" s="477"/>
      <c r="V155" s="477"/>
      <c r="W155" s="477"/>
      <c r="X155" s="477"/>
      <c r="Y155" s="477"/>
      <c r="Z155" s="477"/>
    </row>
    <row r="156" spans="1:26" ht="15" customHeight="1" x14ac:dyDescent="0.35">
      <c r="A156" s="477"/>
      <c r="B156" s="477"/>
      <c r="C156" s="477"/>
      <c r="D156" s="477"/>
      <c r="E156" s="477"/>
      <c r="F156" s="477"/>
      <c r="G156" s="477"/>
      <c r="H156" s="477"/>
      <c r="I156" s="477"/>
      <c r="J156" s="477"/>
      <c r="K156" s="477"/>
      <c r="L156" s="477"/>
      <c r="M156" s="477"/>
      <c r="N156" s="477"/>
      <c r="O156" s="477"/>
      <c r="P156" s="477"/>
      <c r="Q156" s="477"/>
      <c r="R156" s="477"/>
      <c r="S156" s="477"/>
      <c r="T156" s="477"/>
      <c r="U156" s="477"/>
      <c r="V156" s="477"/>
      <c r="W156" s="477"/>
      <c r="X156" s="477"/>
      <c r="Y156" s="477"/>
      <c r="Z156" s="477"/>
    </row>
    <row r="157" spans="1:26" ht="15" customHeight="1" x14ac:dyDescent="0.35">
      <c r="A157" s="477"/>
      <c r="B157" s="477"/>
      <c r="C157" s="477"/>
      <c r="D157" s="477"/>
      <c r="E157" s="477"/>
      <c r="F157" s="477"/>
      <c r="G157" s="477"/>
      <c r="H157" s="477"/>
      <c r="I157" s="477"/>
      <c r="J157" s="477"/>
      <c r="K157" s="477"/>
      <c r="L157" s="477"/>
      <c r="M157" s="477"/>
      <c r="N157" s="477"/>
      <c r="O157" s="477"/>
      <c r="P157" s="477"/>
      <c r="Q157" s="477"/>
      <c r="R157" s="477"/>
      <c r="S157" s="477"/>
      <c r="T157" s="477"/>
      <c r="U157" s="477"/>
      <c r="V157" s="477"/>
      <c r="W157" s="477"/>
      <c r="X157" s="477"/>
      <c r="Y157" s="477"/>
      <c r="Z157" s="477"/>
    </row>
    <row r="158" spans="1:26" ht="15" customHeight="1" x14ac:dyDescent="0.35">
      <c r="A158" s="477"/>
      <c r="B158" s="477"/>
      <c r="C158" s="477"/>
      <c r="D158" s="477"/>
      <c r="E158" s="477"/>
      <c r="F158" s="477"/>
      <c r="G158" s="477"/>
      <c r="H158" s="477"/>
      <c r="I158" s="477"/>
      <c r="J158" s="477"/>
      <c r="K158" s="477"/>
      <c r="L158" s="477"/>
      <c r="M158" s="477"/>
      <c r="N158" s="477"/>
      <c r="O158" s="477"/>
      <c r="P158" s="477"/>
      <c r="Q158" s="477"/>
      <c r="R158" s="477"/>
      <c r="S158" s="477"/>
      <c r="T158" s="477"/>
      <c r="U158" s="477"/>
      <c r="V158" s="477"/>
      <c r="W158" s="477"/>
      <c r="X158" s="477"/>
      <c r="Y158" s="477"/>
      <c r="Z158" s="477"/>
    </row>
    <row r="159" spans="1:26" ht="15" customHeight="1" x14ac:dyDescent="0.35">
      <c r="A159" s="477"/>
      <c r="B159" s="477"/>
      <c r="C159" s="477"/>
      <c r="D159" s="477"/>
      <c r="E159" s="477"/>
      <c r="F159" s="477"/>
      <c r="G159" s="477"/>
      <c r="H159" s="477"/>
      <c r="I159" s="477"/>
      <c r="J159" s="477"/>
      <c r="K159" s="477"/>
      <c r="L159" s="477"/>
      <c r="M159" s="477"/>
      <c r="N159" s="477"/>
      <c r="O159" s="477"/>
      <c r="P159" s="477"/>
      <c r="Q159" s="477"/>
      <c r="R159" s="477"/>
      <c r="S159" s="477"/>
      <c r="T159" s="477"/>
      <c r="U159" s="477"/>
      <c r="V159" s="477"/>
      <c r="W159" s="477"/>
      <c r="X159" s="477"/>
      <c r="Y159" s="477"/>
      <c r="Z159" s="477"/>
    </row>
    <row r="160" spans="1:26" ht="15" customHeight="1" x14ac:dyDescent="0.35">
      <c r="A160" s="477"/>
      <c r="B160" s="477"/>
      <c r="C160" s="477"/>
      <c r="D160" s="477"/>
      <c r="E160" s="477"/>
      <c r="F160" s="477"/>
      <c r="G160" s="477"/>
      <c r="H160" s="477"/>
      <c r="I160" s="477"/>
      <c r="J160" s="477"/>
      <c r="K160" s="477"/>
      <c r="L160" s="477"/>
      <c r="M160" s="477"/>
      <c r="N160" s="477"/>
      <c r="O160" s="477"/>
      <c r="P160" s="477"/>
      <c r="Q160" s="477"/>
      <c r="R160" s="477"/>
      <c r="S160" s="477"/>
      <c r="T160" s="477"/>
      <c r="U160" s="477"/>
      <c r="V160" s="477"/>
      <c r="W160" s="477"/>
      <c r="X160" s="477"/>
      <c r="Y160" s="477"/>
      <c r="Z160" s="477"/>
    </row>
    <row r="161" spans="1:26" ht="15" customHeight="1" x14ac:dyDescent="0.35">
      <c r="A161" s="477"/>
      <c r="B161" s="477"/>
      <c r="C161" s="477"/>
      <c r="D161" s="477"/>
      <c r="E161" s="477"/>
      <c r="F161" s="477"/>
      <c r="G161" s="477"/>
      <c r="H161" s="477"/>
      <c r="I161" s="477"/>
      <c r="J161" s="477"/>
      <c r="K161" s="477"/>
      <c r="L161" s="477"/>
      <c r="M161" s="477"/>
      <c r="N161" s="477"/>
      <c r="O161" s="477"/>
      <c r="P161" s="477"/>
      <c r="Q161" s="477"/>
      <c r="R161" s="477"/>
      <c r="S161" s="477"/>
      <c r="T161" s="477"/>
      <c r="U161" s="477"/>
      <c r="V161" s="477"/>
      <c r="W161" s="477"/>
      <c r="X161" s="477"/>
      <c r="Y161" s="477"/>
      <c r="Z161" s="477"/>
    </row>
    <row r="162" spans="1:26" ht="15" customHeight="1" x14ac:dyDescent="0.35">
      <c r="A162" s="477"/>
      <c r="B162" s="477"/>
      <c r="C162" s="477"/>
      <c r="D162" s="477"/>
      <c r="E162" s="477"/>
      <c r="F162" s="477"/>
      <c r="G162" s="477"/>
      <c r="H162" s="477"/>
      <c r="I162" s="477"/>
      <c r="J162" s="477"/>
      <c r="K162" s="477"/>
      <c r="L162" s="477"/>
      <c r="M162" s="477"/>
      <c r="N162" s="477"/>
      <c r="O162" s="477"/>
      <c r="P162" s="477"/>
      <c r="Q162" s="477"/>
      <c r="R162" s="477"/>
      <c r="S162" s="477"/>
      <c r="T162" s="477"/>
      <c r="U162" s="477"/>
      <c r="V162" s="477"/>
      <c r="W162" s="477"/>
      <c r="X162" s="477"/>
      <c r="Y162" s="477"/>
      <c r="Z162" s="477"/>
    </row>
    <row r="163" spans="1:26" ht="15" customHeight="1" x14ac:dyDescent="0.35">
      <c r="A163" s="477"/>
      <c r="B163" s="477"/>
      <c r="C163" s="477"/>
      <c r="D163" s="477"/>
      <c r="E163" s="477"/>
      <c r="F163" s="477"/>
      <c r="G163" s="477"/>
      <c r="H163" s="477"/>
      <c r="I163" s="477"/>
      <c r="J163" s="477"/>
      <c r="K163" s="477"/>
      <c r="L163" s="477"/>
      <c r="M163" s="477"/>
      <c r="N163" s="477"/>
      <c r="O163" s="477"/>
      <c r="P163" s="477"/>
      <c r="Q163" s="477"/>
      <c r="R163" s="477"/>
      <c r="S163" s="477"/>
      <c r="T163" s="477"/>
      <c r="U163" s="477"/>
      <c r="V163" s="477"/>
      <c r="W163" s="477"/>
      <c r="X163" s="477"/>
      <c r="Y163" s="477"/>
      <c r="Z163" s="477"/>
    </row>
    <row r="164" spans="1:26" ht="15" customHeight="1" x14ac:dyDescent="0.35">
      <c r="A164" s="477"/>
      <c r="B164" s="477"/>
      <c r="C164" s="477"/>
      <c r="D164" s="477"/>
      <c r="E164" s="477"/>
      <c r="F164" s="477"/>
      <c r="G164" s="477"/>
      <c r="H164" s="477"/>
      <c r="I164" s="477"/>
      <c r="J164" s="477"/>
      <c r="K164" s="477"/>
      <c r="L164" s="477"/>
      <c r="M164" s="477"/>
      <c r="N164" s="477"/>
      <c r="O164" s="477"/>
      <c r="P164" s="477"/>
      <c r="Q164" s="477"/>
      <c r="R164" s="477"/>
      <c r="S164" s="477"/>
      <c r="T164" s="477"/>
      <c r="U164" s="477"/>
      <c r="V164" s="477"/>
      <c r="W164" s="477"/>
      <c r="X164" s="477"/>
      <c r="Y164" s="477"/>
      <c r="Z164" s="477"/>
    </row>
    <row r="165" spans="1:26" ht="15" customHeight="1" x14ac:dyDescent="0.35">
      <c r="A165" s="477"/>
      <c r="B165" s="477"/>
      <c r="C165" s="477"/>
      <c r="D165" s="477"/>
      <c r="E165" s="477"/>
      <c r="F165" s="477"/>
      <c r="G165" s="477"/>
      <c r="H165" s="477"/>
      <c r="I165" s="477"/>
      <c r="J165" s="477"/>
      <c r="K165" s="477"/>
      <c r="L165" s="477"/>
      <c r="M165" s="477"/>
      <c r="N165" s="477"/>
      <c r="O165" s="477"/>
      <c r="P165" s="477"/>
      <c r="Q165" s="477"/>
      <c r="R165" s="477"/>
      <c r="S165" s="477"/>
      <c r="T165" s="477"/>
      <c r="U165" s="477"/>
      <c r="V165" s="477"/>
      <c r="W165" s="477"/>
      <c r="X165" s="477"/>
      <c r="Y165" s="477"/>
      <c r="Z165" s="477"/>
    </row>
    <row r="166" spans="1:26" ht="15" customHeight="1" x14ac:dyDescent="0.35">
      <c r="A166" s="477"/>
      <c r="B166" s="477"/>
      <c r="C166" s="477"/>
      <c r="D166" s="477"/>
      <c r="E166" s="477"/>
      <c r="F166" s="477"/>
      <c r="G166" s="477"/>
      <c r="H166" s="477"/>
      <c r="I166" s="477"/>
      <c r="J166" s="477"/>
      <c r="K166" s="477"/>
      <c r="L166" s="477"/>
      <c r="M166" s="477"/>
      <c r="N166" s="477"/>
      <c r="O166" s="477"/>
      <c r="P166" s="477"/>
      <c r="Q166" s="477"/>
      <c r="R166" s="477"/>
      <c r="S166" s="477"/>
      <c r="T166" s="477"/>
      <c r="U166" s="477"/>
      <c r="V166" s="477"/>
      <c r="W166" s="477"/>
      <c r="X166" s="477"/>
      <c r="Y166" s="477"/>
      <c r="Z166" s="477"/>
    </row>
    <row r="167" spans="1:26" ht="15" customHeight="1" x14ac:dyDescent="0.35">
      <c r="A167" s="477"/>
      <c r="B167" s="477"/>
      <c r="C167" s="477"/>
      <c r="D167" s="477"/>
      <c r="E167" s="477"/>
      <c r="F167" s="477"/>
      <c r="G167" s="477"/>
      <c r="H167" s="477"/>
      <c r="I167" s="477"/>
      <c r="J167" s="477"/>
      <c r="K167" s="477"/>
      <c r="L167" s="477"/>
      <c r="M167" s="477"/>
      <c r="N167" s="477"/>
      <c r="O167" s="477"/>
      <c r="P167" s="477"/>
      <c r="Q167" s="477"/>
      <c r="R167" s="477"/>
      <c r="S167" s="477"/>
      <c r="T167" s="477"/>
      <c r="U167" s="477"/>
      <c r="V167" s="477"/>
      <c r="W167" s="477"/>
      <c r="X167" s="477"/>
      <c r="Y167" s="477"/>
      <c r="Z167" s="477"/>
    </row>
    <row r="168" spans="1:26" ht="15" customHeight="1" x14ac:dyDescent="0.35">
      <c r="A168" s="477"/>
      <c r="B168" s="477"/>
      <c r="C168" s="477"/>
      <c r="D168" s="477"/>
      <c r="E168" s="477"/>
      <c r="F168" s="477"/>
      <c r="G168" s="477"/>
      <c r="H168" s="477"/>
      <c r="I168" s="477"/>
      <c r="J168" s="477"/>
      <c r="K168" s="477"/>
      <c r="L168" s="477"/>
      <c r="M168" s="477"/>
      <c r="N168" s="477"/>
      <c r="O168" s="477"/>
      <c r="P168" s="477"/>
      <c r="Q168" s="477"/>
      <c r="R168" s="477"/>
      <c r="S168" s="477"/>
      <c r="T168" s="477"/>
      <c r="U168" s="477"/>
      <c r="V168" s="477"/>
      <c r="W168" s="477"/>
      <c r="X168" s="477"/>
      <c r="Y168" s="477"/>
      <c r="Z168" s="477"/>
    </row>
    <row r="169" spans="1:26" ht="15" customHeight="1" x14ac:dyDescent="0.35">
      <c r="A169" s="477"/>
      <c r="B169" s="477"/>
      <c r="C169" s="477"/>
      <c r="D169" s="477"/>
      <c r="E169" s="477"/>
      <c r="F169" s="477"/>
      <c r="G169" s="477"/>
      <c r="H169" s="477"/>
      <c r="I169" s="477"/>
      <c r="J169" s="477"/>
      <c r="K169" s="477"/>
      <c r="L169" s="477"/>
      <c r="M169" s="477"/>
      <c r="N169" s="477"/>
      <c r="O169" s="477"/>
      <c r="P169" s="477"/>
      <c r="Q169" s="477"/>
      <c r="R169" s="477"/>
      <c r="S169" s="477"/>
      <c r="T169" s="477"/>
      <c r="U169" s="477"/>
      <c r="V169" s="477"/>
      <c r="W169" s="477"/>
      <c r="X169" s="477"/>
      <c r="Y169" s="477"/>
      <c r="Z169" s="477"/>
    </row>
    <row r="170" spans="1:26" ht="15" customHeight="1" x14ac:dyDescent="0.35">
      <c r="A170" s="477"/>
      <c r="B170" s="477"/>
      <c r="C170" s="477"/>
      <c r="D170" s="477"/>
      <c r="E170" s="477"/>
      <c r="F170" s="477"/>
      <c r="G170" s="477"/>
      <c r="H170" s="477"/>
      <c r="I170" s="477"/>
      <c r="J170" s="477"/>
      <c r="K170" s="477"/>
      <c r="L170" s="477"/>
      <c r="M170" s="477"/>
      <c r="N170" s="477"/>
      <c r="O170" s="477"/>
      <c r="P170" s="477"/>
      <c r="Q170" s="477"/>
      <c r="R170" s="477"/>
      <c r="S170" s="477"/>
      <c r="T170" s="477"/>
      <c r="U170" s="477"/>
      <c r="V170" s="477"/>
      <c r="W170" s="477"/>
      <c r="X170" s="477"/>
      <c r="Y170" s="477"/>
      <c r="Z170" s="477"/>
    </row>
    <row r="171" spans="1:26" ht="15" customHeight="1" x14ac:dyDescent="0.35">
      <c r="A171" s="477"/>
      <c r="B171" s="477"/>
      <c r="C171" s="477"/>
      <c r="D171" s="477"/>
      <c r="E171" s="477"/>
      <c r="F171" s="477"/>
      <c r="G171" s="477"/>
      <c r="H171" s="477"/>
      <c r="I171" s="477"/>
      <c r="J171" s="477"/>
      <c r="K171" s="477"/>
      <c r="L171" s="477"/>
      <c r="M171" s="477"/>
      <c r="N171" s="477"/>
      <c r="O171" s="477"/>
      <c r="P171" s="477"/>
      <c r="Q171" s="477"/>
      <c r="R171" s="477"/>
      <c r="S171" s="477"/>
      <c r="T171" s="477"/>
      <c r="U171" s="477"/>
      <c r="V171" s="477"/>
      <c r="W171" s="477"/>
      <c r="X171" s="477"/>
      <c r="Y171" s="477"/>
      <c r="Z171" s="477"/>
    </row>
    <row r="172" spans="1:26" ht="15" customHeight="1" x14ac:dyDescent="0.35">
      <c r="A172" s="477"/>
      <c r="B172" s="477"/>
      <c r="C172" s="477"/>
      <c r="D172" s="477"/>
      <c r="E172" s="477"/>
      <c r="F172" s="477"/>
      <c r="G172" s="477"/>
      <c r="H172" s="477"/>
      <c r="I172" s="477"/>
      <c r="J172" s="477"/>
      <c r="K172" s="477"/>
      <c r="L172" s="477"/>
      <c r="M172" s="477"/>
      <c r="N172" s="477"/>
      <c r="O172" s="477"/>
      <c r="P172" s="477"/>
      <c r="Q172" s="477"/>
      <c r="R172" s="477"/>
      <c r="S172" s="477"/>
      <c r="T172" s="477"/>
      <c r="U172" s="477"/>
      <c r="V172" s="477"/>
      <c r="W172" s="477"/>
      <c r="X172" s="477"/>
      <c r="Y172" s="477"/>
      <c r="Z172" s="477"/>
    </row>
    <row r="173" spans="1:26" ht="15" customHeight="1" x14ac:dyDescent="0.35">
      <c r="A173" s="477"/>
      <c r="B173" s="477"/>
      <c r="C173" s="477"/>
      <c r="D173" s="477"/>
      <c r="E173" s="477"/>
      <c r="F173" s="477"/>
      <c r="G173" s="477"/>
      <c r="H173" s="477"/>
      <c r="I173" s="477"/>
      <c r="J173" s="477"/>
      <c r="K173" s="477"/>
      <c r="L173" s="477"/>
      <c r="M173" s="477"/>
      <c r="N173" s="477"/>
      <c r="O173" s="477"/>
      <c r="P173" s="477"/>
      <c r="Q173" s="477"/>
      <c r="R173" s="477"/>
      <c r="S173" s="477"/>
      <c r="T173" s="477"/>
      <c r="U173" s="477"/>
      <c r="V173" s="477"/>
      <c r="W173" s="477"/>
      <c r="X173" s="477"/>
      <c r="Y173" s="477"/>
      <c r="Z173" s="477"/>
    </row>
    <row r="174" spans="1:26" ht="15" customHeight="1" x14ac:dyDescent="0.35">
      <c r="A174" s="477"/>
      <c r="B174" s="477"/>
      <c r="C174" s="477"/>
      <c r="D174" s="477"/>
      <c r="E174" s="477"/>
      <c r="F174" s="477"/>
      <c r="G174" s="477"/>
      <c r="H174" s="477"/>
      <c r="I174" s="477"/>
      <c r="J174" s="477"/>
      <c r="K174" s="477"/>
      <c r="L174" s="477"/>
      <c r="M174" s="477"/>
      <c r="N174" s="477"/>
      <c r="O174" s="477"/>
      <c r="P174" s="477"/>
      <c r="Q174" s="477"/>
      <c r="R174" s="477"/>
      <c r="S174" s="477"/>
      <c r="T174" s="477"/>
      <c r="U174" s="477"/>
      <c r="V174" s="477"/>
      <c r="W174" s="477"/>
      <c r="X174" s="477"/>
      <c r="Y174" s="477"/>
      <c r="Z174" s="477"/>
    </row>
    <row r="175" spans="1:26" ht="15" customHeight="1" x14ac:dyDescent="0.35">
      <c r="A175" s="477"/>
      <c r="B175" s="477"/>
      <c r="C175" s="477"/>
      <c r="D175" s="477"/>
      <c r="E175" s="477"/>
      <c r="F175" s="477"/>
      <c r="G175" s="477"/>
      <c r="H175" s="477"/>
      <c r="I175" s="477"/>
      <c r="J175" s="477"/>
      <c r="K175" s="477"/>
      <c r="L175" s="477"/>
      <c r="M175" s="477"/>
      <c r="N175" s="477"/>
      <c r="O175" s="477"/>
      <c r="P175" s="477"/>
      <c r="Q175" s="477"/>
      <c r="R175" s="477"/>
      <c r="S175" s="477"/>
      <c r="T175" s="477"/>
      <c r="U175" s="477"/>
      <c r="V175" s="477"/>
      <c r="W175" s="477"/>
      <c r="X175" s="477"/>
      <c r="Y175" s="477"/>
      <c r="Z175" s="477"/>
    </row>
    <row r="176" spans="1:26" ht="15" customHeight="1" x14ac:dyDescent="0.35">
      <c r="A176" s="477"/>
      <c r="B176" s="477"/>
      <c r="C176" s="477"/>
      <c r="D176" s="477"/>
      <c r="E176" s="477"/>
      <c r="F176" s="477"/>
      <c r="G176" s="477"/>
      <c r="H176" s="477"/>
      <c r="I176" s="477"/>
      <c r="J176" s="477"/>
      <c r="K176" s="477"/>
      <c r="L176" s="477"/>
      <c r="M176" s="477"/>
      <c r="N176" s="477"/>
      <c r="O176" s="477"/>
      <c r="P176" s="477"/>
      <c r="Q176" s="477"/>
      <c r="R176" s="477"/>
      <c r="S176" s="477"/>
      <c r="T176" s="477"/>
      <c r="U176" s="477"/>
      <c r="V176" s="477"/>
      <c r="W176" s="477"/>
      <c r="X176" s="477"/>
      <c r="Y176" s="477"/>
      <c r="Z176" s="477"/>
    </row>
    <row r="177" spans="1:26" ht="15" customHeight="1" x14ac:dyDescent="0.35">
      <c r="A177" s="477"/>
      <c r="B177" s="477"/>
      <c r="C177" s="477"/>
      <c r="D177" s="477"/>
      <c r="E177" s="477"/>
      <c r="F177" s="477"/>
      <c r="G177" s="477"/>
      <c r="H177" s="477"/>
      <c r="I177" s="477"/>
      <c r="J177" s="477"/>
      <c r="K177" s="477"/>
      <c r="L177" s="477"/>
      <c r="M177" s="477"/>
      <c r="N177" s="477"/>
      <c r="O177" s="477"/>
      <c r="P177" s="477"/>
      <c r="Q177" s="477"/>
      <c r="R177" s="477"/>
      <c r="S177" s="477"/>
      <c r="T177" s="477"/>
      <c r="U177" s="477"/>
      <c r="V177" s="477"/>
      <c r="W177" s="477"/>
      <c r="X177" s="477"/>
      <c r="Y177" s="477"/>
      <c r="Z177" s="477"/>
    </row>
    <row r="178" spans="1:26" ht="15" customHeight="1" x14ac:dyDescent="0.35">
      <c r="A178" s="477"/>
      <c r="B178" s="477"/>
      <c r="C178" s="477"/>
      <c r="D178" s="477"/>
      <c r="E178" s="477"/>
      <c r="F178" s="477"/>
      <c r="G178" s="477"/>
      <c r="H178" s="477"/>
      <c r="I178" s="477"/>
      <c r="J178" s="477"/>
      <c r="K178" s="477"/>
      <c r="L178" s="477"/>
      <c r="M178" s="477"/>
      <c r="N178" s="477"/>
      <c r="O178" s="477"/>
      <c r="P178" s="477"/>
      <c r="Q178" s="477"/>
      <c r="R178" s="477"/>
      <c r="S178" s="477"/>
      <c r="T178" s="477"/>
      <c r="U178" s="477"/>
      <c r="V178" s="477"/>
      <c r="W178" s="477"/>
      <c r="X178" s="477"/>
      <c r="Y178" s="477"/>
      <c r="Z178" s="477"/>
    </row>
    <row r="179" spans="1:26" ht="15" customHeight="1" x14ac:dyDescent="0.35">
      <c r="A179" s="477"/>
      <c r="B179" s="477"/>
      <c r="C179" s="477"/>
      <c r="D179" s="477"/>
      <c r="E179" s="477"/>
      <c r="F179" s="477"/>
      <c r="G179" s="477"/>
      <c r="H179" s="477"/>
      <c r="I179" s="477"/>
      <c r="J179" s="477"/>
      <c r="K179" s="477"/>
      <c r="L179" s="477"/>
      <c r="M179" s="477"/>
      <c r="N179" s="477"/>
      <c r="O179" s="477"/>
      <c r="P179" s="477"/>
      <c r="Q179" s="477"/>
      <c r="R179" s="477"/>
      <c r="S179" s="477"/>
      <c r="T179" s="477"/>
      <c r="U179" s="477"/>
      <c r="V179" s="477"/>
      <c r="W179" s="477"/>
      <c r="X179" s="477"/>
      <c r="Y179" s="477"/>
      <c r="Z179" s="477"/>
    </row>
    <row r="180" spans="1:26" ht="15" customHeight="1" x14ac:dyDescent="0.35">
      <c r="A180" s="477"/>
      <c r="B180" s="477"/>
      <c r="C180" s="477"/>
      <c r="D180" s="477"/>
      <c r="E180" s="477"/>
      <c r="F180" s="477"/>
      <c r="G180" s="477"/>
      <c r="H180" s="477"/>
      <c r="I180" s="477"/>
      <c r="J180" s="477"/>
      <c r="K180" s="477"/>
      <c r="L180" s="477"/>
      <c r="M180" s="477"/>
      <c r="N180" s="477"/>
      <c r="O180" s="477"/>
      <c r="P180" s="477"/>
      <c r="Q180" s="477"/>
      <c r="R180" s="477"/>
      <c r="S180" s="477"/>
      <c r="T180" s="477"/>
      <c r="U180" s="477"/>
      <c r="V180" s="477"/>
      <c r="W180" s="477"/>
      <c r="X180" s="477"/>
      <c r="Y180" s="477"/>
      <c r="Z180" s="477"/>
    </row>
    <row r="181" spans="1:26" ht="15" customHeight="1" x14ac:dyDescent="0.35">
      <c r="A181" s="477"/>
      <c r="B181" s="477"/>
      <c r="C181" s="477"/>
      <c r="D181" s="477"/>
      <c r="E181" s="477"/>
      <c r="F181" s="477"/>
      <c r="G181" s="477"/>
      <c r="H181" s="477"/>
      <c r="I181" s="477"/>
      <c r="J181" s="477"/>
      <c r="K181" s="477"/>
      <c r="L181" s="477"/>
      <c r="M181" s="477"/>
      <c r="N181" s="477"/>
      <c r="O181" s="477"/>
      <c r="P181" s="477"/>
      <c r="Q181" s="477"/>
      <c r="R181" s="477"/>
      <c r="S181" s="477"/>
      <c r="T181" s="477"/>
      <c r="U181" s="477"/>
      <c r="V181" s="477"/>
      <c r="W181" s="477"/>
      <c r="X181" s="477"/>
      <c r="Y181" s="477"/>
      <c r="Z181" s="477"/>
    </row>
    <row r="182" spans="1:26" ht="15" customHeight="1" x14ac:dyDescent="0.35">
      <c r="A182" s="477"/>
      <c r="B182" s="477"/>
      <c r="C182" s="477"/>
      <c r="D182" s="477"/>
      <c r="E182" s="477"/>
      <c r="F182" s="477"/>
      <c r="G182" s="477"/>
      <c r="H182" s="477"/>
      <c r="I182" s="477"/>
      <c r="J182" s="477"/>
      <c r="K182" s="477"/>
      <c r="L182" s="477"/>
      <c r="M182" s="477"/>
      <c r="N182" s="477"/>
      <c r="O182" s="477"/>
      <c r="P182" s="477"/>
      <c r="Q182" s="477"/>
      <c r="R182" s="477"/>
      <c r="S182" s="477"/>
      <c r="T182" s="477"/>
      <c r="U182" s="477"/>
      <c r="V182" s="477"/>
      <c r="W182" s="477"/>
      <c r="X182" s="477"/>
      <c r="Y182" s="477"/>
      <c r="Z182" s="477"/>
    </row>
    <row r="183" spans="1:26" ht="15" customHeight="1" x14ac:dyDescent="0.35">
      <c r="A183" s="477"/>
      <c r="B183" s="477"/>
      <c r="C183" s="477"/>
      <c r="D183" s="477"/>
      <c r="E183" s="477"/>
      <c r="F183" s="477"/>
      <c r="G183" s="477"/>
      <c r="H183" s="477"/>
      <c r="I183" s="477"/>
      <c r="J183" s="477"/>
      <c r="K183" s="477"/>
      <c r="L183" s="477"/>
      <c r="M183" s="477"/>
      <c r="N183" s="477"/>
      <c r="O183" s="477"/>
      <c r="P183" s="477"/>
      <c r="Q183" s="477"/>
      <c r="R183" s="477"/>
      <c r="S183" s="477"/>
      <c r="T183" s="477"/>
      <c r="U183" s="477"/>
      <c r="V183" s="477"/>
      <c r="W183" s="477"/>
      <c r="X183" s="477"/>
      <c r="Y183" s="477"/>
      <c r="Z183" s="477"/>
    </row>
    <row r="184" spans="1:26" ht="15" customHeight="1" x14ac:dyDescent="0.35">
      <c r="A184" s="477"/>
      <c r="B184" s="477"/>
      <c r="C184" s="477"/>
      <c r="D184" s="477"/>
      <c r="E184" s="477"/>
      <c r="F184" s="477"/>
      <c r="G184" s="477"/>
      <c r="H184" s="477"/>
      <c r="I184" s="477"/>
      <c r="J184" s="477"/>
      <c r="K184" s="477"/>
      <c r="L184" s="477"/>
      <c r="M184" s="477"/>
      <c r="N184" s="477"/>
      <c r="O184" s="477"/>
      <c r="P184" s="477"/>
      <c r="Q184" s="477"/>
      <c r="R184" s="477"/>
      <c r="S184" s="477"/>
      <c r="T184" s="477"/>
      <c r="U184" s="477"/>
      <c r="V184" s="477"/>
      <c r="W184" s="477"/>
      <c r="X184" s="477"/>
      <c r="Y184" s="477"/>
      <c r="Z184" s="477"/>
    </row>
    <row r="185" spans="1:26" ht="15" customHeight="1" x14ac:dyDescent="0.35">
      <c r="A185" s="477"/>
      <c r="B185" s="477"/>
      <c r="C185" s="477"/>
      <c r="D185" s="477"/>
      <c r="E185" s="477"/>
      <c r="F185" s="477"/>
      <c r="G185" s="477"/>
      <c r="H185" s="477"/>
      <c r="I185" s="477"/>
      <c r="J185" s="477"/>
      <c r="K185" s="477"/>
      <c r="L185" s="477"/>
      <c r="M185" s="477"/>
      <c r="N185" s="477"/>
      <c r="O185" s="477"/>
      <c r="P185" s="477"/>
      <c r="Q185" s="477"/>
      <c r="R185" s="477"/>
      <c r="S185" s="477"/>
      <c r="T185" s="477"/>
      <c r="U185" s="477"/>
      <c r="V185" s="477"/>
      <c r="W185" s="477"/>
      <c r="X185" s="477"/>
      <c r="Y185" s="477"/>
      <c r="Z185" s="477"/>
    </row>
    <row r="186" spans="1:26" ht="15" customHeight="1" x14ac:dyDescent="0.35">
      <c r="A186" s="477"/>
      <c r="B186" s="477"/>
      <c r="C186" s="477"/>
      <c r="D186" s="477"/>
      <c r="E186" s="477"/>
      <c r="F186" s="477"/>
      <c r="G186" s="477"/>
      <c r="H186" s="477"/>
      <c r="I186" s="477"/>
      <c r="J186" s="477"/>
      <c r="K186" s="477"/>
      <c r="L186" s="477"/>
      <c r="M186" s="477"/>
      <c r="N186" s="477"/>
      <c r="O186" s="477"/>
      <c r="P186" s="477"/>
      <c r="Q186" s="477"/>
      <c r="R186" s="477"/>
      <c r="S186" s="477"/>
      <c r="T186" s="477"/>
      <c r="U186" s="477"/>
      <c r="V186" s="477"/>
      <c r="W186" s="477"/>
      <c r="X186" s="477"/>
      <c r="Y186" s="477"/>
      <c r="Z186" s="477"/>
    </row>
    <row r="187" spans="1:26" ht="15" customHeight="1" x14ac:dyDescent="0.35">
      <c r="A187" s="477"/>
      <c r="B187" s="477"/>
      <c r="C187" s="477"/>
      <c r="D187" s="477"/>
      <c r="E187" s="477"/>
      <c r="F187" s="477"/>
      <c r="G187" s="477"/>
      <c r="H187" s="477"/>
      <c r="I187" s="477"/>
      <c r="J187" s="477"/>
      <c r="K187" s="477"/>
      <c r="L187" s="477"/>
      <c r="M187" s="477"/>
      <c r="N187" s="477"/>
      <c r="O187" s="477"/>
      <c r="P187" s="477"/>
      <c r="Q187" s="477"/>
      <c r="R187" s="477"/>
      <c r="S187" s="477"/>
      <c r="T187" s="477"/>
      <c r="U187" s="477"/>
      <c r="V187" s="477"/>
      <c r="W187" s="477"/>
      <c r="X187" s="477"/>
      <c r="Y187" s="477"/>
      <c r="Z187" s="477"/>
    </row>
    <row r="188" spans="1:26" ht="15" customHeight="1" x14ac:dyDescent="0.35">
      <c r="A188" s="477"/>
      <c r="B188" s="477"/>
      <c r="C188" s="477"/>
      <c r="D188" s="477"/>
      <c r="E188" s="477"/>
      <c r="F188" s="477"/>
      <c r="G188" s="477"/>
      <c r="H188" s="477"/>
      <c r="I188" s="477"/>
      <c r="J188" s="477"/>
      <c r="K188" s="477"/>
      <c r="L188" s="477"/>
      <c r="M188" s="477"/>
      <c r="N188" s="477"/>
      <c r="O188" s="477"/>
      <c r="P188" s="477"/>
      <c r="Q188" s="477"/>
      <c r="R188" s="477"/>
      <c r="S188" s="477"/>
      <c r="T188" s="477"/>
      <c r="U188" s="477"/>
      <c r="V188" s="477"/>
      <c r="W188" s="477"/>
      <c r="X188" s="477"/>
      <c r="Y188" s="477"/>
      <c r="Z188" s="477"/>
    </row>
    <row r="189" spans="1:26" ht="15" customHeight="1" x14ac:dyDescent="0.35">
      <c r="A189" s="477"/>
      <c r="B189" s="477"/>
      <c r="C189" s="477"/>
      <c r="D189" s="477"/>
      <c r="E189" s="477"/>
      <c r="F189" s="477"/>
      <c r="G189" s="477"/>
      <c r="H189" s="477"/>
      <c r="I189" s="477"/>
      <c r="J189" s="477"/>
      <c r="K189" s="477"/>
      <c r="L189" s="477"/>
      <c r="M189" s="477"/>
      <c r="N189" s="477"/>
      <c r="O189" s="477"/>
      <c r="P189" s="477"/>
      <c r="Q189" s="477"/>
      <c r="R189" s="477"/>
      <c r="S189" s="477"/>
      <c r="T189" s="477"/>
      <c r="U189" s="477"/>
      <c r="V189" s="477"/>
      <c r="W189" s="477"/>
      <c r="X189" s="477"/>
      <c r="Y189" s="477"/>
      <c r="Z189" s="477"/>
    </row>
    <row r="190" spans="1:26" ht="15" customHeight="1" x14ac:dyDescent="0.35">
      <c r="A190" s="477"/>
      <c r="B190" s="477"/>
      <c r="C190" s="477"/>
      <c r="D190" s="477"/>
      <c r="E190" s="477"/>
      <c r="F190" s="477"/>
      <c r="G190" s="477"/>
      <c r="H190" s="477"/>
      <c r="I190" s="477"/>
      <c r="J190" s="477"/>
      <c r="K190" s="477"/>
      <c r="L190" s="477"/>
      <c r="M190" s="477"/>
      <c r="N190" s="477"/>
      <c r="O190" s="477"/>
      <c r="P190" s="477"/>
      <c r="Q190" s="477"/>
      <c r="R190" s="477"/>
      <c r="S190" s="477"/>
      <c r="T190" s="477"/>
      <c r="U190" s="477"/>
      <c r="V190" s="477"/>
      <c r="W190" s="477"/>
      <c r="X190" s="477"/>
      <c r="Y190" s="477"/>
      <c r="Z190" s="477"/>
    </row>
    <row r="191" spans="1:26" ht="15" customHeight="1" x14ac:dyDescent="0.35">
      <c r="A191" s="477"/>
      <c r="B191" s="477"/>
      <c r="C191" s="477"/>
      <c r="D191" s="477"/>
      <c r="E191" s="477"/>
      <c r="F191" s="477"/>
      <c r="G191" s="477"/>
      <c r="H191" s="477"/>
      <c r="I191" s="477"/>
      <c r="J191" s="477"/>
      <c r="K191" s="477"/>
      <c r="L191" s="477"/>
      <c r="M191" s="477"/>
      <c r="N191" s="477"/>
      <c r="O191" s="477"/>
      <c r="P191" s="477"/>
      <c r="Q191" s="477"/>
      <c r="R191" s="477"/>
      <c r="S191" s="477"/>
      <c r="T191" s="477"/>
      <c r="U191" s="477"/>
      <c r="V191" s="477"/>
      <c r="W191" s="477"/>
      <c r="X191" s="477"/>
      <c r="Y191" s="477"/>
      <c r="Z191" s="477"/>
    </row>
    <row r="192" spans="1:26" ht="15" customHeight="1" x14ac:dyDescent="0.35">
      <c r="A192" s="477"/>
      <c r="B192" s="477"/>
      <c r="C192" s="477"/>
      <c r="D192" s="477"/>
      <c r="E192" s="477"/>
      <c r="F192" s="477"/>
      <c r="G192" s="477"/>
      <c r="H192" s="477"/>
      <c r="I192" s="477"/>
      <c r="J192" s="477"/>
      <c r="K192" s="477"/>
      <c r="L192" s="477"/>
      <c r="M192" s="477"/>
      <c r="N192" s="477"/>
      <c r="O192" s="477"/>
      <c r="P192" s="477"/>
      <c r="Q192" s="477"/>
      <c r="R192" s="477"/>
      <c r="S192" s="477"/>
      <c r="T192" s="477"/>
      <c r="U192" s="477"/>
      <c r="V192" s="477"/>
      <c r="W192" s="477"/>
      <c r="X192" s="477"/>
      <c r="Y192" s="477"/>
      <c r="Z192" s="477"/>
    </row>
    <row r="193" spans="1:26" ht="15" customHeight="1" x14ac:dyDescent="0.35">
      <c r="A193" s="477"/>
      <c r="B193" s="477"/>
      <c r="C193" s="477"/>
      <c r="D193" s="477"/>
      <c r="E193" s="477"/>
      <c r="F193" s="477"/>
      <c r="G193" s="477"/>
      <c r="H193" s="477"/>
      <c r="I193" s="477"/>
      <c r="J193" s="477"/>
      <c r="K193" s="477"/>
      <c r="L193" s="477"/>
      <c r="M193" s="477"/>
      <c r="N193" s="477"/>
      <c r="O193" s="477"/>
      <c r="P193" s="477"/>
      <c r="Q193" s="477"/>
      <c r="R193" s="477"/>
      <c r="S193" s="477"/>
      <c r="T193" s="477"/>
      <c r="U193" s="477"/>
      <c r="V193" s="477"/>
      <c r="W193" s="477"/>
      <c r="X193" s="477"/>
      <c r="Y193" s="477"/>
      <c r="Z193" s="477"/>
    </row>
    <row r="194" spans="1:26" ht="15" customHeight="1" x14ac:dyDescent="0.35">
      <c r="A194" s="477"/>
      <c r="B194" s="477"/>
      <c r="C194" s="477"/>
      <c r="D194" s="477"/>
      <c r="E194" s="477"/>
      <c r="F194" s="477"/>
      <c r="G194" s="477"/>
      <c r="H194" s="477"/>
      <c r="I194" s="477"/>
      <c r="J194" s="477"/>
      <c r="K194" s="477"/>
      <c r="L194" s="477"/>
      <c r="M194" s="477"/>
      <c r="N194" s="477"/>
      <c r="O194" s="477"/>
      <c r="P194" s="477"/>
      <c r="Q194" s="477"/>
      <c r="R194" s="477"/>
      <c r="S194" s="477"/>
      <c r="T194" s="477"/>
      <c r="U194" s="477"/>
      <c r="V194" s="477"/>
      <c r="W194" s="477"/>
      <c r="X194" s="477"/>
      <c r="Y194" s="477"/>
      <c r="Z194" s="477"/>
    </row>
    <row r="195" spans="1:26" ht="15" customHeight="1" x14ac:dyDescent="0.35">
      <c r="A195" s="477"/>
      <c r="B195" s="477"/>
      <c r="C195" s="477"/>
      <c r="D195" s="477"/>
      <c r="E195" s="477"/>
      <c r="F195" s="477"/>
      <c r="G195" s="477"/>
      <c r="H195" s="477"/>
      <c r="I195" s="477"/>
      <c r="J195" s="477"/>
      <c r="K195" s="477"/>
      <c r="L195" s="477"/>
      <c r="M195" s="477"/>
      <c r="N195" s="477"/>
      <c r="O195" s="477"/>
      <c r="P195" s="477"/>
      <c r="Q195" s="477"/>
      <c r="R195" s="477"/>
      <c r="S195" s="477"/>
      <c r="T195" s="477"/>
      <c r="U195" s="477"/>
      <c r="V195" s="477"/>
      <c r="W195" s="477"/>
      <c r="X195" s="477"/>
      <c r="Y195" s="477"/>
      <c r="Z195" s="477"/>
    </row>
    <row r="196" spans="1:26" ht="15" customHeight="1" x14ac:dyDescent="0.35">
      <c r="A196" s="477"/>
      <c r="B196" s="477"/>
      <c r="C196" s="477"/>
      <c r="D196" s="477"/>
      <c r="E196" s="477"/>
      <c r="F196" s="477"/>
      <c r="G196" s="477"/>
      <c r="H196" s="477"/>
      <c r="I196" s="477"/>
      <c r="J196" s="477"/>
      <c r="K196" s="477"/>
      <c r="L196" s="477"/>
      <c r="M196" s="477"/>
      <c r="N196" s="477"/>
      <c r="O196" s="477"/>
      <c r="P196" s="477"/>
      <c r="Q196" s="477"/>
      <c r="R196" s="477"/>
      <c r="S196" s="477"/>
      <c r="T196" s="477"/>
      <c r="U196" s="477"/>
      <c r="V196" s="477"/>
      <c r="W196" s="477"/>
      <c r="X196" s="477"/>
      <c r="Y196" s="477"/>
      <c r="Z196" s="477"/>
    </row>
    <row r="197" spans="1:26" ht="15" customHeight="1" x14ac:dyDescent="0.35">
      <c r="A197" s="477"/>
      <c r="B197" s="477"/>
      <c r="C197" s="477"/>
      <c r="D197" s="477"/>
      <c r="E197" s="477"/>
      <c r="F197" s="477"/>
      <c r="G197" s="477"/>
      <c r="H197" s="477"/>
      <c r="I197" s="477"/>
      <c r="J197" s="477"/>
      <c r="K197" s="477"/>
      <c r="L197" s="477"/>
      <c r="M197" s="477"/>
      <c r="N197" s="477"/>
      <c r="O197" s="477"/>
      <c r="P197" s="477"/>
      <c r="Q197" s="477"/>
      <c r="R197" s="477"/>
      <c r="S197" s="477"/>
      <c r="T197" s="477"/>
      <c r="U197" s="477"/>
      <c r="V197" s="477"/>
      <c r="W197" s="477"/>
      <c r="X197" s="477"/>
      <c r="Y197" s="477"/>
      <c r="Z197" s="477"/>
    </row>
    <row r="198" spans="1:26" ht="15" customHeight="1" x14ac:dyDescent="0.35">
      <c r="A198" s="477"/>
      <c r="B198" s="477"/>
      <c r="C198" s="477"/>
      <c r="D198" s="477"/>
      <c r="E198" s="477"/>
      <c r="F198" s="477"/>
      <c r="G198" s="477"/>
      <c r="H198" s="477"/>
      <c r="I198" s="477"/>
      <c r="J198" s="477"/>
      <c r="K198" s="477"/>
      <c r="L198" s="477"/>
      <c r="M198" s="477"/>
      <c r="N198" s="477"/>
      <c r="O198" s="477"/>
      <c r="P198" s="477"/>
      <c r="Q198" s="477"/>
      <c r="R198" s="477"/>
      <c r="S198" s="477"/>
      <c r="T198" s="477"/>
      <c r="U198" s="477"/>
      <c r="V198" s="477"/>
      <c r="W198" s="477"/>
      <c r="X198" s="477"/>
      <c r="Y198" s="477"/>
      <c r="Z198" s="477"/>
    </row>
    <row r="199" spans="1:26" ht="15" customHeight="1" x14ac:dyDescent="0.35">
      <c r="A199" s="477"/>
      <c r="B199" s="477"/>
      <c r="C199" s="477"/>
      <c r="D199" s="477"/>
      <c r="E199" s="477"/>
      <c r="F199" s="477"/>
      <c r="G199" s="477"/>
      <c r="H199" s="477"/>
      <c r="I199" s="477"/>
      <c r="J199" s="477"/>
      <c r="K199" s="477"/>
      <c r="L199" s="477"/>
      <c r="M199" s="477"/>
      <c r="N199" s="477"/>
      <c r="O199" s="477"/>
      <c r="P199" s="477"/>
      <c r="Q199" s="477"/>
      <c r="R199" s="477"/>
      <c r="S199" s="477"/>
      <c r="T199" s="477"/>
      <c r="U199" s="477"/>
      <c r="V199" s="477"/>
      <c r="W199" s="477"/>
      <c r="X199" s="477"/>
      <c r="Y199" s="477"/>
      <c r="Z199" s="477"/>
    </row>
    <row r="200" spans="1:26" ht="15" customHeight="1" x14ac:dyDescent="0.35">
      <c r="A200" s="477"/>
      <c r="B200" s="477"/>
      <c r="C200" s="477"/>
      <c r="D200" s="477"/>
      <c r="E200" s="477"/>
      <c r="F200" s="477"/>
      <c r="G200" s="477"/>
      <c r="H200" s="477"/>
      <c r="I200" s="477"/>
      <c r="J200" s="477"/>
      <c r="K200" s="477"/>
      <c r="L200" s="477"/>
      <c r="M200" s="477"/>
      <c r="N200" s="477"/>
      <c r="O200" s="477"/>
      <c r="P200" s="477"/>
      <c r="Q200" s="477"/>
      <c r="R200" s="477"/>
      <c r="S200" s="477"/>
      <c r="T200" s="477"/>
      <c r="U200" s="477"/>
      <c r="V200" s="477"/>
      <c r="W200" s="477"/>
      <c r="X200" s="477"/>
      <c r="Y200" s="477"/>
      <c r="Z200" s="477"/>
    </row>
    <row r="201" spans="1:26" ht="15" customHeight="1" x14ac:dyDescent="0.35">
      <c r="A201" s="477"/>
      <c r="B201" s="477"/>
      <c r="C201" s="477"/>
      <c r="D201" s="477"/>
      <c r="E201" s="477"/>
      <c r="F201" s="477"/>
      <c r="G201" s="477"/>
      <c r="H201" s="477"/>
      <c r="I201" s="477"/>
      <c r="J201" s="477"/>
      <c r="K201" s="477"/>
      <c r="L201" s="477"/>
      <c r="M201" s="477"/>
      <c r="N201" s="477"/>
      <c r="O201" s="477"/>
      <c r="P201" s="477"/>
      <c r="Q201" s="477"/>
      <c r="R201" s="477"/>
      <c r="S201" s="477"/>
      <c r="T201" s="477"/>
      <c r="U201" s="477"/>
      <c r="V201" s="477"/>
      <c r="W201" s="477"/>
      <c r="X201" s="477"/>
      <c r="Y201" s="477"/>
      <c r="Z201" s="477"/>
    </row>
    <row r="202" spans="1:26" ht="15" customHeight="1" x14ac:dyDescent="0.35">
      <c r="A202" s="477"/>
      <c r="B202" s="477"/>
      <c r="C202" s="477"/>
      <c r="D202" s="477"/>
      <c r="E202" s="477"/>
      <c r="F202" s="477"/>
      <c r="G202" s="477"/>
      <c r="H202" s="477"/>
      <c r="I202" s="477"/>
      <c r="J202" s="477"/>
      <c r="K202" s="477"/>
      <c r="L202" s="477"/>
      <c r="M202" s="477"/>
      <c r="N202" s="477"/>
      <c r="O202" s="477"/>
      <c r="P202" s="477"/>
      <c r="Q202" s="477"/>
      <c r="R202" s="477"/>
      <c r="S202" s="477"/>
      <c r="T202" s="477"/>
      <c r="U202" s="477"/>
      <c r="V202" s="477"/>
      <c r="W202" s="477"/>
      <c r="X202" s="477"/>
      <c r="Y202" s="477"/>
      <c r="Z202" s="477"/>
    </row>
    <row r="203" spans="1:26" ht="15" customHeight="1" x14ac:dyDescent="0.35">
      <c r="A203" s="477"/>
      <c r="B203" s="477"/>
      <c r="C203" s="477"/>
      <c r="D203" s="477"/>
      <c r="E203" s="477"/>
      <c r="F203" s="477"/>
      <c r="G203" s="477"/>
      <c r="H203" s="477"/>
      <c r="I203" s="477"/>
      <c r="J203" s="477"/>
      <c r="K203" s="477"/>
      <c r="L203" s="477"/>
      <c r="M203" s="477"/>
      <c r="N203" s="477"/>
      <c r="O203" s="477"/>
      <c r="P203" s="477"/>
      <c r="Q203" s="477"/>
      <c r="R203" s="477"/>
      <c r="S203" s="477"/>
      <c r="T203" s="477"/>
      <c r="U203" s="477"/>
      <c r="V203" s="477"/>
      <c r="W203" s="477"/>
      <c r="X203" s="477"/>
      <c r="Y203" s="477"/>
      <c r="Z203" s="477"/>
    </row>
    <row r="204" spans="1:26" ht="15" customHeight="1" x14ac:dyDescent="0.35">
      <c r="A204" s="477"/>
      <c r="B204" s="477"/>
      <c r="C204" s="477"/>
      <c r="D204" s="477"/>
      <c r="E204" s="477"/>
      <c r="F204" s="477"/>
      <c r="G204" s="477"/>
      <c r="H204" s="477"/>
      <c r="I204" s="477"/>
      <c r="J204" s="477"/>
      <c r="K204" s="477"/>
      <c r="L204" s="477"/>
      <c r="M204" s="477"/>
      <c r="N204" s="477"/>
      <c r="O204" s="477"/>
      <c r="P204" s="477"/>
      <c r="Q204" s="477"/>
      <c r="R204" s="477"/>
      <c r="S204" s="477"/>
      <c r="T204" s="477"/>
      <c r="U204" s="477"/>
      <c r="V204" s="477"/>
      <c r="W204" s="477"/>
      <c r="X204" s="477"/>
      <c r="Y204" s="477"/>
      <c r="Z204" s="477"/>
    </row>
    <row r="205" spans="1:26" ht="15" customHeight="1" x14ac:dyDescent="0.35">
      <c r="A205" s="477"/>
      <c r="B205" s="477"/>
      <c r="C205" s="477"/>
      <c r="D205" s="477"/>
      <c r="E205" s="477"/>
      <c r="F205" s="477"/>
      <c r="G205" s="477"/>
      <c r="H205" s="477"/>
      <c r="I205" s="477"/>
      <c r="J205" s="477"/>
      <c r="K205" s="477"/>
      <c r="L205" s="477"/>
      <c r="M205" s="477"/>
      <c r="N205" s="477"/>
      <c r="O205" s="477"/>
      <c r="P205" s="477"/>
      <c r="Q205" s="477"/>
      <c r="R205" s="477"/>
      <c r="S205" s="477"/>
      <c r="T205" s="477"/>
      <c r="U205" s="477"/>
      <c r="V205" s="477"/>
      <c r="W205" s="477"/>
      <c r="X205" s="477"/>
      <c r="Y205" s="477"/>
      <c r="Z205" s="477"/>
    </row>
    <row r="206" spans="1:26" ht="15" customHeight="1" x14ac:dyDescent="0.35">
      <c r="A206" s="477"/>
      <c r="B206" s="477"/>
      <c r="C206" s="477"/>
      <c r="D206" s="477"/>
      <c r="E206" s="477"/>
      <c r="F206" s="477"/>
      <c r="G206" s="477"/>
      <c r="H206" s="477"/>
      <c r="I206" s="477"/>
      <c r="J206" s="477"/>
      <c r="K206" s="477"/>
      <c r="L206" s="477"/>
      <c r="M206" s="477"/>
      <c r="N206" s="477"/>
      <c r="O206" s="477"/>
      <c r="P206" s="477"/>
      <c r="Q206" s="477"/>
      <c r="R206" s="477"/>
      <c r="S206" s="477"/>
      <c r="T206" s="477"/>
      <c r="U206" s="477"/>
      <c r="V206" s="477"/>
      <c r="W206" s="477"/>
      <c r="X206" s="477"/>
      <c r="Y206" s="477"/>
      <c r="Z206" s="477"/>
    </row>
    <row r="207" spans="1:26" ht="15" customHeight="1" x14ac:dyDescent="0.35">
      <c r="A207" s="477"/>
      <c r="B207" s="477"/>
      <c r="C207" s="477"/>
      <c r="D207" s="477"/>
      <c r="E207" s="477"/>
      <c r="F207" s="477"/>
      <c r="G207" s="477"/>
      <c r="H207" s="477"/>
      <c r="I207" s="477"/>
      <c r="J207" s="477"/>
      <c r="K207" s="477"/>
      <c r="L207" s="477"/>
      <c r="M207" s="477"/>
      <c r="N207" s="477"/>
      <c r="O207" s="477"/>
      <c r="P207" s="477"/>
      <c r="Q207" s="477"/>
      <c r="R207" s="477"/>
      <c r="S207" s="477"/>
      <c r="T207" s="477"/>
      <c r="U207" s="477"/>
      <c r="V207" s="477"/>
      <c r="W207" s="477"/>
      <c r="X207" s="477"/>
      <c r="Y207" s="477"/>
      <c r="Z207" s="477"/>
    </row>
    <row r="208" spans="1:26" ht="15" customHeight="1" x14ac:dyDescent="0.35">
      <c r="A208" s="477"/>
      <c r="B208" s="477"/>
      <c r="C208" s="477"/>
      <c r="D208" s="477"/>
      <c r="E208" s="477"/>
      <c r="F208" s="477"/>
      <c r="G208" s="477"/>
      <c r="H208" s="477"/>
      <c r="I208" s="477"/>
      <c r="J208" s="477"/>
      <c r="K208" s="477"/>
      <c r="L208" s="477"/>
      <c r="M208" s="477"/>
      <c r="N208" s="477"/>
      <c r="O208" s="477"/>
      <c r="P208" s="477"/>
      <c r="Q208" s="477"/>
      <c r="R208" s="477"/>
      <c r="S208" s="477"/>
      <c r="T208" s="477"/>
      <c r="U208" s="477"/>
      <c r="V208" s="477"/>
      <c r="W208" s="477"/>
      <c r="X208" s="477"/>
      <c r="Y208" s="477"/>
      <c r="Z208" s="477"/>
    </row>
    <row r="209" spans="1:26" ht="15" customHeight="1" x14ac:dyDescent="0.35">
      <c r="A209" s="477"/>
      <c r="B209" s="477"/>
      <c r="C209" s="477"/>
      <c r="D209" s="477"/>
      <c r="E209" s="477"/>
      <c r="F209" s="477"/>
      <c r="G209" s="477"/>
      <c r="H209" s="477"/>
      <c r="I209" s="477"/>
      <c r="J209" s="477"/>
      <c r="K209" s="477"/>
      <c r="L209" s="477"/>
      <c r="M209" s="477"/>
      <c r="N209" s="477"/>
      <c r="O209" s="477"/>
      <c r="P209" s="477"/>
      <c r="Q209" s="477"/>
      <c r="R209" s="477"/>
      <c r="S209" s="477"/>
      <c r="T209" s="477"/>
      <c r="U209" s="477"/>
      <c r="V209" s="477"/>
      <c r="W209" s="477"/>
      <c r="X209" s="477"/>
      <c r="Y209" s="477"/>
      <c r="Z209" s="477"/>
    </row>
    <row r="210" spans="1:26" ht="15" customHeight="1" x14ac:dyDescent="0.35">
      <c r="A210" s="477"/>
      <c r="B210" s="477"/>
      <c r="C210" s="477"/>
      <c r="D210" s="477"/>
      <c r="E210" s="477"/>
      <c r="F210" s="477"/>
      <c r="G210" s="477"/>
      <c r="H210" s="477"/>
      <c r="I210" s="477"/>
      <c r="J210" s="477"/>
      <c r="K210" s="477"/>
      <c r="L210" s="477"/>
      <c r="M210" s="477"/>
      <c r="N210" s="477"/>
      <c r="O210" s="477"/>
      <c r="P210" s="477"/>
      <c r="Q210" s="477"/>
      <c r="R210" s="477"/>
      <c r="S210" s="477"/>
      <c r="T210" s="477"/>
      <c r="U210" s="477"/>
      <c r="V210" s="477"/>
      <c r="W210" s="477"/>
      <c r="X210" s="477"/>
      <c r="Y210" s="477"/>
      <c r="Z210" s="477"/>
    </row>
    <row r="211" spans="1:26" ht="15" customHeight="1" x14ac:dyDescent="0.35">
      <c r="A211" s="477"/>
      <c r="B211" s="477"/>
      <c r="C211" s="477"/>
      <c r="D211" s="477"/>
      <c r="E211" s="477"/>
      <c r="F211" s="477"/>
      <c r="G211" s="477"/>
      <c r="H211" s="477"/>
      <c r="I211" s="477"/>
      <c r="J211" s="477"/>
      <c r="K211" s="477"/>
      <c r="L211" s="477"/>
      <c r="M211" s="477"/>
      <c r="N211" s="477"/>
      <c r="O211" s="477"/>
      <c r="P211" s="477"/>
      <c r="Q211" s="477"/>
      <c r="R211" s="477"/>
      <c r="S211" s="477"/>
      <c r="T211" s="477"/>
      <c r="U211" s="477"/>
      <c r="V211" s="477"/>
      <c r="W211" s="477"/>
      <c r="X211" s="477"/>
      <c r="Y211" s="477"/>
      <c r="Z211" s="477"/>
    </row>
    <row r="212" spans="1:26" ht="15" customHeight="1" x14ac:dyDescent="0.35">
      <c r="A212" s="477"/>
      <c r="B212" s="477"/>
      <c r="C212" s="477"/>
      <c r="D212" s="477"/>
      <c r="E212" s="477"/>
      <c r="F212" s="477"/>
      <c r="G212" s="477"/>
      <c r="H212" s="477"/>
      <c r="I212" s="477"/>
      <c r="J212" s="477"/>
      <c r="K212" s="477"/>
      <c r="L212" s="477"/>
      <c r="M212" s="477"/>
      <c r="N212" s="477"/>
      <c r="O212" s="477"/>
      <c r="P212" s="477"/>
      <c r="Q212" s="477"/>
      <c r="R212" s="477"/>
      <c r="S212" s="477"/>
      <c r="T212" s="477"/>
      <c r="U212" s="477"/>
      <c r="V212" s="477"/>
      <c r="W212" s="477"/>
      <c r="X212" s="477"/>
      <c r="Y212" s="477"/>
      <c r="Z212" s="477"/>
    </row>
    <row r="213" spans="1:26" ht="15" customHeight="1" x14ac:dyDescent="0.35">
      <c r="A213" s="477"/>
      <c r="B213" s="477"/>
      <c r="C213" s="477"/>
      <c r="D213" s="477"/>
      <c r="E213" s="477"/>
      <c r="F213" s="477"/>
      <c r="G213" s="477"/>
      <c r="H213" s="477"/>
      <c r="I213" s="477"/>
      <c r="J213" s="477"/>
      <c r="K213" s="477"/>
      <c r="L213" s="477"/>
      <c r="M213" s="477"/>
      <c r="N213" s="477"/>
      <c r="O213" s="477"/>
      <c r="P213" s="477"/>
      <c r="Q213" s="477"/>
      <c r="R213" s="477"/>
      <c r="S213" s="477"/>
      <c r="T213" s="477"/>
      <c r="U213" s="477"/>
      <c r="V213" s="477"/>
      <c r="W213" s="477"/>
      <c r="X213" s="477"/>
      <c r="Y213" s="477"/>
      <c r="Z213" s="477"/>
    </row>
    <row r="214" spans="1:26" ht="15" customHeight="1" x14ac:dyDescent="0.35">
      <c r="A214" s="477"/>
      <c r="B214" s="477"/>
      <c r="C214" s="477"/>
      <c r="D214" s="477"/>
      <c r="E214" s="477"/>
      <c r="F214" s="477"/>
      <c r="G214" s="477"/>
      <c r="H214" s="477"/>
      <c r="I214" s="477"/>
      <c r="J214" s="477"/>
      <c r="K214" s="477"/>
      <c r="L214" s="477"/>
      <c r="M214" s="477"/>
      <c r="N214" s="477"/>
      <c r="O214" s="477"/>
      <c r="P214" s="477"/>
      <c r="Q214" s="477"/>
      <c r="R214" s="477"/>
      <c r="S214" s="477"/>
      <c r="T214" s="477"/>
      <c r="U214" s="477"/>
      <c r="V214" s="477"/>
      <c r="W214" s="477"/>
      <c r="X214" s="477"/>
      <c r="Y214" s="477"/>
      <c r="Z214" s="477"/>
    </row>
    <row r="215" spans="1:26" ht="15" customHeight="1" x14ac:dyDescent="0.35">
      <c r="A215" s="477"/>
      <c r="B215" s="477"/>
      <c r="C215" s="477"/>
      <c r="D215" s="477"/>
      <c r="E215" s="477"/>
      <c r="F215" s="477"/>
      <c r="G215" s="477"/>
      <c r="H215" s="477"/>
      <c r="I215" s="477"/>
      <c r="J215" s="477"/>
      <c r="K215" s="477"/>
      <c r="L215" s="477"/>
      <c r="M215" s="477"/>
      <c r="N215" s="477"/>
      <c r="O215" s="477"/>
      <c r="P215" s="477"/>
      <c r="Q215" s="477"/>
      <c r="R215" s="477"/>
      <c r="S215" s="477"/>
      <c r="T215" s="477"/>
      <c r="U215" s="477"/>
      <c r="V215" s="477"/>
      <c r="W215" s="477"/>
      <c r="X215" s="477"/>
      <c r="Y215" s="477"/>
      <c r="Z215" s="477"/>
    </row>
    <row r="216" spans="1:26" ht="15" customHeight="1" x14ac:dyDescent="0.35">
      <c r="A216" s="477"/>
      <c r="B216" s="477"/>
      <c r="C216" s="477"/>
      <c r="D216" s="477"/>
      <c r="E216" s="477"/>
      <c r="F216" s="477"/>
      <c r="G216" s="477"/>
      <c r="H216" s="477"/>
      <c r="I216" s="477"/>
      <c r="J216" s="477"/>
      <c r="K216" s="477"/>
      <c r="L216" s="477"/>
      <c r="M216" s="477"/>
      <c r="N216" s="477"/>
      <c r="O216" s="477"/>
      <c r="P216" s="477"/>
      <c r="Q216" s="477"/>
      <c r="R216" s="477"/>
      <c r="S216" s="477"/>
      <c r="T216" s="477"/>
      <c r="U216" s="477"/>
      <c r="V216" s="477"/>
      <c r="W216" s="477"/>
      <c r="X216" s="477"/>
      <c r="Y216" s="477"/>
      <c r="Z216" s="477"/>
    </row>
    <row r="217" spans="1:26" ht="15" customHeight="1" x14ac:dyDescent="0.35">
      <c r="A217" s="477"/>
      <c r="B217" s="477"/>
      <c r="C217" s="477"/>
      <c r="D217" s="477"/>
      <c r="E217" s="477"/>
      <c r="F217" s="477"/>
      <c r="G217" s="477"/>
      <c r="H217" s="477"/>
      <c r="I217" s="477"/>
      <c r="J217" s="477"/>
      <c r="K217" s="477"/>
      <c r="L217" s="477"/>
      <c r="M217" s="477"/>
      <c r="N217" s="477"/>
      <c r="O217" s="477"/>
      <c r="P217" s="477"/>
      <c r="Q217" s="477"/>
      <c r="R217" s="477"/>
      <c r="S217" s="477"/>
      <c r="T217" s="477"/>
      <c r="U217" s="477"/>
      <c r="V217" s="477"/>
      <c r="W217" s="477"/>
      <c r="X217" s="477"/>
      <c r="Y217" s="477"/>
      <c r="Z217" s="477"/>
    </row>
    <row r="218" spans="1:26" ht="15" customHeight="1" x14ac:dyDescent="0.35">
      <c r="A218" s="477"/>
      <c r="B218" s="477"/>
      <c r="C218" s="477"/>
      <c r="D218" s="477"/>
      <c r="E218" s="477"/>
      <c r="F218" s="477"/>
      <c r="G218" s="477"/>
      <c r="H218" s="477"/>
      <c r="I218" s="477"/>
      <c r="J218" s="477"/>
      <c r="K218" s="477"/>
      <c r="L218" s="477"/>
      <c r="M218" s="477"/>
      <c r="N218" s="477"/>
      <c r="O218" s="477"/>
      <c r="P218" s="477"/>
      <c r="Q218" s="477"/>
      <c r="R218" s="477"/>
      <c r="S218" s="477"/>
      <c r="T218" s="477"/>
      <c r="U218" s="477"/>
      <c r="V218" s="477"/>
      <c r="W218" s="477"/>
      <c r="X218" s="477"/>
      <c r="Y218" s="477"/>
      <c r="Z218" s="477"/>
    </row>
    <row r="219" spans="1:26" ht="15" customHeight="1" x14ac:dyDescent="0.35">
      <c r="A219" s="477"/>
      <c r="B219" s="477"/>
      <c r="C219" s="477"/>
      <c r="D219" s="477"/>
      <c r="E219" s="477"/>
      <c r="F219" s="477"/>
      <c r="G219" s="477"/>
      <c r="H219" s="477"/>
      <c r="I219" s="477"/>
      <c r="J219" s="477"/>
      <c r="K219" s="477"/>
      <c r="L219" s="477"/>
      <c r="M219" s="477"/>
      <c r="N219" s="477"/>
      <c r="O219" s="477"/>
      <c r="P219" s="477"/>
      <c r="Q219" s="477"/>
      <c r="R219" s="477"/>
      <c r="S219" s="477"/>
      <c r="T219" s="477"/>
      <c r="U219" s="477"/>
      <c r="V219" s="477"/>
      <c r="W219" s="477"/>
      <c r="X219" s="477"/>
      <c r="Y219" s="477"/>
      <c r="Z219" s="477"/>
    </row>
    <row r="220" spans="1:26" ht="15" customHeight="1" x14ac:dyDescent="0.35">
      <c r="A220" s="477"/>
      <c r="B220" s="477"/>
      <c r="C220" s="477"/>
      <c r="D220" s="477"/>
      <c r="E220" s="477"/>
      <c r="F220" s="477"/>
      <c r="G220" s="477"/>
      <c r="H220" s="477"/>
      <c r="I220" s="477"/>
      <c r="J220" s="477"/>
      <c r="K220" s="477"/>
      <c r="L220" s="477"/>
      <c r="M220" s="477"/>
      <c r="N220" s="477"/>
      <c r="O220" s="477"/>
      <c r="P220" s="477"/>
      <c r="Q220" s="477"/>
      <c r="R220" s="477"/>
      <c r="S220" s="477"/>
      <c r="T220" s="477"/>
      <c r="U220" s="477"/>
      <c r="V220" s="477"/>
      <c r="W220" s="477"/>
      <c r="X220" s="477"/>
      <c r="Y220" s="477"/>
      <c r="Z220" s="477"/>
    </row>
    <row r="221" spans="1:26" ht="15" customHeight="1" x14ac:dyDescent="0.35">
      <c r="A221" s="477"/>
      <c r="B221" s="477"/>
      <c r="C221" s="477"/>
      <c r="D221" s="477"/>
      <c r="E221" s="477"/>
      <c r="F221" s="477"/>
      <c r="G221" s="477"/>
      <c r="H221" s="477"/>
      <c r="I221" s="477"/>
      <c r="J221" s="477"/>
      <c r="K221" s="477"/>
      <c r="L221" s="477"/>
      <c r="M221" s="477"/>
      <c r="N221" s="477"/>
      <c r="O221" s="477"/>
      <c r="P221" s="477"/>
      <c r="Q221" s="477"/>
      <c r="R221" s="477"/>
      <c r="S221" s="477"/>
      <c r="T221" s="477"/>
      <c r="U221" s="477"/>
      <c r="V221" s="477"/>
      <c r="W221" s="477"/>
      <c r="X221" s="477"/>
      <c r="Y221" s="477"/>
      <c r="Z221" s="477"/>
    </row>
    <row r="222" spans="1:26" ht="15" customHeight="1" x14ac:dyDescent="0.35">
      <c r="A222" s="477"/>
      <c r="B222" s="477"/>
      <c r="C222" s="477"/>
      <c r="D222" s="477"/>
      <c r="E222" s="477"/>
      <c r="F222" s="477"/>
      <c r="G222" s="477"/>
      <c r="H222" s="477"/>
      <c r="I222" s="477"/>
      <c r="J222" s="477"/>
      <c r="K222" s="477"/>
      <c r="L222" s="477"/>
      <c r="M222" s="477"/>
      <c r="N222" s="477"/>
      <c r="O222" s="477"/>
      <c r="P222" s="477"/>
      <c r="Q222" s="477"/>
      <c r="R222" s="477"/>
      <c r="S222" s="477"/>
      <c r="T222" s="477"/>
      <c r="U222" s="477"/>
      <c r="V222" s="477"/>
      <c r="W222" s="477"/>
      <c r="X222" s="477"/>
      <c r="Y222" s="477"/>
      <c r="Z222" s="477"/>
    </row>
    <row r="223" spans="1:26" ht="15" customHeight="1" x14ac:dyDescent="0.35">
      <c r="A223" s="477"/>
      <c r="B223" s="477"/>
      <c r="C223" s="477"/>
      <c r="D223" s="477"/>
      <c r="E223" s="477"/>
      <c r="F223" s="477"/>
      <c r="G223" s="477"/>
      <c r="H223" s="477"/>
      <c r="I223" s="477"/>
      <c r="J223" s="477"/>
      <c r="K223" s="477"/>
      <c r="L223" s="477"/>
      <c r="M223" s="477"/>
      <c r="N223" s="477"/>
      <c r="O223" s="477"/>
      <c r="P223" s="477"/>
      <c r="Q223" s="477"/>
      <c r="R223" s="477"/>
      <c r="S223" s="477"/>
      <c r="T223" s="477"/>
      <c r="U223" s="477"/>
      <c r="V223" s="477"/>
      <c r="W223" s="477"/>
      <c r="X223" s="477"/>
      <c r="Y223" s="477"/>
      <c r="Z223" s="477"/>
    </row>
    <row r="224" spans="1:26" ht="15" customHeight="1" x14ac:dyDescent="0.35">
      <c r="A224" s="477"/>
      <c r="B224" s="477"/>
      <c r="C224" s="477"/>
      <c r="D224" s="477"/>
      <c r="E224" s="477"/>
      <c r="F224" s="477"/>
      <c r="G224" s="477"/>
      <c r="H224" s="477"/>
      <c r="I224" s="477"/>
      <c r="J224" s="477"/>
      <c r="K224" s="477"/>
      <c r="L224" s="477"/>
      <c r="M224" s="477"/>
      <c r="N224" s="477"/>
      <c r="O224" s="477"/>
      <c r="P224" s="477"/>
      <c r="Q224" s="477"/>
      <c r="R224" s="477"/>
      <c r="S224" s="477"/>
      <c r="T224" s="477"/>
      <c r="U224" s="477"/>
      <c r="V224" s="477"/>
      <c r="W224" s="477"/>
      <c r="X224" s="477"/>
      <c r="Y224" s="477"/>
      <c r="Z224" s="477"/>
    </row>
    <row r="225" spans="1:26" ht="15" customHeight="1" x14ac:dyDescent="0.35">
      <c r="A225" s="477"/>
      <c r="B225" s="477"/>
      <c r="C225" s="477"/>
      <c r="D225" s="477"/>
      <c r="E225" s="477"/>
      <c r="F225" s="477"/>
      <c r="G225" s="477"/>
      <c r="H225" s="477"/>
      <c r="I225" s="477"/>
      <c r="J225" s="477"/>
      <c r="K225" s="477"/>
      <c r="L225" s="477"/>
      <c r="M225" s="477"/>
      <c r="N225" s="477"/>
      <c r="O225" s="477"/>
      <c r="P225" s="477"/>
      <c r="Q225" s="477"/>
      <c r="R225" s="477"/>
      <c r="S225" s="477"/>
      <c r="T225" s="477"/>
      <c r="U225" s="477"/>
      <c r="V225" s="477"/>
      <c r="W225" s="477"/>
      <c r="X225" s="477"/>
      <c r="Y225" s="477"/>
      <c r="Z225" s="477"/>
    </row>
    <row r="226" spans="1:26" ht="15" customHeight="1" x14ac:dyDescent="0.35">
      <c r="A226" s="477"/>
      <c r="B226" s="477"/>
      <c r="C226" s="477"/>
      <c r="D226" s="477"/>
      <c r="E226" s="477"/>
      <c r="F226" s="477"/>
      <c r="G226" s="477"/>
      <c r="H226" s="477"/>
      <c r="I226" s="477"/>
      <c r="J226" s="477"/>
      <c r="K226" s="477"/>
      <c r="L226" s="477"/>
      <c r="M226" s="477"/>
      <c r="N226" s="477"/>
      <c r="O226" s="477"/>
      <c r="P226" s="477"/>
      <c r="Q226" s="477"/>
      <c r="R226" s="477"/>
      <c r="S226" s="477"/>
      <c r="T226" s="477"/>
      <c r="U226" s="477"/>
      <c r="V226" s="477"/>
      <c r="W226" s="477"/>
      <c r="X226" s="477"/>
      <c r="Y226" s="477"/>
      <c r="Z226" s="477"/>
    </row>
    <row r="227" spans="1:26" ht="15" customHeight="1" x14ac:dyDescent="0.35">
      <c r="A227" s="477"/>
      <c r="B227" s="477"/>
      <c r="C227" s="477"/>
      <c r="D227" s="477"/>
      <c r="E227" s="477"/>
      <c r="F227" s="477"/>
      <c r="G227" s="477"/>
      <c r="H227" s="477"/>
      <c r="I227" s="477"/>
      <c r="J227" s="477"/>
      <c r="K227" s="477"/>
      <c r="L227" s="477"/>
      <c r="M227" s="477"/>
      <c r="N227" s="477"/>
      <c r="O227" s="477"/>
      <c r="P227" s="477"/>
      <c r="Q227" s="477"/>
      <c r="R227" s="477"/>
      <c r="S227" s="477"/>
      <c r="T227" s="477"/>
      <c r="U227" s="477"/>
      <c r="V227" s="477"/>
      <c r="W227" s="477"/>
      <c r="X227" s="477"/>
      <c r="Y227" s="477"/>
      <c r="Z227" s="477"/>
    </row>
    <row r="228" spans="1:26" ht="15" customHeight="1" x14ac:dyDescent="0.35">
      <c r="A228" s="477"/>
      <c r="B228" s="477"/>
      <c r="C228" s="477"/>
      <c r="D228" s="477"/>
      <c r="E228" s="477"/>
      <c r="F228" s="477"/>
      <c r="G228" s="477"/>
      <c r="H228" s="477"/>
      <c r="I228" s="477"/>
      <c r="J228" s="477"/>
      <c r="K228" s="477"/>
      <c r="L228" s="477"/>
      <c r="M228" s="477"/>
      <c r="N228" s="477"/>
      <c r="O228" s="477"/>
      <c r="P228" s="477"/>
      <c r="Q228" s="477"/>
      <c r="R228" s="477"/>
      <c r="S228" s="477"/>
      <c r="T228" s="477"/>
      <c r="U228" s="477"/>
      <c r="V228" s="477"/>
      <c r="W228" s="477"/>
      <c r="X228" s="477"/>
      <c r="Y228" s="477"/>
      <c r="Z228" s="477"/>
    </row>
    <row r="229" spans="1:26" ht="15" customHeight="1" x14ac:dyDescent="0.35">
      <c r="A229" s="477"/>
      <c r="B229" s="477"/>
      <c r="C229" s="477"/>
      <c r="D229" s="477"/>
      <c r="E229" s="477"/>
      <c r="F229" s="477"/>
      <c r="G229" s="477"/>
      <c r="H229" s="477"/>
      <c r="I229" s="477"/>
      <c r="J229" s="477"/>
      <c r="K229" s="477"/>
      <c r="L229" s="477"/>
      <c r="M229" s="477"/>
      <c r="N229" s="477"/>
      <c r="O229" s="477"/>
      <c r="P229" s="477"/>
      <c r="Q229" s="477"/>
      <c r="R229" s="477"/>
      <c r="S229" s="477"/>
      <c r="T229" s="477"/>
      <c r="U229" s="477"/>
      <c r="V229" s="477"/>
      <c r="W229" s="477"/>
      <c r="X229" s="477"/>
      <c r="Y229" s="477"/>
      <c r="Z229" s="477"/>
    </row>
    <row r="230" spans="1:26" ht="15" customHeight="1" x14ac:dyDescent="0.35">
      <c r="A230" s="477"/>
      <c r="B230" s="477"/>
      <c r="C230" s="477"/>
      <c r="D230" s="477"/>
      <c r="E230" s="477"/>
      <c r="F230" s="477"/>
      <c r="G230" s="477"/>
      <c r="H230" s="477"/>
      <c r="I230" s="477"/>
      <c r="J230" s="477"/>
      <c r="K230" s="477"/>
      <c r="L230" s="477"/>
      <c r="M230" s="477"/>
      <c r="N230" s="477"/>
      <c r="O230" s="477"/>
      <c r="P230" s="477"/>
      <c r="Q230" s="477"/>
      <c r="R230" s="477"/>
      <c r="S230" s="477"/>
      <c r="T230" s="477"/>
      <c r="U230" s="477"/>
      <c r="V230" s="477"/>
      <c r="W230" s="477"/>
      <c r="X230" s="477"/>
      <c r="Y230" s="477"/>
      <c r="Z230" s="477"/>
    </row>
    <row r="231" spans="1:26" ht="15" customHeight="1" x14ac:dyDescent="0.35">
      <c r="A231" s="477"/>
      <c r="B231" s="477"/>
      <c r="C231" s="477"/>
      <c r="D231" s="477"/>
      <c r="E231" s="477"/>
      <c r="F231" s="477"/>
      <c r="G231" s="477"/>
      <c r="H231" s="477"/>
      <c r="I231" s="477"/>
      <c r="J231" s="477"/>
      <c r="K231" s="477"/>
      <c r="L231" s="477"/>
      <c r="M231" s="477"/>
      <c r="N231" s="477"/>
      <c r="O231" s="477"/>
      <c r="P231" s="477"/>
      <c r="Q231" s="477"/>
      <c r="R231" s="477"/>
      <c r="S231" s="477"/>
      <c r="T231" s="477"/>
      <c r="U231" s="477"/>
      <c r="V231" s="477"/>
      <c r="W231" s="477"/>
      <c r="X231" s="477"/>
      <c r="Y231" s="477"/>
      <c r="Z231" s="477"/>
    </row>
    <row r="232" spans="1:26" ht="15" customHeight="1" x14ac:dyDescent="0.35">
      <c r="A232" s="477"/>
      <c r="B232" s="477"/>
      <c r="C232" s="477"/>
      <c r="D232" s="477"/>
      <c r="E232" s="477"/>
      <c r="F232" s="477"/>
      <c r="G232" s="477"/>
      <c r="H232" s="477"/>
      <c r="I232" s="477"/>
      <c r="J232" s="477"/>
      <c r="K232" s="477"/>
      <c r="L232" s="477"/>
      <c r="M232" s="477"/>
      <c r="N232" s="477"/>
      <c r="O232" s="477"/>
      <c r="P232" s="477"/>
      <c r="Q232" s="477"/>
      <c r="R232" s="477"/>
      <c r="S232" s="477"/>
      <c r="T232" s="477"/>
      <c r="U232" s="477"/>
      <c r="V232" s="477"/>
      <c r="W232" s="477"/>
      <c r="X232" s="477"/>
      <c r="Y232" s="477"/>
      <c r="Z232" s="477"/>
    </row>
    <row r="233" spans="1:26" ht="15" customHeight="1" x14ac:dyDescent="0.35">
      <c r="A233" s="477"/>
      <c r="B233" s="477"/>
      <c r="C233" s="477"/>
      <c r="D233" s="477"/>
      <c r="E233" s="477"/>
      <c r="F233" s="477"/>
      <c r="G233" s="477"/>
      <c r="H233" s="477"/>
      <c r="I233" s="477"/>
      <c r="J233" s="477"/>
      <c r="K233" s="477"/>
      <c r="L233" s="477"/>
      <c r="M233" s="477"/>
      <c r="N233" s="477"/>
      <c r="O233" s="477"/>
      <c r="P233" s="477"/>
      <c r="Q233" s="477"/>
      <c r="R233" s="477"/>
      <c r="S233" s="477"/>
      <c r="T233" s="477"/>
      <c r="U233" s="477"/>
      <c r="V233" s="477"/>
      <c r="W233" s="477"/>
      <c r="X233" s="477"/>
      <c r="Y233" s="477"/>
      <c r="Z233" s="477"/>
    </row>
    <row r="234" spans="1:26" ht="15" customHeight="1" x14ac:dyDescent="0.35">
      <c r="A234" s="477"/>
      <c r="B234" s="477"/>
      <c r="C234" s="477"/>
      <c r="D234" s="477"/>
      <c r="E234" s="477"/>
      <c r="F234" s="477"/>
      <c r="G234" s="477"/>
      <c r="H234" s="477"/>
      <c r="I234" s="477"/>
      <c r="J234" s="477"/>
      <c r="K234" s="477"/>
      <c r="L234" s="477"/>
      <c r="M234" s="477"/>
      <c r="N234" s="477"/>
      <c r="O234" s="477"/>
      <c r="P234" s="477"/>
      <c r="Q234" s="477"/>
      <c r="R234" s="477"/>
      <c r="S234" s="477"/>
      <c r="T234" s="477"/>
      <c r="U234" s="477"/>
      <c r="V234" s="477"/>
      <c r="W234" s="477"/>
      <c r="X234" s="477"/>
      <c r="Y234" s="477"/>
      <c r="Z234" s="477"/>
    </row>
    <row r="235" spans="1:26" ht="15" customHeight="1" x14ac:dyDescent="0.35">
      <c r="A235" s="477"/>
      <c r="B235" s="477"/>
      <c r="C235" s="477"/>
      <c r="D235" s="477"/>
      <c r="E235" s="477"/>
      <c r="F235" s="477"/>
      <c r="G235" s="477"/>
      <c r="H235" s="477"/>
      <c r="I235" s="477"/>
      <c r="J235" s="477"/>
      <c r="K235" s="477"/>
      <c r="L235" s="477"/>
      <c r="M235" s="477"/>
      <c r="N235" s="477"/>
      <c r="O235" s="477"/>
      <c r="P235" s="477"/>
      <c r="Q235" s="477"/>
      <c r="R235" s="477"/>
      <c r="S235" s="477"/>
      <c r="T235" s="477"/>
      <c r="U235" s="477"/>
      <c r="V235" s="477"/>
      <c r="W235" s="477"/>
      <c r="X235" s="477"/>
      <c r="Y235" s="477"/>
      <c r="Z235" s="477"/>
    </row>
    <row r="236" spans="1:26" ht="15" customHeight="1" x14ac:dyDescent="0.35">
      <c r="A236" s="477"/>
      <c r="B236" s="477"/>
      <c r="C236" s="477"/>
      <c r="D236" s="477"/>
      <c r="E236" s="477"/>
      <c r="F236" s="477"/>
      <c r="G236" s="477"/>
      <c r="H236" s="477"/>
      <c r="I236" s="477"/>
      <c r="J236" s="477"/>
      <c r="K236" s="477"/>
      <c r="L236" s="477"/>
      <c r="M236" s="477"/>
      <c r="N236" s="477"/>
      <c r="O236" s="477"/>
      <c r="P236" s="477"/>
      <c r="Q236" s="477"/>
      <c r="R236" s="477"/>
      <c r="S236" s="477"/>
      <c r="T236" s="477"/>
      <c r="U236" s="477"/>
      <c r="V236" s="477"/>
      <c r="W236" s="477"/>
      <c r="X236" s="477"/>
      <c r="Y236" s="477"/>
      <c r="Z236" s="477"/>
    </row>
    <row r="237" spans="1:26" ht="15" customHeight="1" x14ac:dyDescent="0.35">
      <c r="A237" s="477"/>
      <c r="B237" s="477"/>
      <c r="C237" s="477"/>
      <c r="D237" s="477"/>
      <c r="E237" s="477"/>
      <c r="F237" s="477"/>
      <c r="G237" s="477"/>
      <c r="H237" s="477"/>
      <c r="I237" s="477"/>
      <c r="J237" s="477"/>
      <c r="K237" s="477"/>
      <c r="L237" s="477"/>
      <c r="M237" s="477"/>
      <c r="N237" s="477"/>
      <c r="O237" s="477"/>
      <c r="P237" s="477"/>
      <c r="Q237" s="477"/>
      <c r="R237" s="477"/>
      <c r="S237" s="477"/>
      <c r="T237" s="477"/>
      <c r="U237" s="477"/>
      <c r="V237" s="477"/>
      <c r="W237" s="477"/>
      <c r="X237" s="477"/>
      <c r="Y237" s="477"/>
      <c r="Z237" s="477"/>
    </row>
    <row r="238" spans="1:26" ht="15" customHeight="1" x14ac:dyDescent="0.35">
      <c r="A238" s="477"/>
      <c r="B238" s="477"/>
      <c r="C238" s="477"/>
      <c r="D238" s="477"/>
      <c r="E238" s="477"/>
      <c r="F238" s="477"/>
      <c r="G238" s="477"/>
      <c r="H238" s="477"/>
      <c r="I238" s="477"/>
      <c r="J238" s="477"/>
      <c r="K238" s="477"/>
      <c r="L238" s="477"/>
      <c r="M238" s="477"/>
      <c r="N238" s="477"/>
      <c r="O238" s="477"/>
      <c r="P238" s="477"/>
      <c r="Q238" s="477"/>
      <c r="R238" s="477"/>
      <c r="S238" s="477"/>
      <c r="T238" s="477"/>
      <c r="U238" s="477"/>
      <c r="V238" s="477"/>
      <c r="W238" s="477"/>
      <c r="X238" s="477"/>
      <c r="Y238" s="477"/>
      <c r="Z238" s="477"/>
    </row>
    <row r="239" spans="1:26" ht="15" customHeight="1" x14ac:dyDescent="0.35">
      <c r="A239" s="477"/>
      <c r="B239" s="477"/>
      <c r="C239" s="477"/>
      <c r="D239" s="477"/>
      <c r="E239" s="477"/>
      <c r="F239" s="477"/>
      <c r="G239" s="477"/>
      <c r="H239" s="477"/>
      <c r="I239" s="477"/>
      <c r="J239" s="477"/>
      <c r="K239" s="477"/>
      <c r="L239" s="477"/>
      <c r="M239" s="477"/>
      <c r="N239" s="477"/>
      <c r="O239" s="477"/>
      <c r="P239" s="477"/>
      <c r="Q239" s="477"/>
      <c r="R239" s="477"/>
      <c r="S239" s="477"/>
      <c r="T239" s="477"/>
      <c r="U239" s="477"/>
      <c r="V239" s="477"/>
      <c r="W239" s="477"/>
      <c r="X239" s="477"/>
      <c r="Y239" s="477"/>
      <c r="Z239" s="477"/>
    </row>
    <row r="240" spans="1:26" ht="15" customHeight="1" x14ac:dyDescent="0.35">
      <c r="A240" s="477"/>
      <c r="B240" s="477"/>
      <c r="C240" s="477"/>
      <c r="D240" s="477"/>
      <c r="E240" s="477"/>
      <c r="F240" s="477"/>
      <c r="G240" s="477"/>
      <c r="H240" s="477"/>
      <c r="I240" s="477"/>
      <c r="J240" s="477"/>
      <c r="K240" s="477"/>
      <c r="L240" s="477"/>
      <c r="M240" s="477"/>
      <c r="N240" s="477"/>
      <c r="O240" s="477"/>
      <c r="P240" s="477"/>
      <c r="Q240" s="477"/>
      <c r="R240" s="477"/>
      <c r="S240" s="477"/>
      <c r="T240" s="477"/>
      <c r="U240" s="477"/>
      <c r="V240" s="477"/>
      <c r="W240" s="477"/>
      <c r="X240" s="477"/>
      <c r="Y240" s="477"/>
      <c r="Z240" s="477"/>
    </row>
    <row r="241" spans="1:26" ht="15" customHeight="1" x14ac:dyDescent="0.35">
      <c r="A241" s="477"/>
      <c r="B241" s="477"/>
      <c r="C241" s="477"/>
      <c r="D241" s="477"/>
      <c r="E241" s="477"/>
      <c r="F241" s="477"/>
      <c r="G241" s="477"/>
      <c r="H241" s="477"/>
      <c r="I241" s="477"/>
      <c r="J241" s="477"/>
      <c r="K241" s="477"/>
      <c r="L241" s="477"/>
      <c r="M241" s="477"/>
      <c r="N241" s="477"/>
      <c r="O241" s="477"/>
      <c r="P241" s="477"/>
      <c r="Q241" s="477"/>
      <c r="R241" s="477"/>
      <c r="S241" s="477"/>
      <c r="T241" s="477"/>
      <c r="U241" s="477"/>
      <c r="V241" s="477"/>
      <c r="W241" s="477"/>
      <c r="X241" s="477"/>
      <c r="Y241" s="477"/>
      <c r="Z241" s="477"/>
    </row>
    <row r="242" spans="1:26" ht="15" customHeight="1" x14ac:dyDescent="0.35">
      <c r="A242" s="477"/>
      <c r="B242" s="477"/>
      <c r="C242" s="477"/>
      <c r="D242" s="477"/>
      <c r="E242" s="477"/>
      <c r="F242" s="477"/>
      <c r="G242" s="477"/>
      <c r="H242" s="477"/>
      <c r="I242" s="477"/>
      <c r="J242" s="477"/>
      <c r="K242" s="477"/>
      <c r="L242" s="477"/>
      <c r="M242" s="477"/>
      <c r="N242" s="477"/>
      <c r="O242" s="477"/>
      <c r="P242" s="477"/>
      <c r="Q242" s="477"/>
      <c r="R242" s="477"/>
      <c r="S242" s="477"/>
      <c r="T242" s="477"/>
      <c r="U242" s="477"/>
      <c r="V242" s="477"/>
      <c r="W242" s="477"/>
      <c r="X242" s="477"/>
      <c r="Y242" s="477"/>
      <c r="Z242" s="477"/>
    </row>
    <row r="243" spans="1:26" ht="15" customHeight="1" x14ac:dyDescent="0.35">
      <c r="A243" s="477"/>
      <c r="B243" s="477"/>
      <c r="C243" s="477"/>
      <c r="D243" s="477"/>
      <c r="E243" s="477"/>
      <c r="F243" s="477"/>
      <c r="G243" s="477"/>
      <c r="H243" s="477"/>
      <c r="I243" s="477"/>
      <c r="J243" s="477"/>
      <c r="K243" s="477"/>
      <c r="L243" s="477"/>
      <c r="M243" s="477"/>
      <c r="N243" s="477"/>
      <c r="O243" s="477"/>
      <c r="P243" s="477"/>
      <c r="Q243" s="477"/>
      <c r="R243" s="477"/>
      <c r="S243" s="477"/>
      <c r="T243" s="477"/>
      <c r="U243" s="477"/>
      <c r="V243" s="477"/>
      <c r="W243" s="477"/>
      <c r="X243" s="477"/>
      <c r="Y243" s="477"/>
      <c r="Z243" s="477"/>
    </row>
    <row r="244" spans="1:26" ht="15" customHeight="1" x14ac:dyDescent="0.35">
      <c r="A244" s="477"/>
      <c r="B244" s="477"/>
      <c r="C244" s="477"/>
      <c r="D244" s="477"/>
      <c r="E244" s="477"/>
      <c r="F244" s="477"/>
      <c r="G244" s="477"/>
      <c r="H244" s="477"/>
      <c r="I244" s="477"/>
      <c r="J244" s="477"/>
      <c r="K244" s="477"/>
      <c r="L244" s="477"/>
      <c r="M244" s="477"/>
      <c r="N244" s="477"/>
      <c r="O244" s="477"/>
      <c r="P244" s="477"/>
      <c r="Q244" s="477"/>
      <c r="R244" s="477"/>
      <c r="S244" s="477"/>
      <c r="T244" s="477"/>
      <c r="U244" s="477"/>
      <c r="V244" s="477"/>
      <c r="W244" s="477"/>
      <c r="X244" s="477"/>
      <c r="Y244" s="477"/>
      <c r="Z244" s="477"/>
    </row>
    <row r="245" spans="1:26" ht="15" customHeight="1" x14ac:dyDescent="0.35">
      <c r="A245" s="477"/>
      <c r="B245" s="477"/>
      <c r="C245" s="477"/>
      <c r="D245" s="477"/>
      <c r="E245" s="477"/>
      <c r="F245" s="477"/>
      <c r="G245" s="477"/>
      <c r="H245" s="477"/>
      <c r="I245" s="477"/>
      <c r="J245" s="477"/>
      <c r="K245" s="477"/>
      <c r="L245" s="477"/>
      <c r="M245" s="477"/>
      <c r="N245" s="477"/>
      <c r="O245" s="477"/>
      <c r="P245" s="477"/>
      <c r="Q245" s="477"/>
      <c r="R245" s="477"/>
      <c r="S245" s="477"/>
      <c r="T245" s="477"/>
      <c r="U245" s="477"/>
      <c r="V245" s="477"/>
      <c r="W245" s="477"/>
      <c r="X245" s="477"/>
      <c r="Y245" s="477"/>
      <c r="Z245" s="477"/>
    </row>
    <row r="246" spans="1:26" ht="15" customHeight="1" x14ac:dyDescent="0.35">
      <c r="A246" s="477"/>
      <c r="B246" s="477"/>
      <c r="C246" s="477"/>
      <c r="D246" s="477"/>
      <c r="E246" s="477"/>
      <c r="F246" s="477"/>
      <c r="G246" s="477"/>
      <c r="H246" s="477"/>
      <c r="I246" s="477"/>
      <c r="J246" s="477"/>
      <c r="K246" s="477"/>
      <c r="L246" s="477"/>
      <c r="M246" s="477"/>
      <c r="N246" s="477"/>
      <c r="O246" s="477"/>
      <c r="P246" s="477"/>
      <c r="Q246" s="477"/>
      <c r="R246" s="477"/>
      <c r="S246" s="477"/>
      <c r="T246" s="477"/>
      <c r="U246" s="477"/>
      <c r="V246" s="477"/>
      <c r="W246" s="477"/>
      <c r="X246" s="477"/>
      <c r="Y246" s="477"/>
      <c r="Z246" s="477"/>
    </row>
    <row r="247" spans="1:26" ht="15" customHeight="1" x14ac:dyDescent="0.35">
      <c r="A247" s="477"/>
      <c r="B247" s="477"/>
      <c r="C247" s="477"/>
      <c r="D247" s="477"/>
      <c r="E247" s="477"/>
      <c r="F247" s="477"/>
      <c r="G247" s="477"/>
      <c r="H247" s="477"/>
      <c r="I247" s="477"/>
      <c r="J247" s="477"/>
      <c r="K247" s="477"/>
      <c r="L247" s="477"/>
      <c r="M247" s="477"/>
      <c r="N247" s="477"/>
      <c r="O247" s="477"/>
      <c r="P247" s="477"/>
      <c r="Q247" s="477"/>
      <c r="R247" s="477"/>
      <c r="S247" s="477"/>
      <c r="T247" s="477"/>
      <c r="U247" s="477"/>
      <c r="V247" s="477"/>
      <c r="W247" s="477"/>
      <c r="X247" s="477"/>
      <c r="Y247" s="477"/>
      <c r="Z247" s="477"/>
    </row>
    <row r="248" spans="1:26" ht="15" customHeight="1" x14ac:dyDescent="0.35">
      <c r="A248" s="477"/>
      <c r="B248" s="477"/>
      <c r="C248" s="477"/>
      <c r="D248" s="477"/>
      <c r="E248" s="477"/>
      <c r="F248" s="477"/>
      <c r="G248" s="477"/>
      <c r="H248" s="477"/>
      <c r="I248" s="477"/>
      <c r="J248" s="477"/>
      <c r="K248" s="477"/>
      <c r="L248" s="477"/>
      <c r="M248" s="477"/>
      <c r="N248" s="477"/>
      <c r="O248" s="477"/>
      <c r="P248" s="477"/>
      <c r="Q248" s="477"/>
      <c r="R248" s="477"/>
      <c r="S248" s="477"/>
      <c r="T248" s="477"/>
      <c r="U248" s="477"/>
      <c r="V248" s="477"/>
      <c r="W248" s="477"/>
      <c r="X248" s="477"/>
      <c r="Y248" s="477"/>
      <c r="Z248" s="477"/>
    </row>
    <row r="249" spans="1:26" ht="15" customHeight="1" x14ac:dyDescent="0.35">
      <c r="A249" s="477"/>
      <c r="B249" s="477"/>
      <c r="C249" s="477"/>
      <c r="D249" s="477"/>
      <c r="E249" s="477"/>
      <c r="F249" s="477"/>
      <c r="G249" s="477"/>
      <c r="H249" s="477"/>
      <c r="I249" s="477"/>
      <c r="J249" s="477"/>
      <c r="K249" s="477"/>
      <c r="L249" s="477"/>
      <c r="M249" s="477"/>
      <c r="N249" s="477"/>
      <c r="O249" s="477"/>
      <c r="P249" s="477"/>
      <c r="Q249" s="477"/>
      <c r="R249" s="477"/>
      <c r="S249" s="477"/>
      <c r="T249" s="477"/>
      <c r="U249" s="477"/>
      <c r="V249" s="477"/>
      <c r="W249" s="477"/>
      <c r="X249" s="477"/>
      <c r="Y249" s="477"/>
      <c r="Z249" s="477"/>
    </row>
    <row r="250" spans="1:26" ht="15" customHeight="1" x14ac:dyDescent="0.35">
      <c r="A250" s="477"/>
      <c r="B250" s="477"/>
      <c r="C250" s="477"/>
      <c r="D250" s="477"/>
      <c r="E250" s="477"/>
      <c r="F250" s="477"/>
      <c r="G250" s="477"/>
      <c r="H250" s="477"/>
      <c r="I250" s="477"/>
      <c r="J250" s="477"/>
      <c r="K250" s="477"/>
      <c r="L250" s="477"/>
      <c r="M250" s="477"/>
      <c r="N250" s="477"/>
      <c r="O250" s="477"/>
      <c r="P250" s="477"/>
      <c r="Q250" s="477"/>
      <c r="R250" s="477"/>
      <c r="S250" s="477"/>
      <c r="T250" s="477"/>
      <c r="U250" s="477"/>
      <c r="V250" s="477"/>
      <c r="W250" s="477"/>
      <c r="X250" s="477"/>
      <c r="Y250" s="477"/>
      <c r="Z250" s="477"/>
    </row>
    <row r="251" spans="1:26" ht="15" customHeight="1" x14ac:dyDescent="0.35">
      <c r="A251" s="477"/>
      <c r="B251" s="477"/>
      <c r="C251" s="477"/>
      <c r="D251" s="477"/>
      <c r="E251" s="477"/>
      <c r="F251" s="477"/>
      <c r="G251" s="477"/>
      <c r="H251" s="477"/>
      <c r="I251" s="477"/>
      <c r="J251" s="477"/>
      <c r="K251" s="477"/>
      <c r="L251" s="477"/>
      <c r="M251" s="477"/>
      <c r="N251" s="477"/>
      <c r="O251" s="477"/>
      <c r="P251" s="477"/>
      <c r="Q251" s="477"/>
      <c r="R251" s="477"/>
      <c r="S251" s="477"/>
      <c r="T251" s="477"/>
      <c r="U251" s="477"/>
      <c r="V251" s="477"/>
      <c r="W251" s="477"/>
      <c r="X251" s="477"/>
      <c r="Y251" s="477"/>
      <c r="Z251" s="477"/>
    </row>
    <row r="252" spans="1:26" ht="15" customHeight="1" x14ac:dyDescent="0.35">
      <c r="A252" s="477"/>
      <c r="B252" s="477"/>
      <c r="C252" s="477"/>
      <c r="D252" s="477"/>
      <c r="E252" s="477"/>
      <c r="F252" s="477"/>
      <c r="G252" s="477"/>
      <c r="H252" s="477"/>
      <c r="I252" s="477"/>
      <c r="J252" s="477"/>
      <c r="K252" s="477"/>
      <c r="L252" s="477"/>
      <c r="M252" s="477"/>
      <c r="N252" s="477"/>
      <c r="O252" s="477"/>
      <c r="P252" s="477"/>
      <c r="Q252" s="477"/>
      <c r="R252" s="477"/>
      <c r="S252" s="477"/>
      <c r="T252" s="477"/>
      <c r="U252" s="477"/>
      <c r="V252" s="477"/>
      <c r="W252" s="477"/>
      <c r="X252" s="477"/>
      <c r="Y252" s="477"/>
      <c r="Z252" s="477"/>
    </row>
    <row r="253" spans="1:26" ht="15" customHeight="1" x14ac:dyDescent="0.35">
      <c r="A253" s="477"/>
      <c r="B253" s="477"/>
      <c r="C253" s="477"/>
      <c r="D253" s="477"/>
      <c r="E253" s="477"/>
      <c r="F253" s="477"/>
      <c r="G253" s="477"/>
      <c r="H253" s="477"/>
      <c r="I253" s="477"/>
      <c r="J253" s="477"/>
      <c r="K253" s="477"/>
      <c r="L253" s="477"/>
      <c r="M253" s="477"/>
      <c r="N253" s="477"/>
      <c r="O253" s="477"/>
      <c r="P253" s="477"/>
      <c r="Q253" s="477"/>
      <c r="R253" s="477"/>
      <c r="S253" s="477"/>
      <c r="T253" s="477"/>
      <c r="U253" s="477"/>
      <c r="V253" s="477"/>
      <c r="W253" s="477"/>
      <c r="X253" s="477"/>
      <c r="Y253" s="477"/>
      <c r="Z253" s="477"/>
    </row>
    <row r="254" spans="1:26" ht="15" customHeight="1" x14ac:dyDescent="0.35">
      <c r="A254" s="477"/>
      <c r="B254" s="477"/>
      <c r="C254" s="477"/>
      <c r="D254" s="477"/>
      <c r="E254" s="477"/>
      <c r="F254" s="477"/>
      <c r="G254" s="477"/>
      <c r="H254" s="477"/>
      <c r="I254" s="477"/>
      <c r="J254" s="477"/>
      <c r="K254" s="477"/>
      <c r="L254" s="477"/>
      <c r="M254" s="477"/>
      <c r="N254" s="477"/>
      <c r="O254" s="477"/>
      <c r="P254" s="477"/>
      <c r="Q254" s="477"/>
      <c r="R254" s="477"/>
      <c r="S254" s="477"/>
      <c r="T254" s="477"/>
      <c r="U254" s="477"/>
      <c r="V254" s="477"/>
      <c r="W254" s="477"/>
      <c r="X254" s="477"/>
      <c r="Y254" s="477"/>
      <c r="Z254" s="477"/>
    </row>
    <row r="255" spans="1:26" ht="15" customHeight="1" x14ac:dyDescent="0.35">
      <c r="A255" s="477"/>
      <c r="B255" s="477"/>
      <c r="C255" s="477"/>
      <c r="D255" s="477"/>
      <c r="E255" s="477"/>
      <c r="F255" s="477"/>
      <c r="G255" s="477"/>
      <c r="H255" s="477"/>
      <c r="I255" s="477"/>
      <c r="J255" s="477"/>
      <c r="K255" s="477"/>
      <c r="L255" s="477"/>
      <c r="M255" s="477"/>
      <c r="N255" s="477"/>
      <c r="O255" s="477"/>
      <c r="P255" s="477"/>
      <c r="Q255" s="477"/>
      <c r="R255" s="477"/>
      <c r="S255" s="477"/>
      <c r="T255" s="477"/>
      <c r="U255" s="477"/>
      <c r="V255" s="477"/>
      <c r="W255" s="477"/>
      <c r="X255" s="477"/>
      <c r="Y255" s="477"/>
      <c r="Z255" s="477"/>
    </row>
    <row r="256" spans="1:26" ht="15" customHeight="1" x14ac:dyDescent="0.35">
      <c r="A256" s="477"/>
      <c r="B256" s="477"/>
      <c r="C256" s="477"/>
      <c r="D256" s="477"/>
      <c r="E256" s="477"/>
      <c r="F256" s="477"/>
      <c r="G256" s="477"/>
      <c r="H256" s="477"/>
      <c r="I256" s="477"/>
      <c r="J256" s="477"/>
      <c r="K256" s="477"/>
      <c r="L256" s="477"/>
      <c r="M256" s="477"/>
      <c r="N256" s="477"/>
      <c r="O256" s="477"/>
      <c r="P256" s="477"/>
      <c r="Q256" s="477"/>
      <c r="R256" s="477"/>
      <c r="S256" s="477"/>
      <c r="T256" s="477"/>
      <c r="U256" s="477"/>
      <c r="V256" s="477"/>
      <c r="W256" s="477"/>
      <c r="X256" s="477"/>
      <c r="Y256" s="477"/>
      <c r="Z256" s="477"/>
    </row>
    <row r="257" spans="1:26" ht="15" customHeight="1" x14ac:dyDescent="0.35">
      <c r="A257" s="477"/>
      <c r="B257" s="477"/>
      <c r="C257" s="477"/>
      <c r="D257" s="477"/>
      <c r="E257" s="477"/>
      <c r="F257" s="477"/>
      <c r="G257" s="477"/>
      <c r="H257" s="477"/>
      <c r="I257" s="477"/>
      <c r="J257" s="477"/>
      <c r="K257" s="477"/>
      <c r="L257" s="477"/>
      <c r="M257" s="477"/>
      <c r="N257" s="477"/>
      <c r="O257" s="477"/>
      <c r="P257" s="477"/>
      <c r="Q257" s="477"/>
      <c r="R257" s="477"/>
      <c r="S257" s="477"/>
      <c r="T257" s="477"/>
      <c r="U257" s="477"/>
      <c r="V257" s="477"/>
      <c r="W257" s="477"/>
      <c r="X257" s="477"/>
      <c r="Y257" s="477"/>
      <c r="Z257" s="477"/>
    </row>
    <row r="258" spans="1:26" ht="15" customHeight="1" x14ac:dyDescent="0.35">
      <c r="A258" s="477"/>
      <c r="B258" s="477"/>
      <c r="C258" s="477"/>
      <c r="D258" s="477"/>
      <c r="E258" s="477"/>
      <c r="F258" s="477"/>
      <c r="G258" s="477"/>
      <c r="H258" s="477"/>
      <c r="I258" s="477"/>
      <c r="J258" s="477"/>
      <c r="K258" s="477"/>
      <c r="L258" s="477"/>
      <c r="M258" s="477"/>
      <c r="N258" s="477"/>
      <c r="O258" s="477"/>
      <c r="P258" s="477"/>
      <c r="Q258" s="477"/>
      <c r="R258" s="477"/>
      <c r="S258" s="477"/>
      <c r="T258" s="477"/>
      <c r="U258" s="477"/>
      <c r="V258" s="477"/>
      <c r="W258" s="477"/>
      <c r="X258" s="477"/>
      <c r="Y258" s="477"/>
      <c r="Z258" s="477"/>
    </row>
    <row r="259" spans="1:26" ht="15" customHeight="1" x14ac:dyDescent="0.35">
      <c r="A259" s="477"/>
      <c r="B259" s="477"/>
      <c r="C259" s="477"/>
      <c r="D259" s="477"/>
      <c r="E259" s="477"/>
      <c r="F259" s="477"/>
      <c r="G259" s="477"/>
      <c r="H259" s="477"/>
      <c r="I259" s="477"/>
      <c r="J259" s="477"/>
      <c r="K259" s="477"/>
      <c r="L259" s="477"/>
      <c r="M259" s="477"/>
      <c r="N259" s="477"/>
      <c r="O259" s="477"/>
      <c r="P259" s="477"/>
      <c r="Q259" s="477"/>
      <c r="R259" s="477"/>
      <c r="S259" s="477"/>
      <c r="T259" s="477"/>
      <c r="U259" s="477"/>
      <c r="V259" s="477"/>
      <c r="W259" s="477"/>
      <c r="X259" s="477"/>
      <c r="Y259" s="477"/>
      <c r="Z259" s="477"/>
    </row>
    <row r="260" spans="1:26" ht="15" customHeight="1" x14ac:dyDescent="0.35">
      <c r="A260" s="477"/>
      <c r="B260" s="477"/>
      <c r="C260" s="477"/>
      <c r="D260" s="477"/>
      <c r="E260" s="477"/>
      <c r="F260" s="477"/>
      <c r="G260" s="477"/>
      <c r="H260" s="477"/>
      <c r="I260" s="477"/>
      <c r="J260" s="477"/>
      <c r="K260" s="477"/>
      <c r="L260" s="477"/>
      <c r="M260" s="477"/>
      <c r="N260" s="477"/>
      <c r="O260" s="477"/>
      <c r="P260" s="477"/>
      <c r="Q260" s="477"/>
      <c r="R260" s="477"/>
      <c r="S260" s="477"/>
      <c r="T260" s="477"/>
      <c r="U260" s="477"/>
      <c r="V260" s="477"/>
      <c r="W260" s="477"/>
      <c r="X260" s="477"/>
      <c r="Y260" s="477"/>
      <c r="Z260" s="477"/>
    </row>
    <row r="261" spans="1:26" ht="15" customHeight="1" x14ac:dyDescent="0.35">
      <c r="A261" s="477"/>
      <c r="B261" s="477"/>
      <c r="C261" s="477"/>
      <c r="D261" s="477"/>
      <c r="E261" s="477"/>
      <c r="F261" s="477"/>
      <c r="G261" s="477"/>
      <c r="H261" s="477"/>
      <c r="I261" s="477"/>
      <c r="J261" s="477"/>
      <c r="K261" s="477"/>
      <c r="L261" s="477"/>
      <c r="M261" s="477"/>
      <c r="N261" s="477"/>
      <c r="O261" s="477"/>
      <c r="P261" s="477"/>
      <c r="Q261" s="477"/>
      <c r="R261" s="477"/>
      <c r="S261" s="477"/>
      <c r="T261" s="477"/>
      <c r="U261" s="477"/>
      <c r="V261" s="477"/>
      <c r="W261" s="477"/>
      <c r="X261" s="477"/>
      <c r="Y261" s="477"/>
      <c r="Z261" s="477"/>
    </row>
    <row r="262" spans="1:26" ht="15" customHeight="1" x14ac:dyDescent="0.35">
      <c r="A262" s="477"/>
      <c r="B262" s="477"/>
      <c r="C262" s="477"/>
      <c r="D262" s="477"/>
      <c r="E262" s="477"/>
      <c r="F262" s="477"/>
      <c r="G262" s="477"/>
      <c r="H262" s="477"/>
      <c r="I262" s="477"/>
      <c r="J262" s="477"/>
      <c r="K262" s="477"/>
      <c r="L262" s="477"/>
      <c r="M262" s="477"/>
      <c r="N262" s="477"/>
      <c r="O262" s="477"/>
      <c r="P262" s="477"/>
      <c r="Q262" s="477"/>
      <c r="R262" s="477"/>
      <c r="S262" s="477"/>
      <c r="T262" s="477"/>
      <c r="U262" s="477"/>
      <c r="V262" s="477"/>
      <c r="W262" s="477"/>
      <c r="X262" s="477"/>
      <c r="Y262" s="477"/>
      <c r="Z262" s="477"/>
    </row>
    <row r="263" spans="1:26" ht="15" customHeight="1" x14ac:dyDescent="0.35">
      <c r="A263" s="477"/>
      <c r="B263" s="477"/>
      <c r="C263" s="477"/>
      <c r="D263" s="477"/>
      <c r="E263" s="477"/>
      <c r="F263" s="477"/>
      <c r="G263" s="477"/>
      <c r="H263" s="477"/>
      <c r="I263" s="477"/>
      <c r="J263" s="477"/>
      <c r="K263" s="477"/>
      <c r="L263" s="477"/>
      <c r="M263" s="477"/>
      <c r="N263" s="477"/>
      <c r="O263" s="477"/>
      <c r="P263" s="477"/>
      <c r="Q263" s="477"/>
      <c r="R263" s="477"/>
      <c r="S263" s="477"/>
      <c r="T263" s="477"/>
      <c r="U263" s="477"/>
      <c r="V263" s="477"/>
      <c r="W263" s="477"/>
      <c r="X263" s="477"/>
      <c r="Y263" s="477"/>
      <c r="Z263" s="477"/>
    </row>
    <row r="264" spans="1:26" ht="15" customHeight="1" x14ac:dyDescent="0.35">
      <c r="A264" s="477"/>
      <c r="B264" s="477"/>
      <c r="C264" s="477"/>
      <c r="D264" s="477"/>
      <c r="E264" s="477"/>
      <c r="F264" s="477"/>
      <c r="G264" s="477"/>
      <c r="H264" s="477"/>
      <c r="I264" s="477"/>
      <c r="J264" s="477"/>
      <c r="K264" s="477"/>
      <c r="L264" s="477"/>
      <c r="M264" s="477"/>
      <c r="N264" s="477"/>
      <c r="O264" s="477"/>
      <c r="P264" s="477"/>
      <c r="Q264" s="477"/>
      <c r="R264" s="477"/>
      <c r="S264" s="477"/>
      <c r="T264" s="477"/>
      <c r="U264" s="477"/>
      <c r="V264" s="477"/>
      <c r="W264" s="477"/>
      <c r="X264" s="477"/>
      <c r="Y264" s="477"/>
      <c r="Z264" s="477"/>
    </row>
    <row r="265" spans="1:26" ht="15" customHeight="1" x14ac:dyDescent="0.35">
      <c r="A265" s="477"/>
      <c r="B265" s="477"/>
      <c r="C265" s="477"/>
      <c r="D265" s="477"/>
      <c r="E265" s="477"/>
      <c r="F265" s="477"/>
      <c r="G265" s="477"/>
      <c r="H265" s="477"/>
      <c r="I265" s="477"/>
      <c r="J265" s="477"/>
      <c r="K265" s="477"/>
      <c r="L265" s="477"/>
      <c r="M265" s="477"/>
      <c r="N265" s="477"/>
      <c r="O265" s="477"/>
      <c r="P265" s="477"/>
      <c r="Q265" s="477"/>
      <c r="R265" s="477"/>
      <c r="S265" s="477"/>
      <c r="T265" s="477"/>
      <c r="U265" s="477"/>
      <c r="V265" s="477"/>
      <c r="W265" s="477"/>
      <c r="X265" s="477"/>
      <c r="Y265" s="477"/>
      <c r="Z265" s="477"/>
    </row>
    <row r="266" spans="1:26" ht="15" customHeight="1" x14ac:dyDescent="0.35">
      <c r="A266" s="477"/>
      <c r="B266" s="477"/>
      <c r="C266" s="477"/>
      <c r="D266" s="477"/>
      <c r="E266" s="477"/>
      <c r="F266" s="477"/>
      <c r="G266" s="477"/>
      <c r="H266" s="477"/>
      <c r="I266" s="477"/>
      <c r="J266" s="477"/>
      <c r="K266" s="477"/>
      <c r="L266" s="477"/>
      <c r="M266" s="477"/>
      <c r="N266" s="477"/>
      <c r="O266" s="477"/>
      <c r="P266" s="477"/>
      <c r="Q266" s="477"/>
      <c r="R266" s="477"/>
      <c r="S266" s="477"/>
      <c r="T266" s="477"/>
      <c r="U266" s="477"/>
      <c r="V266" s="477"/>
      <c r="W266" s="477"/>
      <c r="X266" s="477"/>
      <c r="Y266" s="477"/>
      <c r="Z266" s="477"/>
    </row>
    <row r="267" spans="1:26" ht="15" customHeight="1" x14ac:dyDescent="0.35">
      <c r="A267" s="477"/>
      <c r="B267" s="477"/>
      <c r="C267" s="477"/>
      <c r="D267" s="477"/>
      <c r="E267" s="477"/>
      <c r="F267" s="477"/>
      <c r="G267" s="477"/>
      <c r="H267" s="477"/>
      <c r="I267" s="477"/>
      <c r="J267" s="477"/>
      <c r="K267" s="477"/>
      <c r="L267" s="477"/>
      <c r="M267" s="477"/>
      <c r="N267" s="477"/>
      <c r="O267" s="477"/>
      <c r="P267" s="477"/>
      <c r="Q267" s="477"/>
      <c r="R267" s="477"/>
      <c r="S267" s="477"/>
      <c r="T267" s="477"/>
      <c r="U267" s="477"/>
      <c r="V267" s="477"/>
      <c r="W267" s="477"/>
      <c r="X267" s="477"/>
      <c r="Y267" s="477"/>
      <c r="Z267" s="477"/>
    </row>
    <row r="268" spans="1:26" ht="15" customHeight="1" x14ac:dyDescent="0.35">
      <c r="A268" s="477"/>
      <c r="B268" s="477"/>
      <c r="C268" s="477"/>
      <c r="D268" s="477"/>
      <c r="E268" s="477"/>
      <c r="F268" s="477"/>
      <c r="G268" s="477"/>
      <c r="H268" s="477"/>
      <c r="I268" s="477"/>
      <c r="J268" s="477"/>
      <c r="K268" s="477"/>
      <c r="L268" s="477"/>
      <c r="M268" s="477"/>
      <c r="N268" s="477"/>
      <c r="O268" s="477"/>
      <c r="P268" s="477"/>
      <c r="Q268" s="477"/>
      <c r="R268" s="477"/>
      <c r="S268" s="477"/>
      <c r="T268" s="477"/>
      <c r="U268" s="477"/>
      <c r="V268" s="477"/>
      <c r="W268" s="477"/>
      <c r="X268" s="477"/>
      <c r="Y268" s="477"/>
      <c r="Z268" s="477"/>
    </row>
    <row r="269" spans="1:26" ht="15" customHeight="1" x14ac:dyDescent="0.35">
      <c r="A269" s="477"/>
      <c r="B269" s="477"/>
      <c r="C269" s="477"/>
      <c r="D269" s="477"/>
      <c r="E269" s="477"/>
      <c r="F269" s="477"/>
      <c r="G269" s="477"/>
      <c r="H269" s="477"/>
      <c r="I269" s="477"/>
      <c r="J269" s="477"/>
      <c r="K269" s="477"/>
      <c r="L269" s="477"/>
      <c r="M269" s="477"/>
      <c r="N269" s="477"/>
      <c r="O269" s="477"/>
      <c r="P269" s="477"/>
      <c r="Q269" s="477"/>
      <c r="R269" s="477"/>
      <c r="S269" s="477"/>
      <c r="T269" s="477"/>
      <c r="U269" s="477"/>
      <c r="V269" s="477"/>
      <c r="W269" s="477"/>
      <c r="X269" s="477"/>
      <c r="Y269" s="477"/>
      <c r="Z269" s="477"/>
    </row>
    <row r="270" spans="1:26" ht="15" customHeight="1" x14ac:dyDescent="0.35">
      <c r="A270" s="477"/>
      <c r="B270" s="477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</row>
    <row r="271" spans="1:26" ht="15" customHeight="1" x14ac:dyDescent="0.35">
      <c r="A271" s="477"/>
      <c r="B271" s="477"/>
      <c r="C271" s="477"/>
      <c r="D271" s="477"/>
      <c r="E271" s="477"/>
      <c r="F271" s="477"/>
      <c r="G271" s="477"/>
      <c r="H271" s="477"/>
      <c r="I271" s="477"/>
      <c r="J271" s="477"/>
      <c r="K271" s="477"/>
      <c r="L271" s="477"/>
      <c r="M271" s="477"/>
      <c r="N271" s="477"/>
      <c r="O271" s="477"/>
      <c r="P271" s="477"/>
      <c r="Q271" s="477"/>
      <c r="R271" s="477"/>
      <c r="S271" s="477"/>
      <c r="T271" s="477"/>
      <c r="U271" s="477"/>
      <c r="V271" s="477"/>
      <c r="W271" s="477"/>
      <c r="X271" s="477"/>
      <c r="Y271" s="477"/>
      <c r="Z271" s="477"/>
    </row>
    <row r="272" spans="1:26" ht="15" customHeight="1" x14ac:dyDescent="0.35">
      <c r="A272" s="477"/>
      <c r="B272" s="477"/>
      <c r="C272" s="477"/>
      <c r="D272" s="477"/>
      <c r="E272" s="477"/>
      <c r="F272" s="477"/>
      <c r="G272" s="477"/>
      <c r="H272" s="477"/>
      <c r="I272" s="477"/>
      <c r="J272" s="477"/>
      <c r="K272" s="477"/>
      <c r="L272" s="477"/>
      <c r="M272" s="477"/>
      <c r="N272" s="477"/>
      <c r="O272" s="477"/>
      <c r="P272" s="477"/>
      <c r="Q272" s="477"/>
      <c r="R272" s="477"/>
      <c r="S272" s="477"/>
      <c r="T272" s="477"/>
      <c r="U272" s="477"/>
      <c r="V272" s="477"/>
      <c r="W272" s="477"/>
      <c r="X272" s="477"/>
      <c r="Y272" s="477"/>
      <c r="Z272" s="477"/>
    </row>
    <row r="273" spans="1:26" ht="15" customHeight="1" x14ac:dyDescent="0.35">
      <c r="A273" s="477"/>
      <c r="B273" s="477"/>
      <c r="C273" s="477"/>
      <c r="D273" s="477"/>
      <c r="E273" s="477"/>
      <c r="F273" s="477"/>
      <c r="G273" s="477"/>
      <c r="H273" s="477"/>
      <c r="I273" s="477"/>
      <c r="J273" s="477"/>
      <c r="K273" s="477"/>
      <c r="L273" s="477"/>
      <c r="M273" s="477"/>
      <c r="N273" s="477"/>
      <c r="O273" s="477"/>
      <c r="P273" s="477"/>
      <c r="Q273" s="477"/>
      <c r="R273" s="477"/>
      <c r="S273" s="477"/>
      <c r="T273" s="477"/>
      <c r="U273" s="477"/>
      <c r="V273" s="477"/>
      <c r="W273" s="477"/>
      <c r="X273" s="477"/>
      <c r="Y273" s="477"/>
      <c r="Z273" s="477"/>
    </row>
    <row r="274" spans="1:26" ht="15" customHeight="1" x14ac:dyDescent="0.35">
      <c r="A274" s="477"/>
      <c r="B274" s="477"/>
      <c r="C274" s="477"/>
      <c r="D274" s="477"/>
      <c r="E274" s="477"/>
      <c r="F274" s="477"/>
      <c r="G274" s="477"/>
      <c r="H274" s="477"/>
      <c r="I274" s="477"/>
      <c r="J274" s="477"/>
      <c r="K274" s="477"/>
      <c r="L274" s="477"/>
      <c r="M274" s="477"/>
      <c r="N274" s="477"/>
      <c r="O274" s="477"/>
      <c r="P274" s="477"/>
      <c r="Q274" s="477"/>
      <c r="R274" s="477"/>
      <c r="S274" s="477"/>
      <c r="T274" s="477"/>
      <c r="U274" s="477"/>
      <c r="V274" s="477"/>
      <c r="W274" s="477"/>
      <c r="X274" s="477"/>
      <c r="Y274" s="477"/>
      <c r="Z274" s="477"/>
    </row>
    <row r="275" spans="1:26" ht="15" customHeight="1" x14ac:dyDescent="0.35">
      <c r="A275" s="477"/>
      <c r="B275" s="477"/>
      <c r="C275" s="477"/>
      <c r="D275" s="477"/>
      <c r="E275" s="477"/>
      <c r="F275" s="477"/>
      <c r="G275" s="477"/>
      <c r="H275" s="477"/>
      <c r="I275" s="477"/>
      <c r="J275" s="477"/>
      <c r="K275" s="477"/>
      <c r="L275" s="477"/>
      <c r="M275" s="477"/>
      <c r="N275" s="477"/>
      <c r="O275" s="477"/>
      <c r="P275" s="477"/>
      <c r="Q275" s="477"/>
      <c r="R275" s="477"/>
      <c r="S275" s="477"/>
      <c r="T275" s="477"/>
      <c r="U275" s="477"/>
      <c r="V275" s="477"/>
      <c r="W275" s="477"/>
      <c r="X275" s="477"/>
      <c r="Y275" s="477"/>
      <c r="Z275" s="477"/>
    </row>
    <row r="276" spans="1:26" ht="15" customHeight="1" x14ac:dyDescent="0.35">
      <c r="A276" s="477"/>
      <c r="B276" s="477"/>
      <c r="C276" s="477"/>
      <c r="D276" s="477"/>
      <c r="E276" s="477"/>
      <c r="F276" s="477"/>
      <c r="G276" s="477"/>
      <c r="H276" s="477"/>
      <c r="I276" s="477"/>
      <c r="J276" s="477"/>
      <c r="K276" s="477"/>
      <c r="L276" s="477"/>
      <c r="M276" s="477"/>
      <c r="N276" s="477"/>
      <c r="O276" s="477"/>
      <c r="P276" s="477"/>
      <c r="Q276" s="477"/>
      <c r="R276" s="477"/>
      <c r="S276" s="477"/>
      <c r="T276" s="477"/>
      <c r="U276" s="477"/>
      <c r="V276" s="477"/>
      <c r="W276" s="477"/>
      <c r="X276" s="477"/>
      <c r="Y276" s="477"/>
      <c r="Z276" s="477"/>
    </row>
    <row r="277" spans="1:26" ht="15" customHeight="1" x14ac:dyDescent="0.35">
      <c r="A277" s="477"/>
      <c r="B277" s="477"/>
      <c r="C277" s="477"/>
      <c r="D277" s="477"/>
      <c r="E277" s="477"/>
      <c r="F277" s="477"/>
      <c r="G277" s="477"/>
      <c r="H277" s="477"/>
      <c r="I277" s="477"/>
      <c r="J277" s="477"/>
      <c r="K277" s="477"/>
      <c r="L277" s="477"/>
      <c r="M277" s="477"/>
      <c r="N277" s="477"/>
      <c r="O277" s="477"/>
      <c r="P277" s="477"/>
      <c r="Q277" s="477"/>
      <c r="R277" s="477"/>
      <c r="S277" s="477"/>
      <c r="T277" s="477"/>
      <c r="U277" s="477"/>
      <c r="V277" s="477"/>
      <c r="W277" s="477"/>
      <c r="X277" s="477"/>
      <c r="Y277" s="477"/>
      <c r="Z277" s="477"/>
    </row>
    <row r="278" spans="1:26" ht="15" customHeight="1" x14ac:dyDescent="0.35">
      <c r="A278" s="477"/>
      <c r="B278" s="477"/>
      <c r="C278" s="477"/>
      <c r="D278" s="477"/>
      <c r="E278" s="477"/>
      <c r="F278" s="477"/>
      <c r="G278" s="477"/>
      <c r="H278" s="477"/>
      <c r="I278" s="477"/>
      <c r="J278" s="477"/>
      <c r="K278" s="477"/>
      <c r="L278" s="477"/>
      <c r="M278" s="477"/>
      <c r="N278" s="477"/>
      <c r="O278" s="477"/>
      <c r="P278" s="477"/>
      <c r="Q278" s="477"/>
      <c r="R278" s="477"/>
      <c r="S278" s="477"/>
      <c r="T278" s="477"/>
      <c r="U278" s="477"/>
      <c r="V278" s="477"/>
      <c r="W278" s="477"/>
      <c r="X278" s="477"/>
      <c r="Y278" s="477"/>
      <c r="Z278" s="477"/>
    </row>
    <row r="279" spans="1:26" ht="15" customHeight="1" x14ac:dyDescent="0.35">
      <c r="A279" s="477"/>
      <c r="B279" s="477"/>
      <c r="C279" s="477"/>
      <c r="D279" s="477"/>
      <c r="E279" s="477"/>
      <c r="F279" s="477"/>
      <c r="G279" s="477"/>
      <c r="H279" s="477"/>
      <c r="I279" s="477"/>
      <c r="J279" s="477"/>
      <c r="K279" s="477"/>
      <c r="L279" s="477"/>
      <c r="M279" s="477"/>
      <c r="N279" s="477"/>
      <c r="O279" s="477"/>
      <c r="P279" s="477"/>
      <c r="Q279" s="477"/>
      <c r="R279" s="477"/>
      <c r="S279" s="477"/>
      <c r="T279" s="477"/>
      <c r="U279" s="477"/>
      <c r="V279" s="477"/>
      <c r="W279" s="477"/>
      <c r="X279" s="477"/>
      <c r="Y279" s="477"/>
      <c r="Z279" s="477"/>
    </row>
    <row r="280" spans="1:26" ht="15" customHeight="1" x14ac:dyDescent="0.35">
      <c r="A280" s="477"/>
      <c r="B280" s="477"/>
      <c r="C280" s="477"/>
      <c r="D280" s="477"/>
      <c r="E280" s="477"/>
      <c r="F280" s="477"/>
      <c r="G280" s="477"/>
      <c r="H280" s="477"/>
      <c r="I280" s="477"/>
      <c r="J280" s="477"/>
      <c r="K280" s="477"/>
      <c r="L280" s="477"/>
      <c r="M280" s="477"/>
      <c r="N280" s="477"/>
      <c r="O280" s="477"/>
      <c r="P280" s="477"/>
      <c r="Q280" s="477"/>
      <c r="R280" s="477"/>
      <c r="S280" s="477"/>
      <c r="T280" s="477"/>
      <c r="U280" s="477"/>
      <c r="V280" s="477"/>
      <c r="W280" s="477"/>
      <c r="X280" s="477"/>
      <c r="Y280" s="477"/>
      <c r="Z280" s="477"/>
    </row>
    <row r="281" spans="1:26" ht="15" customHeight="1" x14ac:dyDescent="0.35">
      <c r="A281" s="477"/>
      <c r="B281" s="477"/>
      <c r="C281" s="477"/>
      <c r="D281" s="477"/>
      <c r="E281" s="477"/>
      <c r="F281" s="477"/>
      <c r="G281" s="477"/>
      <c r="H281" s="477"/>
      <c r="I281" s="477"/>
      <c r="J281" s="477"/>
      <c r="K281" s="477"/>
      <c r="L281" s="477"/>
      <c r="M281" s="477"/>
      <c r="N281" s="477"/>
      <c r="O281" s="477"/>
      <c r="P281" s="477"/>
      <c r="Q281" s="477"/>
      <c r="R281" s="477"/>
      <c r="S281" s="477"/>
      <c r="T281" s="477"/>
      <c r="U281" s="477"/>
      <c r="V281" s="477"/>
      <c r="W281" s="477"/>
      <c r="X281" s="477"/>
      <c r="Y281" s="477"/>
      <c r="Z281" s="477"/>
    </row>
    <row r="282" spans="1:26" ht="15" customHeight="1" x14ac:dyDescent="0.35">
      <c r="A282" s="477"/>
      <c r="B282" s="477"/>
      <c r="C282" s="477"/>
      <c r="D282" s="477"/>
      <c r="E282" s="477"/>
      <c r="F282" s="477"/>
      <c r="G282" s="477"/>
      <c r="H282" s="477"/>
      <c r="I282" s="477"/>
      <c r="J282" s="477"/>
      <c r="K282" s="477"/>
      <c r="L282" s="477"/>
      <c r="M282" s="477"/>
      <c r="N282" s="477"/>
      <c r="O282" s="477"/>
      <c r="P282" s="477"/>
      <c r="Q282" s="477"/>
      <c r="R282" s="477"/>
      <c r="S282" s="477"/>
      <c r="T282" s="477"/>
      <c r="U282" s="477"/>
      <c r="V282" s="477"/>
      <c r="W282" s="477"/>
      <c r="X282" s="477"/>
      <c r="Y282" s="477"/>
      <c r="Z282" s="477"/>
    </row>
    <row r="283" spans="1:26" ht="15" customHeight="1" x14ac:dyDescent="0.35">
      <c r="A283" s="477"/>
      <c r="B283" s="477"/>
      <c r="C283" s="477"/>
      <c r="D283" s="477"/>
      <c r="E283" s="477"/>
      <c r="F283" s="477"/>
      <c r="G283" s="477"/>
      <c r="H283" s="477"/>
      <c r="I283" s="477"/>
      <c r="J283" s="477"/>
      <c r="K283" s="477"/>
      <c r="L283" s="477"/>
      <c r="M283" s="477"/>
      <c r="N283" s="477"/>
      <c r="O283" s="477"/>
      <c r="P283" s="477"/>
      <c r="Q283" s="477"/>
      <c r="R283" s="477"/>
      <c r="S283" s="477"/>
      <c r="T283" s="477"/>
      <c r="U283" s="477"/>
      <c r="V283" s="477"/>
      <c r="W283" s="477"/>
      <c r="X283" s="477"/>
      <c r="Y283" s="477"/>
      <c r="Z283" s="477"/>
    </row>
    <row r="284" spans="1:26" ht="15" customHeight="1" x14ac:dyDescent="0.35">
      <c r="A284" s="477"/>
      <c r="B284" s="477"/>
      <c r="C284" s="477"/>
      <c r="D284" s="477"/>
      <c r="E284" s="477"/>
      <c r="F284" s="477"/>
      <c r="G284" s="477"/>
      <c r="H284" s="477"/>
      <c r="I284" s="477"/>
      <c r="J284" s="477"/>
      <c r="K284" s="477"/>
      <c r="L284" s="477"/>
      <c r="M284" s="477"/>
      <c r="N284" s="477"/>
      <c r="O284" s="477"/>
      <c r="P284" s="477"/>
      <c r="Q284" s="477"/>
      <c r="R284" s="477"/>
      <c r="S284" s="477"/>
      <c r="T284" s="477"/>
      <c r="U284" s="477"/>
      <c r="V284" s="477"/>
      <c r="W284" s="477"/>
      <c r="X284" s="477"/>
      <c r="Y284" s="477"/>
      <c r="Z284" s="477"/>
    </row>
    <row r="285" spans="1:26" ht="15" customHeight="1" x14ac:dyDescent="0.35">
      <c r="A285" s="477"/>
      <c r="B285" s="477"/>
      <c r="C285" s="477"/>
      <c r="D285" s="477"/>
      <c r="E285" s="477"/>
      <c r="F285" s="477"/>
      <c r="G285" s="477"/>
      <c r="H285" s="477"/>
      <c r="I285" s="477"/>
      <c r="J285" s="477"/>
      <c r="K285" s="477"/>
      <c r="L285" s="477"/>
      <c r="M285" s="477"/>
      <c r="N285" s="477"/>
      <c r="O285" s="477"/>
      <c r="P285" s="477"/>
      <c r="Q285" s="477"/>
      <c r="R285" s="477"/>
      <c r="S285" s="477"/>
      <c r="T285" s="477"/>
      <c r="U285" s="477"/>
      <c r="V285" s="477"/>
      <c r="W285" s="477"/>
      <c r="X285" s="477"/>
      <c r="Y285" s="477"/>
      <c r="Z285" s="477"/>
    </row>
    <row r="286" spans="1:26" ht="15" customHeight="1" x14ac:dyDescent="0.35">
      <c r="A286" s="477"/>
      <c r="B286" s="477"/>
      <c r="C286" s="477"/>
      <c r="D286" s="477"/>
      <c r="E286" s="477"/>
      <c r="F286" s="477"/>
      <c r="G286" s="477"/>
      <c r="H286" s="477"/>
      <c r="I286" s="477"/>
      <c r="J286" s="477"/>
      <c r="K286" s="477"/>
      <c r="L286" s="477"/>
      <c r="M286" s="477"/>
      <c r="N286" s="477"/>
      <c r="O286" s="477"/>
      <c r="P286" s="477"/>
      <c r="Q286" s="477"/>
      <c r="R286" s="477"/>
      <c r="S286" s="477"/>
      <c r="T286" s="477"/>
      <c r="U286" s="477"/>
      <c r="V286" s="477"/>
      <c r="W286" s="477"/>
      <c r="X286" s="477"/>
      <c r="Y286" s="477"/>
      <c r="Z286" s="477"/>
    </row>
    <row r="287" spans="1:26" ht="15" customHeight="1" x14ac:dyDescent="0.35">
      <c r="A287" s="477"/>
      <c r="B287" s="477"/>
      <c r="C287" s="477"/>
      <c r="D287" s="477"/>
      <c r="E287" s="477"/>
      <c r="F287" s="477"/>
      <c r="G287" s="477"/>
      <c r="H287" s="477"/>
      <c r="I287" s="477"/>
      <c r="J287" s="477"/>
      <c r="K287" s="477"/>
      <c r="L287" s="477"/>
      <c r="M287" s="477"/>
      <c r="N287" s="477"/>
      <c r="O287" s="477"/>
      <c r="P287" s="477"/>
      <c r="Q287" s="477"/>
      <c r="R287" s="477"/>
      <c r="S287" s="477"/>
      <c r="T287" s="477"/>
      <c r="U287" s="477"/>
      <c r="V287" s="477"/>
      <c r="W287" s="477"/>
      <c r="X287" s="477"/>
      <c r="Y287" s="477"/>
      <c r="Z287" s="477"/>
    </row>
    <row r="288" spans="1:26" ht="15" customHeight="1" x14ac:dyDescent="0.35">
      <c r="A288" s="477"/>
      <c r="B288" s="477"/>
      <c r="C288" s="477"/>
      <c r="D288" s="477"/>
      <c r="E288" s="477"/>
      <c r="F288" s="477"/>
      <c r="G288" s="477"/>
      <c r="H288" s="477"/>
      <c r="I288" s="477"/>
      <c r="J288" s="477"/>
      <c r="K288" s="477"/>
      <c r="L288" s="477"/>
      <c r="M288" s="477"/>
      <c r="N288" s="477"/>
      <c r="O288" s="477"/>
      <c r="P288" s="477"/>
      <c r="Q288" s="477"/>
      <c r="R288" s="477"/>
      <c r="S288" s="477"/>
      <c r="T288" s="477"/>
      <c r="U288" s="477"/>
      <c r="V288" s="477"/>
      <c r="W288" s="477"/>
      <c r="X288" s="477"/>
      <c r="Y288" s="477"/>
      <c r="Z288" s="477"/>
    </row>
    <row r="289" spans="1:26" ht="15" customHeight="1" x14ac:dyDescent="0.35">
      <c r="A289" s="477"/>
      <c r="B289" s="477"/>
      <c r="C289" s="477"/>
      <c r="D289" s="477"/>
      <c r="E289" s="477"/>
      <c r="F289" s="477"/>
      <c r="G289" s="477"/>
      <c r="H289" s="477"/>
      <c r="I289" s="477"/>
      <c r="J289" s="477"/>
      <c r="K289" s="477"/>
      <c r="L289" s="477"/>
      <c r="M289" s="477"/>
      <c r="N289" s="477"/>
      <c r="O289" s="477"/>
      <c r="P289" s="477"/>
      <c r="Q289" s="477"/>
      <c r="R289" s="477"/>
      <c r="S289" s="477"/>
      <c r="T289" s="477"/>
      <c r="U289" s="477"/>
      <c r="V289" s="477"/>
      <c r="W289" s="477"/>
      <c r="X289" s="477"/>
      <c r="Y289" s="477"/>
      <c r="Z289" s="477"/>
    </row>
    <row r="290" spans="1:26" ht="15" customHeight="1" x14ac:dyDescent="0.35">
      <c r="A290" s="477"/>
      <c r="B290" s="477"/>
      <c r="C290" s="477"/>
      <c r="D290" s="477"/>
      <c r="E290" s="477"/>
      <c r="F290" s="477"/>
      <c r="G290" s="477"/>
      <c r="H290" s="477"/>
      <c r="I290" s="477"/>
      <c r="J290" s="477"/>
      <c r="K290" s="477"/>
      <c r="L290" s="477"/>
      <c r="M290" s="477"/>
      <c r="N290" s="477"/>
      <c r="O290" s="477"/>
      <c r="P290" s="477"/>
      <c r="Q290" s="477"/>
      <c r="R290" s="477"/>
      <c r="S290" s="477"/>
      <c r="T290" s="477"/>
      <c r="U290" s="477"/>
      <c r="V290" s="477"/>
      <c r="W290" s="477"/>
      <c r="X290" s="477"/>
      <c r="Y290" s="477"/>
      <c r="Z290" s="477"/>
    </row>
    <row r="291" spans="1:26" ht="15" customHeight="1" x14ac:dyDescent="0.35">
      <c r="A291" s="477"/>
      <c r="B291" s="477"/>
      <c r="C291" s="477"/>
      <c r="D291" s="477"/>
      <c r="E291" s="477"/>
      <c r="F291" s="477"/>
      <c r="G291" s="477"/>
      <c r="H291" s="477"/>
      <c r="I291" s="477"/>
      <c r="J291" s="477"/>
      <c r="K291" s="477"/>
      <c r="L291" s="477"/>
      <c r="M291" s="477"/>
      <c r="N291" s="477"/>
      <c r="O291" s="477"/>
      <c r="P291" s="477"/>
      <c r="Q291" s="477"/>
      <c r="R291" s="477"/>
      <c r="S291" s="477"/>
      <c r="T291" s="477"/>
      <c r="U291" s="477"/>
      <c r="V291" s="477"/>
      <c r="W291" s="477"/>
      <c r="X291" s="477"/>
      <c r="Y291" s="477"/>
      <c r="Z291" s="477"/>
    </row>
    <row r="292" spans="1:26" ht="15" customHeight="1" x14ac:dyDescent="0.35">
      <c r="A292" s="477"/>
      <c r="B292" s="477"/>
      <c r="C292" s="477"/>
      <c r="D292" s="477"/>
      <c r="E292" s="477"/>
      <c r="F292" s="477"/>
      <c r="G292" s="477"/>
      <c r="H292" s="477"/>
      <c r="I292" s="477"/>
      <c r="J292" s="477"/>
      <c r="K292" s="477"/>
      <c r="L292" s="477"/>
      <c r="M292" s="477"/>
      <c r="N292" s="477"/>
      <c r="O292" s="477"/>
      <c r="P292" s="477"/>
      <c r="Q292" s="477"/>
      <c r="R292" s="477"/>
      <c r="S292" s="477"/>
      <c r="T292" s="477"/>
      <c r="U292" s="477"/>
      <c r="V292" s="477"/>
      <c r="W292" s="477"/>
      <c r="X292" s="477"/>
      <c r="Y292" s="477"/>
      <c r="Z292" s="477"/>
    </row>
    <row r="293" spans="1:26" ht="15" customHeight="1" x14ac:dyDescent="0.35">
      <c r="A293" s="477"/>
      <c r="B293" s="477"/>
      <c r="C293" s="477"/>
      <c r="D293" s="477"/>
      <c r="E293" s="477"/>
      <c r="F293" s="477"/>
      <c r="G293" s="477"/>
      <c r="H293" s="477"/>
      <c r="I293" s="477"/>
      <c r="J293" s="477"/>
      <c r="K293" s="477"/>
      <c r="L293" s="477"/>
      <c r="M293" s="477"/>
      <c r="N293" s="477"/>
      <c r="O293" s="477"/>
      <c r="P293" s="477"/>
      <c r="Q293" s="477"/>
      <c r="R293" s="477"/>
      <c r="S293" s="477"/>
      <c r="T293" s="477"/>
      <c r="U293" s="477"/>
      <c r="V293" s="477"/>
      <c r="W293" s="477"/>
      <c r="X293" s="477"/>
      <c r="Y293" s="477"/>
      <c r="Z293" s="477"/>
    </row>
    <row r="294" spans="1:26" ht="15" customHeight="1" x14ac:dyDescent="0.35">
      <c r="A294" s="477"/>
      <c r="B294" s="477"/>
      <c r="C294" s="477"/>
      <c r="D294" s="477"/>
      <c r="E294" s="477"/>
      <c r="F294" s="477"/>
      <c r="G294" s="477"/>
      <c r="H294" s="477"/>
      <c r="I294" s="477"/>
      <c r="J294" s="477"/>
      <c r="K294" s="477"/>
      <c r="L294" s="477"/>
      <c r="M294" s="477"/>
      <c r="N294" s="477"/>
      <c r="O294" s="477"/>
      <c r="P294" s="477"/>
      <c r="Q294" s="477"/>
      <c r="R294" s="477"/>
      <c r="S294" s="477"/>
      <c r="T294" s="477"/>
      <c r="U294" s="477"/>
      <c r="V294" s="477"/>
      <c r="W294" s="477"/>
      <c r="X294" s="477"/>
      <c r="Y294" s="477"/>
      <c r="Z294" s="477"/>
    </row>
    <row r="295" spans="1:26" ht="15" customHeight="1" x14ac:dyDescent="0.35">
      <c r="A295" s="477"/>
      <c r="B295" s="477"/>
      <c r="C295" s="477"/>
      <c r="D295" s="477"/>
      <c r="E295" s="477"/>
      <c r="F295" s="477"/>
      <c r="G295" s="477"/>
      <c r="H295" s="477"/>
      <c r="I295" s="477"/>
      <c r="J295" s="477"/>
      <c r="K295" s="477"/>
      <c r="L295" s="477"/>
      <c r="M295" s="477"/>
      <c r="N295" s="477"/>
      <c r="O295" s="477"/>
      <c r="P295" s="477"/>
      <c r="Q295" s="477"/>
      <c r="R295" s="477"/>
      <c r="S295" s="477"/>
      <c r="T295" s="477"/>
      <c r="U295" s="477"/>
      <c r="V295" s="477"/>
      <c r="W295" s="477"/>
      <c r="X295" s="477"/>
      <c r="Y295" s="477"/>
      <c r="Z295" s="477"/>
    </row>
    <row r="296" spans="1:26" ht="15" customHeight="1" x14ac:dyDescent="0.35">
      <c r="A296" s="477"/>
      <c r="B296" s="477"/>
      <c r="C296" s="477"/>
      <c r="D296" s="477"/>
      <c r="E296" s="477"/>
      <c r="F296" s="477"/>
      <c r="G296" s="477"/>
      <c r="H296" s="477"/>
      <c r="I296" s="477"/>
      <c r="J296" s="477"/>
      <c r="K296" s="477"/>
      <c r="L296" s="477"/>
      <c r="M296" s="477"/>
      <c r="N296" s="477"/>
      <c r="O296" s="477"/>
      <c r="P296" s="477"/>
      <c r="Q296" s="477"/>
      <c r="R296" s="477"/>
      <c r="S296" s="477"/>
      <c r="T296" s="477"/>
      <c r="U296" s="477"/>
      <c r="V296" s="477"/>
      <c r="W296" s="477"/>
      <c r="X296" s="477"/>
      <c r="Y296" s="477"/>
      <c r="Z296" s="477"/>
    </row>
    <row r="297" spans="1:26" ht="15" customHeight="1" x14ac:dyDescent="0.35">
      <c r="A297" s="477"/>
      <c r="B297" s="477"/>
      <c r="C297" s="477"/>
      <c r="D297" s="477"/>
      <c r="E297" s="477"/>
      <c r="F297" s="477"/>
      <c r="G297" s="477"/>
      <c r="H297" s="477"/>
      <c r="I297" s="477"/>
      <c r="J297" s="477"/>
      <c r="K297" s="477"/>
      <c r="L297" s="477"/>
      <c r="M297" s="477"/>
      <c r="N297" s="477"/>
      <c r="O297" s="477"/>
      <c r="P297" s="477"/>
      <c r="Q297" s="477"/>
      <c r="R297" s="477"/>
      <c r="S297" s="477"/>
      <c r="T297" s="477"/>
      <c r="U297" s="477"/>
      <c r="V297" s="477"/>
      <c r="W297" s="477"/>
      <c r="X297" s="477"/>
      <c r="Y297" s="477"/>
      <c r="Z297" s="477"/>
    </row>
    <row r="298" spans="1:26" ht="15" customHeight="1" x14ac:dyDescent="0.35">
      <c r="A298" s="477"/>
      <c r="B298" s="477"/>
      <c r="C298" s="477"/>
      <c r="D298" s="477"/>
      <c r="E298" s="477"/>
      <c r="F298" s="477"/>
      <c r="G298" s="477"/>
      <c r="H298" s="477"/>
      <c r="I298" s="477"/>
      <c r="J298" s="477"/>
      <c r="K298" s="477"/>
      <c r="L298" s="477"/>
      <c r="M298" s="477"/>
      <c r="N298" s="477"/>
      <c r="O298" s="477"/>
      <c r="P298" s="477"/>
      <c r="Q298" s="477"/>
      <c r="R298" s="477"/>
      <c r="S298" s="477"/>
      <c r="T298" s="477"/>
      <c r="U298" s="477"/>
      <c r="V298" s="477"/>
      <c r="W298" s="477"/>
      <c r="X298" s="477"/>
      <c r="Y298" s="477"/>
      <c r="Z298" s="477"/>
    </row>
    <row r="299" spans="1:26" ht="15" customHeight="1" x14ac:dyDescent="0.35">
      <c r="A299" s="477"/>
      <c r="B299" s="477"/>
      <c r="C299" s="477"/>
      <c r="D299" s="477"/>
      <c r="E299" s="477"/>
      <c r="F299" s="477"/>
      <c r="G299" s="477"/>
      <c r="H299" s="477"/>
      <c r="I299" s="477"/>
      <c r="J299" s="477"/>
      <c r="K299" s="477"/>
      <c r="L299" s="477"/>
      <c r="M299" s="477"/>
      <c r="N299" s="477"/>
      <c r="O299" s="477"/>
      <c r="P299" s="477"/>
      <c r="Q299" s="477"/>
      <c r="R299" s="477"/>
      <c r="S299" s="477"/>
      <c r="T299" s="477"/>
      <c r="U299" s="477"/>
      <c r="V299" s="477"/>
      <c r="W299" s="477"/>
      <c r="X299" s="477"/>
      <c r="Y299" s="477"/>
      <c r="Z299" s="477"/>
    </row>
    <row r="300" spans="1:26" ht="15" customHeight="1" x14ac:dyDescent="0.35">
      <c r="A300" s="477"/>
      <c r="B300" s="477"/>
      <c r="C300" s="477"/>
      <c r="D300" s="477"/>
      <c r="E300" s="477"/>
      <c r="F300" s="477"/>
      <c r="G300" s="477"/>
      <c r="H300" s="477"/>
      <c r="I300" s="477"/>
      <c r="J300" s="477"/>
      <c r="K300" s="477"/>
      <c r="L300" s="477"/>
      <c r="M300" s="477"/>
      <c r="N300" s="477"/>
      <c r="O300" s="477"/>
      <c r="P300" s="477"/>
      <c r="Q300" s="477"/>
      <c r="R300" s="477"/>
      <c r="S300" s="477"/>
      <c r="T300" s="477"/>
      <c r="U300" s="477"/>
      <c r="V300" s="477"/>
      <c r="W300" s="477"/>
      <c r="X300" s="477"/>
      <c r="Y300" s="477"/>
      <c r="Z300" s="477"/>
    </row>
    <row r="301" spans="1:26" ht="15" customHeight="1" x14ac:dyDescent="0.35">
      <c r="A301" s="477"/>
      <c r="B301" s="477"/>
      <c r="C301" s="477"/>
      <c r="D301" s="477"/>
      <c r="E301" s="477"/>
      <c r="F301" s="477"/>
      <c r="G301" s="477"/>
      <c r="H301" s="477"/>
      <c r="I301" s="477"/>
      <c r="J301" s="477"/>
      <c r="K301" s="477"/>
      <c r="L301" s="477"/>
      <c r="M301" s="477"/>
      <c r="N301" s="477"/>
      <c r="O301" s="477"/>
      <c r="P301" s="477"/>
      <c r="Q301" s="477"/>
      <c r="R301" s="477"/>
      <c r="S301" s="477"/>
      <c r="T301" s="477"/>
      <c r="U301" s="477"/>
      <c r="V301" s="477"/>
      <c r="W301" s="477"/>
      <c r="X301" s="477"/>
      <c r="Y301" s="477"/>
      <c r="Z301" s="477"/>
    </row>
    <row r="302" spans="1:26" ht="15" customHeight="1" x14ac:dyDescent="0.35">
      <c r="A302" s="477"/>
      <c r="B302" s="477"/>
      <c r="C302" s="477"/>
      <c r="D302" s="477"/>
      <c r="E302" s="477"/>
      <c r="F302" s="477"/>
      <c r="G302" s="477"/>
      <c r="H302" s="477"/>
      <c r="I302" s="477"/>
      <c r="J302" s="477"/>
      <c r="K302" s="477"/>
      <c r="L302" s="477"/>
      <c r="M302" s="477"/>
      <c r="N302" s="477"/>
      <c r="O302" s="477"/>
      <c r="P302" s="477"/>
      <c r="Q302" s="477"/>
      <c r="R302" s="477"/>
      <c r="S302" s="477"/>
      <c r="T302" s="477"/>
      <c r="U302" s="477"/>
      <c r="V302" s="477"/>
      <c r="W302" s="477"/>
      <c r="X302" s="477"/>
      <c r="Y302" s="477"/>
      <c r="Z302" s="477"/>
    </row>
    <row r="303" spans="1:26" ht="15" customHeight="1" x14ac:dyDescent="0.35">
      <c r="A303" s="477"/>
      <c r="B303" s="477"/>
      <c r="C303" s="477"/>
      <c r="D303" s="477"/>
      <c r="E303" s="477"/>
      <c r="F303" s="477"/>
      <c r="G303" s="477"/>
      <c r="H303" s="477"/>
      <c r="I303" s="477"/>
      <c r="J303" s="477"/>
      <c r="K303" s="477"/>
      <c r="L303" s="477"/>
      <c r="M303" s="477"/>
      <c r="N303" s="477"/>
      <c r="O303" s="477"/>
      <c r="P303" s="477"/>
      <c r="Q303" s="477"/>
      <c r="R303" s="477"/>
      <c r="S303" s="477"/>
      <c r="T303" s="477"/>
      <c r="U303" s="477"/>
      <c r="V303" s="477"/>
      <c r="W303" s="477"/>
      <c r="X303" s="477"/>
      <c r="Y303" s="477"/>
      <c r="Z303" s="477"/>
    </row>
    <row r="304" spans="1:26" ht="15" customHeight="1" x14ac:dyDescent="0.35">
      <c r="A304" s="477"/>
      <c r="B304" s="477"/>
      <c r="C304" s="477"/>
      <c r="D304" s="477"/>
      <c r="E304" s="477"/>
      <c r="F304" s="477"/>
      <c r="G304" s="477"/>
      <c r="H304" s="477"/>
      <c r="I304" s="477"/>
      <c r="J304" s="477"/>
      <c r="K304" s="477"/>
      <c r="L304" s="477"/>
      <c r="M304" s="477"/>
      <c r="N304" s="477"/>
      <c r="O304" s="477"/>
      <c r="P304" s="477"/>
      <c r="Q304" s="477"/>
      <c r="R304" s="477"/>
      <c r="S304" s="477"/>
      <c r="T304" s="477"/>
      <c r="U304" s="477"/>
      <c r="V304" s="477"/>
      <c r="W304" s="477"/>
      <c r="X304" s="477"/>
      <c r="Y304" s="477"/>
      <c r="Z304" s="477"/>
    </row>
    <row r="305" spans="1:26" ht="15" customHeight="1" x14ac:dyDescent="0.35">
      <c r="A305" s="477"/>
      <c r="B305" s="477"/>
      <c r="C305" s="477"/>
      <c r="D305" s="477"/>
      <c r="E305" s="477"/>
      <c r="F305" s="477"/>
      <c r="G305" s="477"/>
      <c r="H305" s="477"/>
      <c r="I305" s="477"/>
      <c r="J305" s="477"/>
      <c r="K305" s="477"/>
      <c r="L305" s="477"/>
      <c r="M305" s="477"/>
      <c r="N305" s="477"/>
      <c r="O305" s="477"/>
      <c r="P305" s="477"/>
      <c r="Q305" s="477"/>
      <c r="R305" s="477"/>
      <c r="S305" s="477"/>
      <c r="T305" s="477"/>
      <c r="U305" s="477"/>
      <c r="V305" s="477"/>
      <c r="W305" s="477"/>
      <c r="X305" s="477"/>
      <c r="Y305" s="477"/>
      <c r="Z305" s="477"/>
    </row>
    <row r="306" spans="1:26" ht="15" customHeight="1" x14ac:dyDescent="0.35">
      <c r="A306" s="477"/>
      <c r="B306" s="477"/>
      <c r="C306" s="477"/>
      <c r="D306" s="477"/>
      <c r="E306" s="477"/>
      <c r="F306" s="477"/>
      <c r="G306" s="477"/>
      <c r="H306" s="477"/>
      <c r="I306" s="477"/>
      <c r="J306" s="477"/>
      <c r="K306" s="477"/>
      <c r="L306" s="477"/>
      <c r="M306" s="477"/>
      <c r="N306" s="477"/>
      <c r="O306" s="477"/>
      <c r="P306" s="477"/>
      <c r="Q306" s="477"/>
      <c r="R306" s="477"/>
      <c r="S306" s="477"/>
      <c r="T306" s="477"/>
      <c r="U306" s="477"/>
      <c r="V306" s="477"/>
      <c r="W306" s="477"/>
      <c r="X306" s="477"/>
      <c r="Y306" s="477"/>
      <c r="Z306" s="477"/>
    </row>
    <row r="307" spans="1:26" ht="15" customHeight="1" x14ac:dyDescent="0.35">
      <c r="A307" s="477"/>
      <c r="B307" s="477"/>
      <c r="C307" s="477"/>
      <c r="D307" s="477"/>
      <c r="E307" s="477"/>
      <c r="F307" s="477"/>
      <c r="G307" s="477"/>
      <c r="H307" s="477"/>
      <c r="I307" s="477"/>
      <c r="J307" s="477"/>
      <c r="K307" s="477"/>
      <c r="L307" s="477"/>
      <c r="M307" s="477"/>
      <c r="N307" s="477"/>
      <c r="O307" s="477"/>
      <c r="P307" s="477"/>
      <c r="Q307" s="477"/>
      <c r="R307" s="477"/>
      <c r="S307" s="477"/>
      <c r="T307" s="477"/>
      <c r="U307" s="477"/>
      <c r="V307" s="477"/>
      <c r="W307" s="477"/>
      <c r="X307" s="477"/>
      <c r="Y307" s="477"/>
      <c r="Z307" s="477"/>
    </row>
    <row r="308" spans="1:26" ht="15" customHeight="1" x14ac:dyDescent="0.35">
      <c r="A308" s="477"/>
      <c r="B308" s="477"/>
      <c r="C308" s="477"/>
      <c r="D308" s="477"/>
      <c r="E308" s="477"/>
      <c r="F308" s="477"/>
      <c r="G308" s="477"/>
      <c r="H308" s="477"/>
      <c r="I308" s="477"/>
      <c r="J308" s="477"/>
      <c r="K308" s="477"/>
      <c r="L308" s="477"/>
      <c r="M308" s="477"/>
      <c r="N308" s="477"/>
      <c r="O308" s="477"/>
      <c r="P308" s="477"/>
      <c r="Q308" s="477"/>
      <c r="R308" s="477"/>
      <c r="S308" s="477"/>
      <c r="T308" s="477"/>
      <c r="U308" s="477"/>
      <c r="V308" s="477"/>
      <c r="W308" s="477"/>
      <c r="X308" s="477"/>
      <c r="Y308" s="477"/>
      <c r="Z308" s="477"/>
    </row>
    <row r="309" spans="1:26" ht="15" customHeight="1" x14ac:dyDescent="0.35">
      <c r="A309" s="477"/>
      <c r="B309" s="477"/>
      <c r="C309" s="477"/>
      <c r="D309" s="477"/>
      <c r="E309" s="477"/>
      <c r="F309" s="477"/>
      <c r="G309" s="477"/>
      <c r="H309" s="477"/>
      <c r="I309" s="477"/>
      <c r="J309" s="477"/>
      <c r="K309" s="477"/>
      <c r="L309" s="477"/>
      <c r="M309" s="477"/>
      <c r="N309" s="477"/>
      <c r="O309" s="477"/>
      <c r="P309" s="477"/>
      <c r="Q309" s="477"/>
      <c r="R309" s="477"/>
      <c r="S309" s="477"/>
      <c r="T309" s="477"/>
      <c r="U309" s="477"/>
      <c r="V309" s="477"/>
      <c r="W309" s="477"/>
      <c r="X309" s="477"/>
      <c r="Y309" s="477"/>
      <c r="Z309" s="477"/>
    </row>
    <row r="310" spans="1:26" ht="15" customHeight="1" x14ac:dyDescent="0.35">
      <c r="A310" s="477"/>
      <c r="B310" s="477"/>
      <c r="C310" s="477"/>
      <c r="D310" s="477"/>
      <c r="E310" s="477"/>
      <c r="F310" s="477"/>
      <c r="G310" s="477"/>
      <c r="H310" s="477"/>
      <c r="I310" s="477"/>
      <c r="J310" s="477"/>
      <c r="K310" s="477"/>
      <c r="L310" s="477"/>
      <c r="M310" s="477"/>
      <c r="N310" s="477"/>
      <c r="O310" s="477"/>
      <c r="P310" s="477"/>
      <c r="Q310" s="477"/>
      <c r="R310" s="477"/>
      <c r="S310" s="477"/>
      <c r="T310" s="477"/>
      <c r="U310" s="477"/>
      <c r="V310" s="477"/>
      <c r="W310" s="477"/>
      <c r="X310" s="477"/>
      <c r="Y310" s="477"/>
      <c r="Z310" s="477"/>
    </row>
    <row r="311" spans="1:26" ht="15" customHeight="1" x14ac:dyDescent="0.35">
      <c r="A311" s="477"/>
      <c r="B311" s="477"/>
      <c r="C311" s="477"/>
      <c r="D311" s="477"/>
      <c r="E311" s="477"/>
      <c r="F311" s="477"/>
      <c r="G311" s="477"/>
      <c r="H311" s="477"/>
      <c r="I311" s="477"/>
      <c r="J311" s="477"/>
      <c r="K311" s="477"/>
      <c r="L311" s="477"/>
      <c r="M311" s="477"/>
      <c r="N311" s="477"/>
      <c r="O311" s="477"/>
      <c r="P311" s="477"/>
      <c r="Q311" s="477"/>
      <c r="R311" s="477"/>
      <c r="S311" s="477"/>
      <c r="T311" s="477"/>
      <c r="U311" s="477"/>
      <c r="V311" s="477"/>
      <c r="W311" s="477"/>
      <c r="X311" s="477"/>
      <c r="Y311" s="477"/>
      <c r="Z311" s="477"/>
    </row>
    <row r="312" spans="1:26" ht="15" customHeight="1" x14ac:dyDescent="0.35">
      <c r="A312" s="477"/>
      <c r="B312" s="477"/>
      <c r="C312" s="477"/>
      <c r="D312" s="477"/>
      <c r="E312" s="477"/>
      <c r="F312" s="477"/>
      <c r="G312" s="477"/>
      <c r="H312" s="477"/>
      <c r="I312" s="477"/>
      <c r="J312" s="477"/>
      <c r="K312" s="477"/>
      <c r="L312" s="477"/>
      <c r="M312" s="477"/>
      <c r="N312" s="477"/>
      <c r="O312" s="477"/>
      <c r="P312" s="477"/>
      <c r="Q312" s="477"/>
      <c r="R312" s="477"/>
      <c r="S312" s="477"/>
      <c r="T312" s="477"/>
      <c r="U312" s="477"/>
      <c r="V312" s="477"/>
      <c r="W312" s="477"/>
      <c r="X312" s="477"/>
      <c r="Y312" s="477"/>
      <c r="Z312" s="477"/>
    </row>
    <row r="313" spans="1:26" ht="15" customHeight="1" x14ac:dyDescent="0.35">
      <c r="A313" s="477"/>
      <c r="B313" s="477"/>
      <c r="C313" s="477"/>
      <c r="D313" s="477"/>
      <c r="E313" s="477"/>
      <c r="F313" s="477"/>
      <c r="G313" s="477"/>
      <c r="H313" s="477"/>
      <c r="I313" s="477"/>
      <c r="J313" s="477"/>
      <c r="K313" s="477"/>
      <c r="L313" s="477"/>
      <c r="M313" s="477"/>
      <c r="N313" s="477"/>
      <c r="O313" s="477"/>
      <c r="P313" s="477"/>
      <c r="Q313" s="477"/>
      <c r="R313" s="477"/>
      <c r="S313" s="477"/>
      <c r="T313" s="477"/>
      <c r="U313" s="477"/>
      <c r="V313" s="477"/>
      <c r="W313" s="477"/>
      <c r="X313" s="477"/>
      <c r="Y313" s="477"/>
      <c r="Z313" s="477"/>
    </row>
    <row r="314" spans="1:26" ht="15" customHeight="1" x14ac:dyDescent="0.35">
      <c r="A314" s="477"/>
      <c r="B314" s="477"/>
      <c r="C314" s="477"/>
      <c r="D314" s="477"/>
      <c r="E314" s="477"/>
      <c r="F314" s="477"/>
      <c r="G314" s="477"/>
      <c r="H314" s="477"/>
      <c r="I314" s="477"/>
      <c r="J314" s="477"/>
      <c r="K314" s="477"/>
      <c r="L314" s="477"/>
      <c r="M314" s="477"/>
      <c r="N314" s="477"/>
      <c r="O314" s="477"/>
      <c r="P314" s="477"/>
      <c r="Q314" s="477"/>
      <c r="R314" s="477"/>
      <c r="S314" s="477"/>
      <c r="T314" s="477"/>
      <c r="U314" s="477"/>
      <c r="V314" s="477"/>
      <c r="W314" s="477"/>
      <c r="X314" s="477"/>
      <c r="Y314" s="477"/>
      <c r="Z314" s="477"/>
    </row>
    <row r="315" spans="1:26" ht="15" customHeight="1" x14ac:dyDescent="0.35">
      <c r="A315" s="477"/>
      <c r="B315" s="477"/>
      <c r="C315" s="477"/>
      <c r="D315" s="477"/>
      <c r="E315" s="477"/>
      <c r="F315" s="477"/>
      <c r="G315" s="477"/>
      <c r="H315" s="477"/>
      <c r="I315" s="477"/>
      <c r="J315" s="477"/>
      <c r="K315" s="477"/>
      <c r="L315" s="477"/>
      <c r="M315" s="477"/>
      <c r="N315" s="477"/>
      <c r="O315" s="477"/>
      <c r="P315" s="477"/>
      <c r="Q315" s="477"/>
      <c r="R315" s="477"/>
      <c r="S315" s="477"/>
      <c r="T315" s="477"/>
      <c r="U315" s="477"/>
      <c r="V315" s="477"/>
      <c r="W315" s="477"/>
      <c r="X315" s="477"/>
      <c r="Y315" s="477"/>
      <c r="Z315" s="477"/>
    </row>
    <row r="316" spans="1:26" ht="15" customHeight="1" x14ac:dyDescent="0.35">
      <c r="A316" s="477"/>
      <c r="B316" s="477"/>
      <c r="C316" s="477"/>
      <c r="D316" s="477"/>
      <c r="E316" s="477"/>
      <c r="F316" s="477"/>
      <c r="G316" s="477"/>
      <c r="H316" s="477"/>
      <c r="I316" s="477"/>
      <c r="J316" s="477"/>
      <c r="K316" s="477"/>
      <c r="L316" s="477"/>
      <c r="M316" s="477"/>
      <c r="N316" s="477"/>
      <c r="O316" s="477"/>
      <c r="P316" s="477"/>
      <c r="Q316" s="477"/>
      <c r="R316" s="477"/>
      <c r="S316" s="477"/>
      <c r="T316" s="477"/>
      <c r="U316" s="477"/>
      <c r="V316" s="477"/>
      <c r="W316" s="477"/>
      <c r="X316" s="477"/>
      <c r="Y316" s="477"/>
      <c r="Z316" s="477"/>
    </row>
    <row r="317" spans="1:26" ht="15" customHeight="1" x14ac:dyDescent="0.35">
      <c r="A317" s="477"/>
      <c r="B317" s="477"/>
      <c r="C317" s="477"/>
      <c r="D317" s="477"/>
      <c r="E317" s="477"/>
      <c r="F317" s="477"/>
      <c r="G317" s="477"/>
      <c r="H317" s="477"/>
      <c r="I317" s="477"/>
      <c r="J317" s="477"/>
      <c r="K317" s="477"/>
      <c r="L317" s="477"/>
      <c r="M317" s="477"/>
      <c r="N317" s="477"/>
      <c r="O317" s="477"/>
      <c r="P317" s="477"/>
      <c r="Q317" s="477"/>
      <c r="R317" s="477"/>
      <c r="S317" s="477"/>
      <c r="T317" s="477"/>
      <c r="U317" s="477"/>
      <c r="V317" s="477"/>
      <c r="W317" s="477"/>
      <c r="X317" s="477"/>
      <c r="Y317" s="477"/>
      <c r="Z317" s="477"/>
    </row>
    <row r="318" spans="1:26" ht="15" customHeight="1" x14ac:dyDescent="0.35">
      <c r="A318" s="477"/>
      <c r="B318" s="477"/>
      <c r="C318" s="477"/>
      <c r="D318" s="477"/>
      <c r="E318" s="477"/>
      <c r="F318" s="477"/>
      <c r="G318" s="477"/>
      <c r="H318" s="477"/>
      <c r="I318" s="477"/>
      <c r="J318" s="477"/>
      <c r="K318" s="477"/>
      <c r="L318" s="477"/>
      <c r="M318" s="477"/>
      <c r="N318" s="477"/>
      <c r="O318" s="477"/>
      <c r="P318" s="477"/>
      <c r="Q318" s="477"/>
      <c r="R318" s="477"/>
      <c r="S318" s="477"/>
      <c r="T318" s="477"/>
      <c r="U318" s="477"/>
      <c r="V318" s="477"/>
      <c r="W318" s="477"/>
      <c r="X318" s="477"/>
      <c r="Y318" s="477"/>
      <c r="Z318" s="477"/>
    </row>
    <row r="319" spans="1:26" ht="15" customHeight="1" x14ac:dyDescent="0.35">
      <c r="A319" s="477"/>
      <c r="B319" s="477"/>
      <c r="C319" s="477"/>
      <c r="D319" s="477"/>
      <c r="E319" s="477"/>
      <c r="F319" s="477"/>
      <c r="G319" s="477"/>
      <c r="H319" s="477"/>
      <c r="I319" s="477"/>
      <c r="J319" s="477"/>
      <c r="K319" s="477"/>
      <c r="L319" s="477"/>
      <c r="M319" s="477"/>
      <c r="N319" s="477"/>
      <c r="O319" s="477"/>
      <c r="P319" s="477"/>
      <c r="Q319" s="477"/>
      <c r="R319" s="477"/>
      <c r="S319" s="477"/>
      <c r="T319" s="477"/>
      <c r="U319" s="477"/>
      <c r="V319" s="477"/>
      <c r="W319" s="477"/>
      <c r="X319" s="477"/>
      <c r="Y319" s="477"/>
      <c r="Z319" s="477"/>
    </row>
    <row r="320" spans="1:26" ht="15" customHeight="1" x14ac:dyDescent="0.35">
      <c r="A320" s="477"/>
      <c r="B320" s="477"/>
      <c r="C320" s="477"/>
      <c r="D320" s="477"/>
      <c r="E320" s="477"/>
      <c r="F320" s="477"/>
      <c r="G320" s="477"/>
      <c r="H320" s="477"/>
      <c r="I320" s="477"/>
      <c r="J320" s="477"/>
      <c r="K320" s="477"/>
      <c r="L320" s="477"/>
      <c r="M320" s="477"/>
      <c r="N320" s="477"/>
      <c r="O320" s="477"/>
      <c r="P320" s="477"/>
      <c r="Q320" s="477"/>
      <c r="R320" s="477"/>
      <c r="S320" s="477"/>
      <c r="T320" s="477"/>
      <c r="U320" s="477"/>
      <c r="V320" s="477"/>
      <c r="W320" s="477"/>
      <c r="X320" s="477"/>
      <c r="Y320" s="477"/>
      <c r="Z320" s="477"/>
    </row>
    <row r="321" spans="1:26" ht="15" customHeight="1" x14ac:dyDescent="0.35">
      <c r="A321" s="477"/>
      <c r="B321" s="477"/>
      <c r="C321" s="477"/>
      <c r="D321" s="477"/>
      <c r="E321" s="477"/>
      <c r="F321" s="477"/>
      <c r="G321" s="477"/>
      <c r="H321" s="477"/>
      <c r="I321" s="477"/>
      <c r="J321" s="477"/>
      <c r="K321" s="477"/>
      <c r="L321" s="477"/>
      <c r="M321" s="477"/>
      <c r="N321" s="477"/>
      <c r="O321" s="477"/>
      <c r="P321" s="477"/>
      <c r="Q321" s="477"/>
      <c r="R321" s="477"/>
      <c r="S321" s="477"/>
      <c r="T321" s="477"/>
      <c r="U321" s="477"/>
      <c r="V321" s="477"/>
      <c r="W321" s="477"/>
      <c r="X321" s="477"/>
      <c r="Y321" s="477"/>
      <c r="Z321" s="477"/>
    </row>
    <row r="322" spans="1:26" ht="15" customHeight="1" x14ac:dyDescent="0.35">
      <c r="A322" s="477"/>
      <c r="B322" s="477"/>
      <c r="C322" s="477"/>
      <c r="D322" s="477"/>
      <c r="E322" s="477"/>
      <c r="F322" s="477"/>
      <c r="G322" s="477"/>
      <c r="H322" s="477"/>
      <c r="I322" s="477"/>
      <c r="J322" s="477"/>
      <c r="K322" s="477"/>
      <c r="L322" s="477"/>
      <c r="M322" s="477"/>
      <c r="N322" s="477"/>
      <c r="O322" s="477"/>
      <c r="P322" s="477"/>
      <c r="Q322" s="477"/>
      <c r="R322" s="477"/>
      <c r="S322" s="477"/>
      <c r="T322" s="477"/>
      <c r="U322" s="477"/>
      <c r="V322" s="477"/>
      <c r="W322" s="477"/>
      <c r="X322" s="477"/>
      <c r="Y322" s="477"/>
      <c r="Z322" s="477"/>
    </row>
    <row r="323" spans="1:26" ht="15" customHeight="1" x14ac:dyDescent="0.35">
      <c r="A323" s="477"/>
      <c r="B323" s="477"/>
      <c r="C323" s="477"/>
      <c r="D323" s="477"/>
      <c r="E323" s="477"/>
      <c r="F323" s="477"/>
      <c r="G323" s="477"/>
      <c r="H323" s="477"/>
      <c r="I323" s="477"/>
      <c r="J323" s="477"/>
      <c r="K323" s="477"/>
      <c r="L323" s="477"/>
      <c r="M323" s="477"/>
      <c r="N323" s="477"/>
      <c r="O323" s="477"/>
      <c r="P323" s="477"/>
      <c r="Q323" s="477"/>
      <c r="R323" s="477"/>
      <c r="S323" s="477"/>
      <c r="T323" s="477"/>
      <c r="U323" s="477"/>
      <c r="V323" s="477"/>
      <c r="W323" s="477"/>
      <c r="X323" s="477"/>
      <c r="Y323" s="477"/>
      <c r="Z323" s="477"/>
    </row>
    <row r="324" spans="1:26" ht="15" customHeight="1" x14ac:dyDescent="0.35">
      <c r="A324" s="477"/>
      <c r="B324" s="477"/>
      <c r="C324" s="477"/>
      <c r="D324" s="477"/>
      <c r="E324" s="477"/>
      <c r="F324" s="477"/>
      <c r="G324" s="477"/>
      <c r="H324" s="477"/>
      <c r="I324" s="477"/>
      <c r="J324" s="477"/>
      <c r="K324" s="477"/>
      <c r="L324" s="477"/>
      <c r="M324" s="477"/>
      <c r="N324" s="477"/>
      <c r="O324" s="477"/>
      <c r="P324" s="477"/>
      <c r="Q324" s="477"/>
      <c r="R324" s="477"/>
      <c r="S324" s="477"/>
      <c r="T324" s="477"/>
      <c r="U324" s="477"/>
      <c r="V324" s="477"/>
      <c r="W324" s="477"/>
      <c r="X324" s="477"/>
      <c r="Y324" s="477"/>
      <c r="Z324" s="477"/>
    </row>
    <row r="325" spans="1:26" ht="15" customHeight="1" x14ac:dyDescent="0.35">
      <c r="A325" s="477"/>
      <c r="B325" s="477"/>
      <c r="C325" s="477"/>
      <c r="D325" s="477"/>
      <c r="E325" s="477"/>
      <c r="F325" s="477"/>
      <c r="G325" s="477"/>
      <c r="H325" s="477"/>
      <c r="I325" s="477"/>
      <c r="J325" s="477"/>
      <c r="K325" s="477"/>
      <c r="L325" s="477"/>
      <c r="M325" s="477"/>
      <c r="N325" s="477"/>
      <c r="O325" s="477"/>
      <c r="P325" s="477"/>
      <c r="Q325" s="477"/>
      <c r="R325" s="477"/>
      <c r="S325" s="477"/>
      <c r="T325" s="477"/>
      <c r="U325" s="477"/>
      <c r="V325" s="477"/>
      <c r="W325" s="477"/>
      <c r="X325" s="477"/>
      <c r="Y325" s="477"/>
      <c r="Z325" s="477"/>
    </row>
    <row r="326" spans="1:26" ht="15" customHeight="1" x14ac:dyDescent="0.35">
      <c r="A326" s="477"/>
      <c r="B326" s="477"/>
      <c r="C326" s="477"/>
      <c r="D326" s="477"/>
      <c r="E326" s="477"/>
      <c r="F326" s="477"/>
      <c r="G326" s="477"/>
      <c r="H326" s="477"/>
      <c r="I326" s="477"/>
      <c r="J326" s="477"/>
      <c r="K326" s="477"/>
      <c r="L326" s="477"/>
      <c r="M326" s="477"/>
      <c r="N326" s="477"/>
      <c r="O326" s="477"/>
      <c r="P326" s="477"/>
      <c r="Q326" s="477"/>
      <c r="R326" s="477"/>
      <c r="S326" s="477"/>
      <c r="T326" s="477"/>
      <c r="U326" s="477"/>
      <c r="V326" s="477"/>
      <c r="W326" s="477"/>
      <c r="X326" s="477"/>
      <c r="Y326" s="477"/>
      <c r="Z326" s="477"/>
    </row>
    <row r="327" spans="1:26" ht="15" customHeight="1" x14ac:dyDescent="0.35">
      <c r="A327" s="477"/>
      <c r="B327" s="477"/>
      <c r="C327" s="477"/>
      <c r="D327" s="477"/>
      <c r="E327" s="477"/>
      <c r="F327" s="477"/>
      <c r="G327" s="477"/>
      <c r="H327" s="477"/>
      <c r="I327" s="477"/>
      <c r="J327" s="477"/>
      <c r="K327" s="477"/>
      <c r="L327" s="477"/>
      <c r="M327" s="477"/>
      <c r="N327" s="477"/>
      <c r="O327" s="477"/>
      <c r="P327" s="477"/>
      <c r="Q327" s="477"/>
      <c r="R327" s="477"/>
      <c r="S327" s="477"/>
      <c r="T327" s="477"/>
      <c r="U327" s="477"/>
      <c r="V327" s="477"/>
      <c r="W327" s="477"/>
      <c r="X327" s="477"/>
      <c r="Y327" s="477"/>
      <c r="Z327" s="477"/>
    </row>
    <row r="328" spans="1:26" ht="15" customHeight="1" x14ac:dyDescent="0.35">
      <c r="A328" s="477"/>
      <c r="B328" s="477"/>
      <c r="C328" s="477"/>
      <c r="D328" s="477"/>
      <c r="E328" s="477"/>
      <c r="F328" s="477"/>
      <c r="G328" s="477"/>
      <c r="H328" s="477"/>
      <c r="I328" s="477"/>
      <c r="J328" s="477"/>
      <c r="K328" s="477"/>
      <c r="L328" s="477"/>
      <c r="M328" s="477"/>
      <c r="N328" s="477"/>
      <c r="O328" s="477"/>
      <c r="P328" s="477"/>
      <c r="Q328" s="477"/>
      <c r="R328" s="477"/>
      <c r="S328" s="477"/>
      <c r="T328" s="477"/>
      <c r="U328" s="477"/>
      <c r="V328" s="477"/>
      <c r="W328" s="477"/>
      <c r="X328" s="477"/>
      <c r="Y328" s="477"/>
      <c r="Z328" s="477"/>
    </row>
    <row r="329" spans="1:26" ht="15" customHeight="1" x14ac:dyDescent="0.35">
      <c r="A329" s="477"/>
      <c r="B329" s="477"/>
      <c r="C329" s="477"/>
      <c r="D329" s="477"/>
      <c r="E329" s="477"/>
      <c r="F329" s="477"/>
      <c r="G329" s="477"/>
      <c r="H329" s="477"/>
      <c r="I329" s="477"/>
      <c r="J329" s="477"/>
      <c r="K329" s="477"/>
      <c r="L329" s="477"/>
      <c r="M329" s="477"/>
      <c r="N329" s="477"/>
      <c r="O329" s="477"/>
      <c r="P329" s="477"/>
      <c r="Q329" s="477"/>
      <c r="R329" s="477"/>
      <c r="S329" s="477"/>
      <c r="T329" s="477"/>
      <c r="U329" s="477"/>
      <c r="V329" s="477"/>
      <c r="W329" s="477"/>
      <c r="X329" s="477"/>
      <c r="Y329" s="477"/>
      <c r="Z329" s="477"/>
    </row>
    <row r="330" spans="1:26" ht="15" customHeight="1" x14ac:dyDescent="0.35">
      <c r="A330" s="477"/>
      <c r="B330" s="477"/>
      <c r="C330" s="477"/>
      <c r="D330" s="477"/>
      <c r="E330" s="477"/>
      <c r="F330" s="477"/>
      <c r="G330" s="477"/>
      <c r="H330" s="477"/>
      <c r="I330" s="477"/>
      <c r="J330" s="477"/>
      <c r="K330" s="477"/>
      <c r="L330" s="477"/>
      <c r="M330" s="477"/>
      <c r="N330" s="477"/>
      <c r="O330" s="477"/>
      <c r="P330" s="477"/>
      <c r="Q330" s="477"/>
      <c r="R330" s="477"/>
      <c r="S330" s="477"/>
      <c r="T330" s="477"/>
      <c r="U330" s="477"/>
      <c r="V330" s="477"/>
      <c r="W330" s="477"/>
      <c r="X330" s="477"/>
      <c r="Y330" s="477"/>
      <c r="Z330" s="477"/>
    </row>
    <row r="331" spans="1:26" ht="15" customHeight="1" x14ac:dyDescent="0.35">
      <c r="A331" s="477"/>
      <c r="B331" s="477"/>
      <c r="C331" s="477"/>
      <c r="D331" s="477"/>
      <c r="E331" s="477"/>
      <c r="F331" s="477"/>
      <c r="G331" s="477"/>
      <c r="H331" s="477"/>
      <c r="I331" s="477"/>
      <c r="J331" s="477"/>
      <c r="K331" s="477"/>
      <c r="L331" s="477"/>
      <c r="M331" s="477"/>
      <c r="N331" s="477"/>
      <c r="O331" s="477"/>
      <c r="P331" s="477"/>
      <c r="Q331" s="477"/>
      <c r="R331" s="477"/>
      <c r="S331" s="477"/>
      <c r="T331" s="477"/>
      <c r="U331" s="477"/>
      <c r="V331" s="477"/>
      <c r="W331" s="477"/>
      <c r="X331" s="477"/>
      <c r="Y331" s="477"/>
      <c r="Z331" s="477"/>
    </row>
    <row r="332" spans="1:26" ht="15" customHeight="1" x14ac:dyDescent="0.35">
      <c r="A332" s="477"/>
      <c r="B332" s="477"/>
      <c r="C332" s="477"/>
      <c r="D332" s="477"/>
      <c r="E332" s="477"/>
      <c r="F332" s="477"/>
      <c r="G332" s="477"/>
      <c r="H332" s="477"/>
      <c r="I332" s="477"/>
      <c r="J332" s="477"/>
      <c r="K332" s="477"/>
      <c r="L332" s="477"/>
      <c r="M332" s="477"/>
      <c r="N332" s="477"/>
      <c r="O332" s="477"/>
      <c r="P332" s="477"/>
      <c r="Q332" s="477"/>
      <c r="R332" s="477"/>
      <c r="S332" s="477"/>
      <c r="T332" s="477"/>
      <c r="U332" s="477"/>
      <c r="V332" s="477"/>
      <c r="W332" s="477"/>
      <c r="X332" s="477"/>
      <c r="Y332" s="477"/>
      <c r="Z332" s="477"/>
    </row>
    <row r="333" spans="1:26" ht="15" customHeight="1" x14ac:dyDescent="0.35">
      <c r="A333" s="477"/>
      <c r="B333" s="477"/>
      <c r="C333" s="477"/>
      <c r="D333" s="477"/>
      <c r="E333" s="477"/>
      <c r="F333" s="477"/>
      <c r="G333" s="477"/>
      <c r="H333" s="477"/>
      <c r="I333" s="477"/>
      <c r="J333" s="477"/>
      <c r="K333" s="477"/>
      <c r="L333" s="477"/>
      <c r="M333" s="477"/>
      <c r="N333" s="477"/>
      <c r="O333" s="477"/>
      <c r="P333" s="477"/>
      <c r="Q333" s="477"/>
      <c r="R333" s="477"/>
      <c r="S333" s="477"/>
      <c r="T333" s="477"/>
      <c r="U333" s="477"/>
      <c r="V333" s="477"/>
      <c r="W333" s="477"/>
      <c r="X333" s="477"/>
      <c r="Y333" s="477"/>
      <c r="Z333" s="477"/>
    </row>
    <row r="334" spans="1:26" ht="15" customHeight="1" x14ac:dyDescent="0.35">
      <c r="A334" s="477"/>
      <c r="B334" s="477"/>
      <c r="C334" s="477"/>
      <c r="D334" s="477"/>
      <c r="E334" s="477"/>
      <c r="F334" s="477"/>
      <c r="G334" s="477"/>
      <c r="H334" s="477"/>
      <c r="I334" s="477"/>
      <c r="J334" s="477"/>
      <c r="K334" s="477"/>
      <c r="L334" s="477"/>
      <c r="M334" s="477"/>
      <c r="N334" s="477"/>
      <c r="O334" s="477"/>
      <c r="P334" s="477"/>
      <c r="Q334" s="477"/>
      <c r="R334" s="477"/>
      <c r="S334" s="477"/>
      <c r="T334" s="477"/>
      <c r="U334" s="477"/>
      <c r="V334" s="477"/>
      <c r="W334" s="477"/>
      <c r="X334" s="477"/>
      <c r="Y334" s="477"/>
      <c r="Z334" s="477"/>
    </row>
    <row r="335" spans="1:26" ht="15" customHeight="1" x14ac:dyDescent="0.35">
      <c r="A335" s="477"/>
      <c r="B335" s="477"/>
      <c r="C335" s="477"/>
      <c r="D335" s="477"/>
      <c r="E335" s="477"/>
      <c r="F335" s="477"/>
      <c r="G335" s="477"/>
      <c r="H335" s="477"/>
      <c r="I335" s="477"/>
      <c r="J335" s="477"/>
      <c r="K335" s="477"/>
      <c r="L335" s="477"/>
      <c r="M335" s="477"/>
      <c r="N335" s="477"/>
      <c r="O335" s="477"/>
      <c r="P335" s="477"/>
      <c r="Q335" s="477"/>
      <c r="R335" s="477"/>
      <c r="S335" s="477"/>
      <c r="T335" s="477"/>
      <c r="U335" s="477"/>
      <c r="V335" s="477"/>
      <c r="W335" s="477"/>
      <c r="X335" s="477"/>
      <c r="Y335" s="477"/>
      <c r="Z335" s="477"/>
    </row>
    <row r="336" spans="1:26" ht="15" customHeight="1" x14ac:dyDescent="0.35">
      <c r="A336" s="477"/>
      <c r="B336" s="477"/>
      <c r="C336" s="477"/>
      <c r="D336" s="477"/>
      <c r="E336" s="477"/>
      <c r="F336" s="477"/>
      <c r="G336" s="477"/>
      <c r="H336" s="477"/>
      <c r="I336" s="477"/>
      <c r="J336" s="477"/>
      <c r="K336" s="477"/>
      <c r="L336" s="477"/>
      <c r="M336" s="477"/>
      <c r="N336" s="477"/>
      <c r="O336" s="477"/>
      <c r="P336" s="477"/>
      <c r="Q336" s="477"/>
      <c r="R336" s="477"/>
      <c r="S336" s="477"/>
      <c r="T336" s="477"/>
      <c r="U336" s="477"/>
      <c r="V336" s="477"/>
      <c r="W336" s="477"/>
      <c r="X336" s="477"/>
      <c r="Y336" s="477"/>
      <c r="Z336" s="477"/>
    </row>
    <row r="337" spans="1:26" ht="15" customHeight="1" x14ac:dyDescent="0.35">
      <c r="A337" s="477"/>
      <c r="B337" s="477"/>
      <c r="C337" s="477"/>
      <c r="D337" s="477"/>
      <c r="E337" s="477"/>
      <c r="F337" s="477"/>
      <c r="G337" s="477"/>
      <c r="H337" s="477"/>
      <c r="I337" s="477"/>
      <c r="J337" s="477"/>
      <c r="K337" s="477"/>
      <c r="L337" s="477"/>
      <c r="M337" s="477"/>
      <c r="N337" s="477"/>
      <c r="O337" s="477"/>
      <c r="P337" s="477"/>
      <c r="Q337" s="477"/>
      <c r="R337" s="477"/>
      <c r="S337" s="477"/>
      <c r="T337" s="477"/>
      <c r="U337" s="477"/>
      <c r="V337" s="477"/>
      <c r="W337" s="477"/>
      <c r="X337" s="477"/>
      <c r="Y337" s="477"/>
      <c r="Z337" s="477"/>
    </row>
    <row r="338" spans="1:26" ht="15" customHeight="1" x14ac:dyDescent="0.35">
      <c r="A338" s="477"/>
      <c r="B338" s="477"/>
      <c r="C338" s="477"/>
      <c r="D338" s="477"/>
      <c r="E338" s="477"/>
      <c r="F338" s="477"/>
      <c r="G338" s="477"/>
      <c r="H338" s="477"/>
      <c r="I338" s="477"/>
      <c r="J338" s="477"/>
      <c r="K338" s="477"/>
      <c r="L338" s="477"/>
      <c r="M338" s="477"/>
      <c r="N338" s="477"/>
      <c r="O338" s="477"/>
      <c r="P338" s="477"/>
      <c r="Q338" s="477"/>
      <c r="R338" s="477"/>
      <c r="S338" s="477"/>
      <c r="T338" s="477"/>
      <c r="U338" s="477"/>
      <c r="V338" s="477"/>
      <c r="W338" s="477"/>
      <c r="X338" s="477"/>
      <c r="Y338" s="477"/>
      <c r="Z338" s="477"/>
    </row>
    <row r="339" spans="1:26" ht="15" customHeight="1" x14ac:dyDescent="0.35">
      <c r="A339" s="477"/>
      <c r="B339" s="477"/>
      <c r="C339" s="477"/>
      <c r="D339" s="477"/>
      <c r="E339" s="477"/>
      <c r="F339" s="477"/>
      <c r="G339" s="477"/>
      <c r="H339" s="477"/>
      <c r="I339" s="477"/>
      <c r="J339" s="477"/>
      <c r="K339" s="477"/>
      <c r="L339" s="477"/>
      <c r="M339" s="477"/>
      <c r="N339" s="477"/>
      <c r="O339" s="477"/>
      <c r="P339" s="477"/>
      <c r="Q339" s="477"/>
      <c r="R339" s="477"/>
      <c r="S339" s="477"/>
      <c r="T339" s="477"/>
      <c r="U339" s="477"/>
      <c r="V339" s="477"/>
      <c r="W339" s="477"/>
      <c r="X339" s="477"/>
      <c r="Y339" s="477"/>
      <c r="Z339" s="477"/>
    </row>
    <row r="340" spans="1:26" ht="15" customHeight="1" x14ac:dyDescent="0.35">
      <c r="A340" s="477"/>
      <c r="B340" s="477"/>
      <c r="C340" s="477"/>
      <c r="D340" s="477"/>
      <c r="E340" s="477"/>
      <c r="F340" s="477"/>
      <c r="G340" s="477"/>
      <c r="H340" s="477"/>
      <c r="I340" s="477"/>
      <c r="J340" s="477"/>
      <c r="K340" s="477"/>
      <c r="L340" s="477"/>
      <c r="M340" s="477"/>
      <c r="N340" s="477"/>
      <c r="O340" s="477"/>
      <c r="P340" s="477"/>
      <c r="Q340" s="477"/>
      <c r="R340" s="477"/>
      <c r="S340" s="477"/>
      <c r="T340" s="477"/>
      <c r="U340" s="477"/>
      <c r="V340" s="477"/>
      <c r="W340" s="477"/>
      <c r="X340" s="477"/>
      <c r="Y340" s="477"/>
      <c r="Z340" s="477"/>
    </row>
    <row r="341" spans="1:26" ht="15" customHeight="1" x14ac:dyDescent="0.35">
      <c r="A341" s="477"/>
      <c r="B341" s="477"/>
      <c r="C341" s="477"/>
      <c r="D341" s="477"/>
      <c r="E341" s="477"/>
      <c r="F341" s="477"/>
      <c r="G341" s="477"/>
      <c r="H341" s="477"/>
      <c r="I341" s="477"/>
      <c r="J341" s="477"/>
      <c r="K341" s="477"/>
      <c r="L341" s="477"/>
      <c r="M341" s="477"/>
      <c r="N341" s="477"/>
      <c r="O341" s="477"/>
      <c r="P341" s="477"/>
      <c r="Q341" s="477"/>
      <c r="R341" s="477"/>
      <c r="S341" s="477"/>
      <c r="T341" s="477"/>
      <c r="U341" s="477"/>
      <c r="V341" s="477"/>
      <c r="W341" s="477"/>
      <c r="X341" s="477"/>
      <c r="Y341" s="477"/>
      <c r="Z341" s="477"/>
    </row>
    <row r="342" spans="1:26" ht="15" customHeight="1" x14ac:dyDescent="0.35">
      <c r="A342" s="477"/>
      <c r="B342" s="477"/>
      <c r="C342" s="477"/>
      <c r="D342" s="477"/>
      <c r="E342" s="477"/>
      <c r="F342" s="477"/>
      <c r="G342" s="477"/>
      <c r="H342" s="477"/>
      <c r="I342" s="477"/>
      <c r="J342" s="477"/>
      <c r="K342" s="477"/>
      <c r="L342" s="477"/>
      <c r="M342" s="477"/>
      <c r="N342" s="477"/>
      <c r="O342" s="477"/>
      <c r="P342" s="477"/>
      <c r="Q342" s="477"/>
      <c r="R342" s="477"/>
      <c r="S342" s="477"/>
      <c r="T342" s="477"/>
      <c r="U342" s="477"/>
      <c r="V342" s="477"/>
      <c r="W342" s="477"/>
      <c r="X342" s="477"/>
      <c r="Y342" s="477"/>
      <c r="Z342" s="477"/>
    </row>
    <row r="343" spans="1:26" ht="15" customHeight="1" x14ac:dyDescent="0.35">
      <c r="A343" s="477"/>
      <c r="B343" s="477"/>
      <c r="C343" s="477"/>
      <c r="D343" s="477"/>
      <c r="E343" s="477"/>
      <c r="F343" s="477"/>
      <c r="G343" s="477"/>
      <c r="H343" s="477"/>
      <c r="I343" s="477"/>
      <c r="J343" s="477"/>
      <c r="K343" s="477"/>
      <c r="L343" s="477"/>
      <c r="M343" s="477"/>
      <c r="N343" s="477"/>
      <c r="O343" s="477"/>
      <c r="P343" s="477"/>
      <c r="Q343" s="477"/>
      <c r="R343" s="477"/>
      <c r="S343" s="477"/>
      <c r="T343" s="477"/>
      <c r="U343" s="477"/>
      <c r="V343" s="477"/>
      <c r="W343" s="477"/>
      <c r="X343" s="477"/>
      <c r="Y343" s="477"/>
      <c r="Z343" s="477"/>
    </row>
    <row r="344" spans="1:26" ht="15" customHeight="1" x14ac:dyDescent="0.35">
      <c r="A344" s="477"/>
      <c r="B344" s="477"/>
      <c r="C344" s="477"/>
      <c r="D344" s="477"/>
      <c r="E344" s="477"/>
      <c r="F344" s="477"/>
      <c r="G344" s="477"/>
      <c r="H344" s="477"/>
      <c r="I344" s="477"/>
      <c r="J344" s="477"/>
      <c r="K344" s="477"/>
      <c r="L344" s="477"/>
      <c r="M344" s="477"/>
      <c r="N344" s="477"/>
      <c r="O344" s="477"/>
      <c r="P344" s="477"/>
      <c r="Q344" s="477"/>
      <c r="R344" s="477"/>
      <c r="S344" s="477"/>
      <c r="T344" s="477"/>
      <c r="U344" s="477"/>
      <c r="V344" s="477"/>
      <c r="W344" s="477"/>
      <c r="X344" s="477"/>
      <c r="Y344" s="477"/>
      <c r="Z344" s="477"/>
    </row>
    <row r="345" spans="1:26" ht="15" customHeight="1" x14ac:dyDescent="0.35">
      <c r="A345" s="477"/>
      <c r="B345" s="477"/>
      <c r="C345" s="477"/>
      <c r="D345" s="477"/>
      <c r="E345" s="477"/>
      <c r="F345" s="477"/>
      <c r="G345" s="477"/>
      <c r="H345" s="477"/>
      <c r="I345" s="477"/>
      <c r="J345" s="477"/>
      <c r="K345" s="477"/>
      <c r="L345" s="477"/>
      <c r="M345" s="477"/>
      <c r="N345" s="477"/>
      <c r="O345" s="477"/>
      <c r="P345" s="477"/>
      <c r="Q345" s="477"/>
      <c r="R345" s="477"/>
      <c r="S345" s="477"/>
      <c r="T345" s="477"/>
      <c r="U345" s="477"/>
      <c r="V345" s="477"/>
      <c r="W345" s="477"/>
      <c r="X345" s="477"/>
      <c r="Y345" s="477"/>
      <c r="Z345" s="477"/>
    </row>
    <row r="346" spans="1:26" ht="15" customHeight="1" x14ac:dyDescent="0.35">
      <c r="A346" s="477"/>
      <c r="B346" s="477"/>
      <c r="C346" s="477"/>
      <c r="D346" s="477"/>
      <c r="E346" s="477"/>
      <c r="F346" s="477"/>
      <c r="G346" s="477"/>
      <c r="H346" s="477"/>
      <c r="I346" s="477"/>
      <c r="J346" s="477"/>
      <c r="K346" s="477"/>
      <c r="L346" s="477"/>
      <c r="M346" s="477"/>
      <c r="N346" s="477"/>
      <c r="O346" s="477"/>
      <c r="P346" s="477"/>
      <c r="Q346" s="477"/>
      <c r="R346" s="477"/>
      <c r="S346" s="477"/>
      <c r="T346" s="477"/>
      <c r="U346" s="477"/>
      <c r="V346" s="477"/>
      <c r="W346" s="477"/>
      <c r="X346" s="477"/>
      <c r="Y346" s="477"/>
      <c r="Z346" s="477"/>
    </row>
    <row r="347" spans="1:26" ht="15" customHeight="1" x14ac:dyDescent="0.35">
      <c r="A347" s="477"/>
      <c r="B347" s="477"/>
      <c r="C347" s="477"/>
      <c r="D347" s="477"/>
      <c r="E347" s="477"/>
      <c r="F347" s="477"/>
      <c r="G347" s="477"/>
      <c r="H347" s="477"/>
      <c r="I347" s="477"/>
      <c r="J347" s="477"/>
      <c r="K347" s="477"/>
      <c r="L347" s="477"/>
      <c r="M347" s="477"/>
      <c r="N347" s="477"/>
      <c r="O347" s="477"/>
      <c r="P347" s="477"/>
      <c r="Q347" s="477"/>
      <c r="R347" s="477"/>
      <c r="S347" s="477"/>
      <c r="T347" s="477"/>
      <c r="U347" s="477"/>
      <c r="V347" s="477"/>
      <c r="W347" s="477"/>
      <c r="X347" s="477"/>
      <c r="Y347" s="477"/>
      <c r="Z347" s="477"/>
    </row>
    <row r="348" spans="1:26" ht="15" customHeight="1" x14ac:dyDescent="0.35">
      <c r="A348" s="477"/>
      <c r="B348" s="477"/>
      <c r="C348" s="477"/>
      <c r="D348" s="477"/>
      <c r="E348" s="477"/>
      <c r="F348" s="477"/>
      <c r="G348" s="477"/>
      <c r="H348" s="477"/>
      <c r="I348" s="477"/>
      <c r="J348" s="477"/>
      <c r="K348" s="477"/>
      <c r="L348" s="477"/>
      <c r="M348" s="477"/>
      <c r="N348" s="477"/>
      <c r="O348" s="477"/>
      <c r="P348" s="477"/>
      <c r="Q348" s="477"/>
      <c r="R348" s="477"/>
      <c r="S348" s="477"/>
      <c r="T348" s="477"/>
      <c r="U348" s="477"/>
      <c r="V348" s="477"/>
      <c r="W348" s="477"/>
      <c r="X348" s="477"/>
      <c r="Y348" s="477"/>
      <c r="Z348" s="477"/>
    </row>
    <row r="349" spans="1:26" ht="15" customHeight="1" x14ac:dyDescent="0.35">
      <c r="A349" s="477"/>
      <c r="B349" s="477"/>
      <c r="C349" s="477"/>
      <c r="D349" s="477"/>
      <c r="E349" s="477"/>
      <c r="F349" s="477"/>
      <c r="G349" s="477"/>
      <c r="H349" s="477"/>
      <c r="I349" s="477"/>
      <c r="J349" s="477"/>
      <c r="K349" s="477"/>
      <c r="L349" s="477"/>
      <c r="M349" s="477"/>
      <c r="N349" s="477"/>
      <c r="O349" s="477"/>
      <c r="P349" s="477"/>
      <c r="Q349" s="477"/>
      <c r="R349" s="477"/>
      <c r="S349" s="477"/>
      <c r="T349" s="477"/>
      <c r="U349" s="477"/>
      <c r="V349" s="477"/>
      <c r="W349" s="477"/>
      <c r="X349" s="477"/>
      <c r="Y349" s="477"/>
      <c r="Z349" s="477"/>
    </row>
    <row r="350" spans="1:26" ht="15" customHeight="1" x14ac:dyDescent="0.35">
      <c r="A350" s="477"/>
      <c r="B350" s="477"/>
      <c r="C350" s="477"/>
      <c r="D350" s="477"/>
      <c r="E350" s="477"/>
      <c r="F350" s="477"/>
      <c r="G350" s="477"/>
      <c r="H350" s="477"/>
      <c r="I350" s="477"/>
      <c r="J350" s="477"/>
      <c r="K350" s="477"/>
      <c r="L350" s="477"/>
      <c r="M350" s="477"/>
      <c r="N350" s="477"/>
      <c r="O350" s="477"/>
      <c r="P350" s="477"/>
      <c r="Q350" s="477"/>
      <c r="R350" s="477"/>
      <c r="S350" s="477"/>
      <c r="T350" s="477"/>
      <c r="U350" s="477"/>
      <c r="V350" s="477"/>
      <c r="W350" s="477"/>
      <c r="X350" s="477"/>
      <c r="Y350" s="477"/>
      <c r="Z350" s="477"/>
    </row>
    <row r="351" spans="1:26" ht="15" customHeight="1" x14ac:dyDescent="0.35">
      <c r="A351" s="477"/>
      <c r="B351" s="477"/>
      <c r="C351" s="477"/>
      <c r="D351" s="477"/>
      <c r="E351" s="477"/>
      <c r="F351" s="477"/>
      <c r="G351" s="477"/>
      <c r="H351" s="477"/>
      <c r="I351" s="477"/>
      <c r="J351" s="477"/>
      <c r="K351" s="477"/>
      <c r="L351" s="477"/>
      <c r="M351" s="477"/>
      <c r="N351" s="477"/>
      <c r="O351" s="477"/>
      <c r="P351" s="477"/>
      <c r="Q351" s="477"/>
      <c r="R351" s="477"/>
      <c r="S351" s="477"/>
      <c r="T351" s="477"/>
      <c r="U351" s="477"/>
      <c r="V351" s="477"/>
      <c r="W351" s="477"/>
      <c r="X351" s="477"/>
      <c r="Y351" s="477"/>
      <c r="Z351" s="477"/>
    </row>
    <row r="352" spans="1:26" ht="15" customHeight="1" x14ac:dyDescent="0.35">
      <c r="A352" s="477"/>
      <c r="B352" s="477"/>
      <c r="C352" s="477"/>
      <c r="D352" s="477"/>
      <c r="E352" s="477"/>
      <c r="F352" s="477"/>
      <c r="G352" s="477"/>
      <c r="H352" s="477"/>
      <c r="I352" s="477"/>
      <c r="J352" s="477"/>
      <c r="K352" s="477"/>
      <c r="L352" s="477"/>
      <c r="M352" s="477"/>
      <c r="N352" s="477"/>
      <c r="O352" s="477"/>
      <c r="P352" s="477"/>
      <c r="Q352" s="477"/>
      <c r="R352" s="477"/>
      <c r="S352" s="477"/>
      <c r="T352" s="477"/>
      <c r="U352" s="477"/>
      <c r="V352" s="477"/>
      <c r="W352" s="477"/>
      <c r="X352" s="477"/>
      <c r="Y352" s="477"/>
      <c r="Z352" s="477"/>
    </row>
    <row r="353" spans="1:26" ht="15" customHeight="1" x14ac:dyDescent="0.35">
      <c r="A353" s="477"/>
      <c r="B353" s="477"/>
      <c r="C353" s="477"/>
      <c r="D353" s="477"/>
      <c r="E353" s="477"/>
      <c r="F353" s="477"/>
      <c r="G353" s="477"/>
      <c r="H353" s="477"/>
      <c r="I353" s="477"/>
      <c r="J353" s="477"/>
      <c r="K353" s="477"/>
      <c r="L353" s="477"/>
      <c r="M353" s="477"/>
      <c r="N353" s="477"/>
      <c r="O353" s="477"/>
      <c r="P353" s="477"/>
      <c r="Q353" s="477"/>
      <c r="R353" s="477"/>
      <c r="S353" s="477"/>
      <c r="T353" s="477"/>
      <c r="U353" s="477"/>
      <c r="V353" s="477"/>
      <c r="W353" s="477"/>
      <c r="X353" s="477"/>
      <c r="Y353" s="477"/>
      <c r="Z353" s="477"/>
    </row>
    <row r="354" spans="1:26" ht="15" customHeight="1" x14ac:dyDescent="0.35">
      <c r="A354" s="477"/>
      <c r="B354" s="477"/>
      <c r="C354" s="477"/>
      <c r="D354" s="477"/>
      <c r="E354" s="477"/>
      <c r="F354" s="477"/>
      <c r="G354" s="477"/>
      <c r="H354" s="477"/>
      <c r="I354" s="477"/>
      <c r="J354" s="477"/>
      <c r="K354" s="477"/>
      <c r="L354" s="477"/>
      <c r="M354" s="477"/>
      <c r="N354" s="477"/>
      <c r="O354" s="477"/>
      <c r="P354" s="477"/>
      <c r="Q354" s="477"/>
      <c r="R354" s="477"/>
      <c r="S354" s="477"/>
      <c r="T354" s="477"/>
      <c r="U354" s="477"/>
      <c r="V354" s="477"/>
      <c r="W354" s="477"/>
      <c r="X354" s="477"/>
      <c r="Y354" s="477"/>
      <c r="Z354" s="477"/>
    </row>
    <row r="355" spans="1:26" ht="15" customHeight="1" x14ac:dyDescent="0.35">
      <c r="A355" s="477"/>
      <c r="B355" s="477"/>
      <c r="C355" s="477"/>
      <c r="D355" s="477"/>
      <c r="E355" s="477"/>
      <c r="F355" s="477"/>
      <c r="G355" s="477"/>
      <c r="H355" s="477"/>
      <c r="I355" s="477"/>
      <c r="J355" s="477"/>
      <c r="K355" s="477"/>
      <c r="L355" s="477"/>
      <c r="M355" s="477"/>
      <c r="N355" s="477"/>
      <c r="O355" s="477"/>
      <c r="P355" s="477"/>
      <c r="Q355" s="477"/>
      <c r="R355" s="477"/>
      <c r="S355" s="477"/>
      <c r="T355" s="477"/>
      <c r="U355" s="477"/>
      <c r="V355" s="477"/>
      <c r="W355" s="477"/>
      <c r="X355" s="477"/>
      <c r="Y355" s="477"/>
      <c r="Z355" s="477"/>
    </row>
    <row r="356" spans="1:26" ht="15" customHeight="1" x14ac:dyDescent="0.35">
      <c r="A356" s="477"/>
      <c r="B356" s="477"/>
      <c r="C356" s="477"/>
      <c r="D356" s="477"/>
      <c r="E356" s="477"/>
      <c r="F356" s="477"/>
      <c r="G356" s="477"/>
      <c r="H356" s="477"/>
      <c r="I356" s="477"/>
      <c r="J356" s="477"/>
      <c r="K356" s="477"/>
      <c r="L356" s="477"/>
      <c r="M356" s="477"/>
      <c r="N356" s="477"/>
      <c r="O356" s="477"/>
      <c r="P356" s="477"/>
      <c r="Q356" s="477"/>
      <c r="R356" s="477"/>
      <c r="S356" s="477"/>
      <c r="T356" s="477"/>
      <c r="U356" s="477"/>
      <c r="V356" s="477"/>
      <c r="W356" s="477"/>
      <c r="X356" s="477"/>
      <c r="Y356" s="477"/>
      <c r="Z356" s="477"/>
    </row>
    <row r="357" spans="1:26" ht="15" customHeight="1" x14ac:dyDescent="0.35">
      <c r="A357" s="477"/>
      <c r="B357" s="477"/>
      <c r="C357" s="477"/>
      <c r="D357" s="477"/>
      <c r="E357" s="477"/>
      <c r="F357" s="477"/>
      <c r="G357" s="477"/>
      <c r="H357" s="477"/>
      <c r="I357" s="477"/>
      <c r="J357" s="477"/>
      <c r="K357" s="477"/>
      <c r="L357" s="477"/>
      <c r="M357" s="477"/>
      <c r="N357" s="477"/>
      <c r="O357" s="477"/>
      <c r="P357" s="477"/>
      <c r="Q357" s="477"/>
      <c r="R357" s="477"/>
      <c r="S357" s="477"/>
      <c r="T357" s="477"/>
      <c r="U357" s="477"/>
      <c r="V357" s="477"/>
      <c r="W357" s="477"/>
      <c r="X357" s="477"/>
      <c r="Y357" s="477"/>
      <c r="Z357" s="477"/>
    </row>
    <row r="358" spans="1:26" ht="15" customHeight="1" x14ac:dyDescent="0.35">
      <c r="A358" s="477"/>
      <c r="B358" s="477"/>
      <c r="C358" s="477"/>
      <c r="D358" s="477"/>
      <c r="E358" s="477"/>
      <c r="F358" s="477"/>
      <c r="G358" s="477"/>
      <c r="H358" s="477"/>
      <c r="I358" s="477"/>
      <c r="J358" s="477"/>
      <c r="K358" s="477"/>
      <c r="L358" s="477"/>
      <c r="M358" s="477"/>
      <c r="N358" s="477"/>
      <c r="O358" s="477"/>
      <c r="P358" s="477"/>
      <c r="Q358" s="477"/>
      <c r="R358" s="477"/>
      <c r="S358" s="477"/>
      <c r="T358" s="477"/>
      <c r="U358" s="477"/>
      <c r="V358" s="477"/>
      <c r="W358" s="477"/>
      <c r="X358" s="477"/>
      <c r="Y358" s="477"/>
      <c r="Z358" s="477"/>
    </row>
    <row r="359" spans="1:26" ht="15" customHeight="1" x14ac:dyDescent="0.35">
      <c r="A359" s="477"/>
      <c r="B359" s="477"/>
      <c r="C359" s="477"/>
      <c r="D359" s="477"/>
      <c r="E359" s="477"/>
      <c r="F359" s="477"/>
      <c r="G359" s="477"/>
      <c r="H359" s="477"/>
      <c r="I359" s="477"/>
      <c r="J359" s="477"/>
      <c r="K359" s="477"/>
      <c r="L359" s="477"/>
      <c r="M359" s="477"/>
      <c r="N359" s="477"/>
      <c r="O359" s="477"/>
      <c r="P359" s="477"/>
      <c r="Q359" s="477"/>
      <c r="R359" s="477"/>
      <c r="S359" s="477"/>
      <c r="T359" s="477"/>
      <c r="U359" s="477"/>
      <c r="V359" s="477"/>
      <c r="W359" s="477"/>
      <c r="X359" s="477"/>
      <c r="Y359" s="477"/>
      <c r="Z359" s="477"/>
    </row>
    <row r="360" spans="1:26" ht="15" customHeight="1" x14ac:dyDescent="0.35">
      <c r="A360" s="477"/>
      <c r="B360" s="477"/>
      <c r="C360" s="477"/>
      <c r="D360" s="477"/>
      <c r="E360" s="477"/>
      <c r="F360" s="477"/>
      <c r="G360" s="477"/>
      <c r="H360" s="477"/>
      <c r="I360" s="477"/>
      <c r="J360" s="477"/>
      <c r="K360" s="477"/>
      <c r="L360" s="477"/>
      <c r="M360" s="477"/>
      <c r="N360" s="477"/>
      <c r="O360" s="477"/>
      <c r="P360" s="477"/>
      <c r="Q360" s="477"/>
      <c r="R360" s="477"/>
      <c r="S360" s="477"/>
      <c r="T360" s="477"/>
      <c r="U360" s="477"/>
      <c r="V360" s="477"/>
      <c r="W360" s="477"/>
      <c r="X360" s="477"/>
      <c r="Y360" s="477"/>
      <c r="Z360" s="477"/>
    </row>
    <row r="361" spans="1:26" ht="15" customHeight="1" x14ac:dyDescent="0.35">
      <c r="A361" s="477"/>
      <c r="B361" s="477"/>
      <c r="C361" s="477"/>
      <c r="D361" s="477"/>
      <c r="E361" s="477"/>
      <c r="F361" s="477"/>
      <c r="G361" s="477"/>
      <c r="H361" s="477"/>
      <c r="I361" s="477"/>
      <c r="J361" s="477"/>
      <c r="K361" s="477"/>
      <c r="L361" s="477"/>
      <c r="M361" s="477"/>
      <c r="N361" s="477"/>
      <c r="O361" s="477"/>
      <c r="P361" s="477"/>
      <c r="Q361" s="477"/>
      <c r="R361" s="477"/>
      <c r="S361" s="477"/>
      <c r="T361" s="477"/>
      <c r="U361" s="477"/>
      <c r="V361" s="477"/>
      <c r="W361" s="477"/>
      <c r="X361" s="477"/>
      <c r="Y361" s="477"/>
      <c r="Z361" s="477"/>
    </row>
    <row r="362" spans="1:26" ht="15" customHeight="1" x14ac:dyDescent="0.35">
      <c r="A362" s="477"/>
      <c r="B362" s="477"/>
      <c r="C362" s="477"/>
      <c r="D362" s="477"/>
      <c r="E362" s="477"/>
      <c r="F362" s="477"/>
      <c r="G362" s="477"/>
      <c r="H362" s="477"/>
      <c r="I362" s="477"/>
      <c r="J362" s="477"/>
      <c r="K362" s="477"/>
      <c r="L362" s="477"/>
      <c r="M362" s="477"/>
      <c r="N362" s="477"/>
      <c r="O362" s="477"/>
      <c r="P362" s="477"/>
      <c r="Q362" s="477"/>
      <c r="R362" s="477"/>
      <c r="S362" s="477"/>
      <c r="T362" s="477"/>
      <c r="U362" s="477"/>
      <c r="V362" s="477"/>
      <c r="W362" s="477"/>
      <c r="X362" s="477"/>
      <c r="Y362" s="477"/>
      <c r="Z362" s="477"/>
    </row>
    <row r="363" spans="1:26" ht="15" customHeight="1" x14ac:dyDescent="0.35">
      <c r="A363" s="477"/>
      <c r="B363" s="477"/>
      <c r="C363" s="477"/>
      <c r="D363" s="477"/>
      <c r="E363" s="477"/>
      <c r="F363" s="477"/>
      <c r="G363" s="477"/>
      <c r="H363" s="477"/>
      <c r="I363" s="477"/>
      <c r="J363" s="477"/>
      <c r="K363" s="477"/>
      <c r="L363" s="477"/>
      <c r="M363" s="477"/>
      <c r="N363" s="477"/>
      <c r="O363" s="477"/>
      <c r="P363" s="477"/>
      <c r="Q363" s="477"/>
      <c r="R363" s="477"/>
      <c r="S363" s="477"/>
      <c r="T363" s="477"/>
      <c r="U363" s="477"/>
      <c r="V363" s="477"/>
      <c r="W363" s="477"/>
      <c r="X363" s="477"/>
      <c r="Y363" s="477"/>
      <c r="Z363" s="477"/>
    </row>
    <row r="364" spans="1:26" ht="15" customHeight="1" x14ac:dyDescent="0.35">
      <c r="A364" s="477"/>
      <c r="B364" s="477"/>
      <c r="C364" s="477"/>
      <c r="D364" s="477"/>
      <c r="E364" s="477"/>
      <c r="F364" s="477"/>
      <c r="G364" s="477"/>
      <c r="H364" s="477"/>
      <c r="I364" s="477"/>
      <c r="J364" s="477"/>
      <c r="K364" s="477"/>
      <c r="L364" s="477"/>
      <c r="M364" s="477"/>
      <c r="N364" s="477"/>
      <c r="O364" s="477"/>
      <c r="P364" s="477"/>
      <c r="Q364" s="477"/>
      <c r="R364" s="477"/>
      <c r="S364" s="477"/>
      <c r="T364" s="477"/>
      <c r="U364" s="477"/>
      <c r="V364" s="477"/>
      <c r="W364" s="477"/>
      <c r="X364" s="477"/>
      <c r="Y364" s="477"/>
      <c r="Z364" s="477"/>
    </row>
    <row r="365" spans="1:26" ht="15" customHeight="1" x14ac:dyDescent="0.35">
      <c r="A365" s="477"/>
      <c r="B365" s="477"/>
      <c r="C365" s="477"/>
      <c r="D365" s="477"/>
      <c r="E365" s="477"/>
      <c r="F365" s="477"/>
      <c r="G365" s="477"/>
      <c r="H365" s="477"/>
      <c r="I365" s="477"/>
      <c r="J365" s="477"/>
      <c r="K365" s="477"/>
      <c r="L365" s="477"/>
      <c r="M365" s="477"/>
      <c r="N365" s="477"/>
      <c r="O365" s="477"/>
      <c r="P365" s="477"/>
      <c r="Q365" s="477"/>
      <c r="R365" s="477"/>
      <c r="S365" s="477"/>
      <c r="T365" s="477"/>
      <c r="U365" s="477"/>
      <c r="V365" s="477"/>
      <c r="W365" s="477"/>
      <c r="X365" s="477"/>
      <c r="Y365" s="477"/>
      <c r="Z365" s="477"/>
    </row>
    <row r="366" spans="1:26" ht="15" customHeight="1" x14ac:dyDescent="0.35">
      <c r="A366" s="477"/>
      <c r="B366" s="477"/>
      <c r="C366" s="477"/>
      <c r="D366" s="477"/>
      <c r="E366" s="477"/>
      <c r="F366" s="477"/>
      <c r="G366" s="477"/>
      <c r="H366" s="477"/>
      <c r="I366" s="477"/>
      <c r="J366" s="477"/>
      <c r="K366" s="477"/>
      <c r="L366" s="477"/>
      <c r="M366" s="477"/>
      <c r="N366" s="477"/>
      <c r="O366" s="477"/>
      <c r="P366" s="477"/>
      <c r="Q366" s="477"/>
      <c r="R366" s="477"/>
      <c r="S366" s="477"/>
      <c r="T366" s="477"/>
      <c r="U366" s="477"/>
      <c r="V366" s="477"/>
      <c r="W366" s="477"/>
      <c r="X366" s="477"/>
      <c r="Y366" s="477"/>
      <c r="Z366" s="477"/>
    </row>
    <row r="367" spans="1:26" ht="15" customHeight="1" x14ac:dyDescent="0.35">
      <c r="A367" s="477"/>
      <c r="B367" s="477"/>
      <c r="C367" s="477"/>
      <c r="D367" s="477"/>
      <c r="E367" s="477"/>
      <c r="F367" s="477"/>
      <c r="G367" s="477"/>
      <c r="H367" s="477"/>
      <c r="I367" s="477"/>
      <c r="J367" s="477"/>
      <c r="K367" s="477"/>
      <c r="L367" s="477"/>
      <c r="M367" s="477"/>
      <c r="N367" s="477"/>
      <c r="O367" s="477"/>
      <c r="P367" s="477"/>
      <c r="Q367" s="477"/>
      <c r="R367" s="477"/>
      <c r="S367" s="477"/>
      <c r="T367" s="477"/>
      <c r="U367" s="477"/>
      <c r="V367" s="477"/>
      <c r="W367" s="477"/>
      <c r="X367" s="477"/>
      <c r="Y367" s="477"/>
      <c r="Z367" s="477"/>
    </row>
    <row r="368" spans="1:26" ht="15" customHeight="1" x14ac:dyDescent="0.35">
      <c r="A368" s="477"/>
      <c r="B368" s="477"/>
      <c r="C368" s="477"/>
      <c r="D368" s="477"/>
      <c r="E368" s="477"/>
      <c r="F368" s="477"/>
      <c r="G368" s="477"/>
      <c r="H368" s="477"/>
      <c r="I368" s="477"/>
      <c r="J368" s="477"/>
      <c r="K368" s="477"/>
      <c r="L368" s="477"/>
      <c r="M368" s="477"/>
      <c r="N368" s="477"/>
      <c r="O368" s="477"/>
      <c r="P368" s="477"/>
      <c r="Q368" s="477"/>
      <c r="R368" s="477"/>
      <c r="S368" s="477"/>
      <c r="T368" s="477"/>
      <c r="U368" s="477"/>
      <c r="V368" s="477"/>
      <c r="W368" s="477"/>
      <c r="X368" s="477"/>
      <c r="Y368" s="477"/>
      <c r="Z368" s="477"/>
    </row>
    <row r="369" spans="1:26" ht="15" customHeight="1" x14ac:dyDescent="0.35">
      <c r="A369" s="477"/>
      <c r="B369" s="477"/>
      <c r="C369" s="477"/>
      <c r="D369" s="477"/>
      <c r="E369" s="477"/>
      <c r="F369" s="477"/>
      <c r="G369" s="477"/>
      <c r="H369" s="477"/>
      <c r="I369" s="477"/>
      <c r="J369" s="477"/>
      <c r="K369" s="477"/>
      <c r="L369" s="477"/>
      <c r="M369" s="477"/>
      <c r="N369" s="477"/>
      <c r="O369" s="477"/>
      <c r="P369" s="477"/>
      <c r="Q369" s="477"/>
      <c r="R369" s="477"/>
      <c r="S369" s="477"/>
      <c r="T369" s="477"/>
      <c r="U369" s="477"/>
      <c r="V369" s="477"/>
      <c r="W369" s="477"/>
      <c r="X369" s="477"/>
      <c r="Y369" s="477"/>
      <c r="Z369" s="477"/>
    </row>
    <row r="370" spans="1:26" ht="15" customHeight="1" x14ac:dyDescent="0.35">
      <c r="A370" s="477"/>
      <c r="B370" s="477"/>
      <c r="C370" s="477"/>
      <c r="D370" s="477"/>
      <c r="E370" s="477"/>
      <c r="F370" s="477"/>
      <c r="G370" s="477"/>
      <c r="H370" s="477"/>
      <c r="I370" s="477"/>
      <c r="J370" s="477"/>
      <c r="K370" s="477"/>
      <c r="L370" s="477"/>
      <c r="M370" s="477"/>
      <c r="N370" s="477"/>
      <c r="O370" s="477"/>
      <c r="P370" s="477"/>
      <c r="Q370" s="477"/>
      <c r="R370" s="477"/>
      <c r="S370" s="477"/>
      <c r="T370" s="477"/>
      <c r="U370" s="477"/>
      <c r="V370" s="477"/>
      <c r="W370" s="477"/>
      <c r="X370" s="477"/>
      <c r="Y370" s="477"/>
      <c r="Z370" s="477"/>
    </row>
    <row r="371" spans="1:26" ht="15" customHeight="1" x14ac:dyDescent="0.35">
      <c r="A371" s="477"/>
      <c r="B371" s="477"/>
      <c r="C371" s="477"/>
      <c r="D371" s="477"/>
      <c r="E371" s="477"/>
      <c r="F371" s="477"/>
      <c r="G371" s="477"/>
      <c r="H371" s="477"/>
      <c r="I371" s="477"/>
      <c r="J371" s="477"/>
      <c r="K371" s="477"/>
      <c r="L371" s="477"/>
      <c r="M371" s="477"/>
      <c r="N371" s="477"/>
      <c r="O371" s="477"/>
      <c r="P371" s="477"/>
      <c r="Q371" s="477"/>
      <c r="R371" s="477"/>
      <c r="S371" s="477"/>
      <c r="T371" s="477"/>
      <c r="U371" s="477"/>
      <c r="V371" s="477"/>
      <c r="W371" s="477"/>
      <c r="X371" s="477"/>
      <c r="Y371" s="477"/>
      <c r="Z371" s="477"/>
    </row>
    <row r="372" spans="1:26" ht="15" customHeight="1" x14ac:dyDescent="0.35">
      <c r="A372" s="477"/>
      <c r="B372" s="477"/>
      <c r="C372" s="477"/>
      <c r="D372" s="477"/>
      <c r="E372" s="477"/>
      <c r="F372" s="477"/>
      <c r="G372" s="477"/>
      <c r="H372" s="477"/>
      <c r="I372" s="477"/>
      <c r="J372" s="477"/>
      <c r="K372" s="477"/>
      <c r="L372" s="477"/>
      <c r="M372" s="477"/>
      <c r="N372" s="477"/>
      <c r="O372" s="477"/>
      <c r="P372" s="477"/>
      <c r="Q372" s="477"/>
      <c r="R372" s="477"/>
      <c r="S372" s="477"/>
      <c r="T372" s="477"/>
      <c r="U372" s="477"/>
      <c r="V372" s="477"/>
      <c r="W372" s="477"/>
      <c r="X372" s="477"/>
      <c r="Y372" s="477"/>
      <c r="Z372" s="477"/>
    </row>
    <row r="373" spans="1:26" ht="15" customHeight="1" x14ac:dyDescent="0.35">
      <c r="A373" s="477"/>
      <c r="B373" s="477"/>
      <c r="C373" s="477"/>
      <c r="D373" s="477"/>
      <c r="E373" s="477"/>
      <c r="F373" s="477"/>
      <c r="G373" s="477"/>
      <c r="H373" s="477"/>
      <c r="I373" s="477"/>
      <c r="J373" s="477"/>
      <c r="K373" s="477"/>
      <c r="L373" s="477"/>
      <c r="M373" s="477"/>
      <c r="N373" s="477"/>
      <c r="O373" s="477"/>
      <c r="P373" s="477"/>
      <c r="Q373" s="477"/>
      <c r="R373" s="477"/>
      <c r="S373" s="477"/>
      <c r="T373" s="477"/>
      <c r="U373" s="477"/>
      <c r="V373" s="477"/>
      <c r="W373" s="477"/>
      <c r="X373" s="477"/>
      <c r="Y373" s="477"/>
      <c r="Z373" s="477"/>
    </row>
    <row r="374" spans="1:26" ht="15" customHeight="1" x14ac:dyDescent="0.35">
      <c r="A374" s="477"/>
      <c r="B374" s="477"/>
      <c r="C374" s="477"/>
      <c r="D374" s="477"/>
      <c r="E374" s="477"/>
      <c r="F374" s="477"/>
      <c r="G374" s="477"/>
      <c r="H374" s="477"/>
      <c r="I374" s="477"/>
      <c r="J374" s="477"/>
      <c r="K374" s="477"/>
      <c r="L374" s="477"/>
      <c r="M374" s="477"/>
      <c r="N374" s="477"/>
      <c r="O374" s="477"/>
      <c r="P374" s="477"/>
      <c r="Q374" s="477"/>
      <c r="R374" s="477"/>
      <c r="S374" s="477"/>
      <c r="T374" s="477"/>
      <c r="U374" s="477"/>
      <c r="V374" s="477"/>
      <c r="W374" s="477"/>
      <c r="X374" s="477"/>
      <c r="Y374" s="477"/>
      <c r="Z374" s="477"/>
    </row>
    <row r="375" spans="1:26" ht="15" customHeight="1" x14ac:dyDescent="0.35">
      <c r="A375" s="477"/>
      <c r="B375" s="477"/>
      <c r="C375" s="477"/>
      <c r="D375" s="477"/>
      <c r="E375" s="477"/>
      <c r="F375" s="477"/>
      <c r="G375" s="477"/>
      <c r="H375" s="477"/>
      <c r="I375" s="477"/>
      <c r="J375" s="477"/>
      <c r="K375" s="477"/>
      <c r="L375" s="477"/>
      <c r="M375" s="477"/>
      <c r="N375" s="477"/>
      <c r="O375" s="477"/>
      <c r="P375" s="477"/>
      <c r="Q375" s="477"/>
      <c r="R375" s="477"/>
      <c r="S375" s="477"/>
      <c r="T375" s="477"/>
      <c r="U375" s="477"/>
      <c r="V375" s="477"/>
      <c r="W375" s="477"/>
      <c r="X375" s="477"/>
      <c r="Y375" s="477"/>
      <c r="Z375" s="477"/>
    </row>
    <row r="376" spans="1:26" ht="15" customHeight="1" x14ac:dyDescent="0.35">
      <c r="A376" s="477"/>
      <c r="B376" s="477"/>
      <c r="C376" s="477"/>
      <c r="D376" s="477"/>
      <c r="E376" s="477"/>
      <c r="F376" s="477"/>
      <c r="G376" s="477"/>
      <c r="H376" s="477"/>
      <c r="I376" s="477"/>
      <c r="J376" s="477"/>
      <c r="K376" s="477"/>
      <c r="L376" s="477"/>
      <c r="M376" s="477"/>
      <c r="N376" s="477"/>
      <c r="O376" s="477"/>
      <c r="P376" s="477"/>
      <c r="Q376" s="477"/>
      <c r="R376" s="477"/>
      <c r="S376" s="477"/>
      <c r="T376" s="477"/>
      <c r="U376" s="477"/>
      <c r="V376" s="477"/>
      <c r="W376" s="477"/>
      <c r="X376" s="477"/>
      <c r="Y376" s="477"/>
      <c r="Z376" s="477"/>
    </row>
    <row r="377" spans="1:26" ht="15" customHeight="1" x14ac:dyDescent="0.35">
      <c r="A377" s="477"/>
      <c r="B377" s="477"/>
      <c r="C377" s="477"/>
      <c r="D377" s="477"/>
      <c r="E377" s="477"/>
      <c r="F377" s="477"/>
      <c r="G377" s="477"/>
      <c r="H377" s="477"/>
      <c r="I377" s="477"/>
      <c r="J377" s="477"/>
      <c r="K377" s="477"/>
      <c r="L377" s="477"/>
      <c r="M377" s="477"/>
      <c r="N377" s="477"/>
      <c r="O377" s="477"/>
      <c r="P377" s="477"/>
      <c r="Q377" s="477"/>
      <c r="R377" s="477"/>
      <c r="S377" s="477"/>
      <c r="T377" s="477"/>
      <c r="U377" s="477"/>
      <c r="V377" s="477"/>
      <c r="W377" s="477"/>
      <c r="X377" s="477"/>
      <c r="Y377" s="477"/>
      <c r="Z377" s="477"/>
    </row>
    <row r="378" spans="1:26" ht="15" customHeight="1" x14ac:dyDescent="0.35">
      <c r="A378" s="477"/>
      <c r="B378" s="477"/>
      <c r="C378" s="477"/>
      <c r="D378" s="477"/>
      <c r="E378" s="477"/>
      <c r="F378" s="477"/>
      <c r="G378" s="477"/>
      <c r="H378" s="477"/>
      <c r="I378" s="477"/>
      <c r="J378" s="477"/>
      <c r="K378" s="477"/>
      <c r="L378" s="477"/>
      <c r="M378" s="477"/>
      <c r="N378" s="477"/>
      <c r="O378" s="477"/>
      <c r="P378" s="477"/>
      <c r="Q378" s="477"/>
      <c r="R378" s="477"/>
      <c r="S378" s="477"/>
      <c r="T378" s="477"/>
      <c r="U378" s="477"/>
      <c r="V378" s="477"/>
      <c r="W378" s="477"/>
      <c r="X378" s="477"/>
      <c r="Y378" s="477"/>
      <c r="Z378" s="477"/>
    </row>
    <row r="379" spans="1:26" ht="15" customHeight="1" x14ac:dyDescent="0.35">
      <c r="A379" s="477"/>
      <c r="B379" s="477"/>
      <c r="C379" s="477"/>
      <c r="D379" s="477"/>
      <c r="E379" s="477"/>
      <c r="F379" s="477"/>
      <c r="G379" s="477"/>
      <c r="H379" s="477"/>
      <c r="I379" s="477"/>
      <c r="J379" s="477"/>
      <c r="K379" s="477"/>
      <c r="L379" s="477"/>
      <c r="M379" s="477"/>
      <c r="N379" s="477"/>
      <c r="O379" s="477"/>
      <c r="P379" s="477"/>
      <c r="Q379" s="477"/>
      <c r="R379" s="477"/>
      <c r="S379" s="477"/>
      <c r="T379" s="477"/>
      <c r="U379" s="477"/>
      <c r="V379" s="477"/>
      <c r="W379" s="477"/>
      <c r="X379" s="477"/>
      <c r="Y379" s="477"/>
      <c r="Z379" s="477"/>
    </row>
    <row r="380" spans="1:26" ht="15" customHeight="1" x14ac:dyDescent="0.35">
      <c r="A380" s="477"/>
      <c r="B380" s="477"/>
      <c r="C380" s="477"/>
      <c r="D380" s="477"/>
      <c r="E380" s="477"/>
      <c r="F380" s="477"/>
      <c r="G380" s="477"/>
      <c r="H380" s="477"/>
      <c r="I380" s="477"/>
      <c r="J380" s="477"/>
      <c r="K380" s="477"/>
      <c r="L380" s="477"/>
      <c r="M380" s="477"/>
      <c r="N380" s="477"/>
      <c r="O380" s="477"/>
      <c r="P380" s="477"/>
      <c r="Q380" s="477"/>
      <c r="R380" s="477"/>
      <c r="S380" s="477"/>
      <c r="T380" s="477"/>
      <c r="U380" s="477"/>
      <c r="V380" s="477"/>
      <c r="W380" s="477"/>
      <c r="X380" s="477"/>
      <c r="Y380" s="477"/>
      <c r="Z380" s="477"/>
    </row>
    <row r="381" spans="1:26" ht="15" customHeight="1" x14ac:dyDescent="0.35">
      <c r="A381" s="477"/>
      <c r="B381" s="477"/>
      <c r="C381" s="477"/>
      <c r="D381" s="477"/>
      <c r="E381" s="477"/>
      <c r="F381" s="477"/>
      <c r="G381" s="477"/>
      <c r="H381" s="477"/>
      <c r="I381" s="477"/>
      <c r="J381" s="477"/>
      <c r="K381" s="477"/>
      <c r="L381" s="477"/>
      <c r="M381" s="477"/>
      <c r="N381" s="477"/>
      <c r="O381" s="477"/>
      <c r="P381" s="477"/>
      <c r="Q381" s="477"/>
      <c r="R381" s="477"/>
      <c r="S381" s="477"/>
      <c r="T381" s="477"/>
      <c r="U381" s="477"/>
      <c r="V381" s="477"/>
      <c r="W381" s="477"/>
      <c r="X381" s="477"/>
      <c r="Y381" s="477"/>
      <c r="Z381" s="477"/>
    </row>
    <row r="382" spans="1:26" ht="15" customHeight="1" x14ac:dyDescent="0.35">
      <c r="A382" s="477"/>
      <c r="B382" s="477"/>
      <c r="C382" s="477"/>
      <c r="D382" s="477"/>
      <c r="E382" s="477"/>
      <c r="F382" s="477"/>
      <c r="G382" s="477"/>
      <c r="H382" s="477"/>
      <c r="I382" s="477"/>
      <c r="J382" s="477"/>
      <c r="K382" s="477"/>
      <c r="L382" s="477"/>
      <c r="M382" s="477"/>
      <c r="N382" s="477"/>
      <c r="O382" s="477"/>
      <c r="P382" s="477"/>
      <c r="Q382" s="477"/>
      <c r="R382" s="477"/>
      <c r="S382" s="477"/>
      <c r="T382" s="477"/>
      <c r="U382" s="477"/>
      <c r="V382" s="477"/>
      <c r="W382" s="477"/>
      <c r="X382" s="477"/>
      <c r="Y382" s="477"/>
      <c r="Z382" s="477"/>
    </row>
    <row r="383" spans="1:26" ht="15" customHeight="1" x14ac:dyDescent="0.35">
      <c r="A383" s="477"/>
      <c r="B383" s="477"/>
      <c r="C383" s="477"/>
      <c r="D383" s="477"/>
      <c r="E383" s="477"/>
      <c r="F383" s="477"/>
      <c r="G383" s="477"/>
      <c r="H383" s="477"/>
      <c r="I383" s="477"/>
      <c r="J383" s="477"/>
      <c r="K383" s="477"/>
      <c r="L383" s="477"/>
      <c r="M383" s="477"/>
      <c r="N383" s="477"/>
      <c r="O383" s="477"/>
      <c r="P383" s="477"/>
      <c r="Q383" s="477"/>
      <c r="R383" s="477"/>
      <c r="S383" s="477"/>
      <c r="T383" s="477"/>
      <c r="U383" s="477"/>
      <c r="V383" s="477"/>
      <c r="W383" s="477"/>
      <c r="X383" s="477"/>
      <c r="Y383" s="477"/>
      <c r="Z383" s="477"/>
    </row>
    <row r="384" spans="1:26" ht="15" customHeight="1" x14ac:dyDescent="0.35">
      <c r="A384" s="477"/>
      <c r="B384" s="477"/>
      <c r="C384" s="477"/>
      <c r="D384" s="477"/>
      <c r="E384" s="477"/>
      <c r="F384" s="477"/>
      <c r="G384" s="477"/>
      <c r="H384" s="477"/>
      <c r="I384" s="477"/>
      <c r="J384" s="477"/>
      <c r="K384" s="477"/>
      <c r="L384" s="477"/>
      <c r="M384" s="477"/>
      <c r="N384" s="477"/>
      <c r="O384" s="477"/>
      <c r="P384" s="477"/>
      <c r="Q384" s="477"/>
      <c r="R384" s="477"/>
      <c r="S384" s="477"/>
      <c r="T384" s="477"/>
      <c r="U384" s="477"/>
      <c r="V384" s="477"/>
      <c r="W384" s="477"/>
      <c r="X384" s="477"/>
      <c r="Y384" s="477"/>
      <c r="Z384" s="477"/>
    </row>
    <row r="385" spans="1:26" ht="15" customHeight="1" x14ac:dyDescent="0.35">
      <c r="A385" s="477"/>
      <c r="B385" s="477"/>
      <c r="C385" s="477"/>
      <c r="D385" s="477"/>
      <c r="E385" s="477"/>
      <c r="F385" s="477"/>
      <c r="G385" s="477"/>
      <c r="H385" s="477"/>
      <c r="I385" s="477"/>
      <c r="J385" s="477"/>
      <c r="K385" s="477"/>
      <c r="L385" s="477"/>
      <c r="M385" s="477"/>
      <c r="N385" s="477"/>
      <c r="O385" s="477"/>
      <c r="P385" s="477"/>
      <c r="Q385" s="477"/>
      <c r="R385" s="477"/>
      <c r="S385" s="477"/>
      <c r="T385" s="477"/>
      <c r="U385" s="477"/>
      <c r="V385" s="477"/>
      <c r="W385" s="477"/>
      <c r="X385" s="477"/>
      <c r="Y385" s="477"/>
      <c r="Z385" s="477"/>
    </row>
    <row r="386" spans="1:26" ht="15" customHeight="1" x14ac:dyDescent="0.35">
      <c r="A386" s="477"/>
      <c r="B386" s="477"/>
      <c r="C386" s="477"/>
      <c r="D386" s="477"/>
      <c r="E386" s="477"/>
      <c r="F386" s="477"/>
      <c r="G386" s="477"/>
      <c r="H386" s="477"/>
      <c r="I386" s="477"/>
      <c r="J386" s="477"/>
      <c r="K386" s="477"/>
      <c r="L386" s="477"/>
      <c r="M386" s="477"/>
      <c r="N386" s="477"/>
      <c r="O386" s="477"/>
      <c r="P386" s="477"/>
      <c r="Q386" s="477"/>
      <c r="R386" s="477"/>
      <c r="S386" s="477"/>
      <c r="T386" s="477"/>
      <c r="U386" s="477"/>
      <c r="V386" s="477"/>
      <c r="W386" s="477"/>
      <c r="X386" s="477"/>
      <c r="Y386" s="477"/>
      <c r="Z386" s="477"/>
    </row>
    <row r="387" spans="1:26" ht="15" customHeight="1" x14ac:dyDescent="0.35">
      <c r="A387" s="477"/>
      <c r="B387" s="477"/>
      <c r="C387" s="477"/>
      <c r="D387" s="477"/>
      <c r="E387" s="477"/>
      <c r="F387" s="477"/>
      <c r="G387" s="477"/>
      <c r="H387" s="477"/>
      <c r="I387" s="477"/>
      <c r="J387" s="477"/>
      <c r="K387" s="477"/>
      <c r="L387" s="477"/>
      <c r="M387" s="477"/>
      <c r="N387" s="477"/>
      <c r="O387" s="477"/>
      <c r="P387" s="477"/>
      <c r="Q387" s="477"/>
      <c r="R387" s="477"/>
      <c r="S387" s="477"/>
      <c r="T387" s="477"/>
      <c r="U387" s="477"/>
      <c r="V387" s="477"/>
      <c r="W387" s="477"/>
      <c r="X387" s="477"/>
      <c r="Y387" s="477"/>
      <c r="Z387" s="477"/>
    </row>
    <row r="388" spans="1:26" ht="15" customHeight="1" x14ac:dyDescent="0.35">
      <c r="A388" s="477"/>
      <c r="B388" s="477"/>
      <c r="C388" s="477"/>
      <c r="D388" s="477"/>
      <c r="E388" s="477"/>
      <c r="F388" s="477"/>
      <c r="G388" s="477"/>
      <c r="H388" s="477"/>
      <c r="I388" s="477"/>
      <c r="J388" s="477"/>
      <c r="K388" s="477"/>
      <c r="L388" s="477"/>
      <c r="M388" s="477"/>
      <c r="N388" s="477"/>
      <c r="O388" s="477"/>
      <c r="P388" s="477"/>
      <c r="Q388" s="477"/>
      <c r="R388" s="477"/>
      <c r="S388" s="477"/>
      <c r="T388" s="477"/>
      <c r="U388" s="477"/>
      <c r="V388" s="477"/>
      <c r="W388" s="477"/>
      <c r="X388" s="477"/>
      <c r="Y388" s="477"/>
      <c r="Z388" s="477"/>
    </row>
    <row r="389" spans="1:26" ht="15" customHeight="1" x14ac:dyDescent="0.35">
      <c r="A389" s="477"/>
      <c r="B389" s="477"/>
      <c r="C389" s="477"/>
      <c r="D389" s="477"/>
      <c r="E389" s="477"/>
      <c r="F389" s="477"/>
      <c r="G389" s="477"/>
      <c r="H389" s="477"/>
      <c r="I389" s="477"/>
      <c r="J389" s="477"/>
      <c r="K389" s="477"/>
      <c r="L389" s="477"/>
      <c r="M389" s="477"/>
      <c r="N389" s="477"/>
      <c r="O389" s="477"/>
      <c r="P389" s="477"/>
      <c r="Q389" s="477"/>
      <c r="R389" s="477"/>
      <c r="S389" s="477"/>
      <c r="T389" s="477"/>
      <c r="U389" s="477"/>
      <c r="V389" s="477"/>
      <c r="W389" s="477"/>
      <c r="X389" s="477"/>
      <c r="Y389" s="477"/>
      <c r="Z389" s="477"/>
    </row>
    <row r="390" spans="1:26" ht="15" customHeight="1" x14ac:dyDescent="0.35">
      <c r="A390" s="477"/>
      <c r="B390" s="477"/>
      <c r="C390" s="477"/>
      <c r="D390" s="477"/>
      <c r="E390" s="477"/>
      <c r="F390" s="477"/>
      <c r="G390" s="477"/>
      <c r="H390" s="477"/>
      <c r="I390" s="477"/>
      <c r="J390" s="477"/>
      <c r="K390" s="477"/>
      <c r="L390" s="477"/>
      <c r="M390" s="477"/>
      <c r="N390" s="477"/>
      <c r="O390" s="477"/>
      <c r="P390" s="477"/>
      <c r="Q390" s="477"/>
      <c r="R390" s="477"/>
      <c r="S390" s="477"/>
      <c r="T390" s="477"/>
      <c r="U390" s="477"/>
      <c r="V390" s="477"/>
      <c r="W390" s="477"/>
      <c r="X390" s="477"/>
      <c r="Y390" s="477"/>
      <c r="Z390" s="477"/>
    </row>
    <row r="391" spans="1:26" ht="15" customHeight="1" x14ac:dyDescent="0.35">
      <c r="A391" s="477"/>
      <c r="B391" s="477"/>
      <c r="C391" s="477"/>
      <c r="D391" s="477"/>
      <c r="E391" s="477"/>
      <c r="F391" s="477"/>
      <c r="G391" s="477"/>
      <c r="H391" s="477"/>
      <c r="I391" s="477"/>
      <c r="J391" s="477"/>
      <c r="K391" s="477"/>
      <c r="L391" s="477"/>
      <c r="M391" s="477"/>
      <c r="N391" s="477"/>
      <c r="O391" s="477"/>
      <c r="P391" s="477"/>
      <c r="Q391" s="477"/>
      <c r="R391" s="477"/>
      <c r="S391" s="477"/>
      <c r="T391" s="477"/>
      <c r="U391" s="477"/>
      <c r="V391" s="477"/>
      <c r="W391" s="477"/>
      <c r="X391" s="477"/>
      <c r="Y391" s="477"/>
      <c r="Z391" s="477"/>
    </row>
    <row r="392" spans="1:26" ht="15" customHeight="1" x14ac:dyDescent="0.35">
      <c r="A392" s="477"/>
      <c r="B392" s="477"/>
      <c r="C392" s="477"/>
      <c r="D392" s="477"/>
      <c r="E392" s="477"/>
      <c r="F392" s="477"/>
      <c r="G392" s="477"/>
      <c r="H392" s="477"/>
      <c r="I392" s="477"/>
      <c r="J392" s="477"/>
      <c r="K392" s="477"/>
      <c r="L392" s="477"/>
      <c r="M392" s="477"/>
      <c r="N392" s="477"/>
      <c r="O392" s="477"/>
      <c r="P392" s="477"/>
      <c r="Q392" s="477"/>
      <c r="R392" s="477"/>
      <c r="S392" s="477"/>
      <c r="T392" s="477"/>
      <c r="U392" s="477"/>
      <c r="V392" s="477"/>
      <c r="W392" s="477"/>
      <c r="X392" s="477"/>
      <c r="Y392" s="477"/>
      <c r="Z392" s="477"/>
    </row>
    <row r="393" spans="1:26" ht="15" customHeight="1" x14ac:dyDescent="0.35">
      <c r="A393" s="477"/>
      <c r="B393" s="477"/>
      <c r="C393" s="477"/>
      <c r="D393" s="477"/>
      <c r="E393" s="477"/>
      <c r="F393" s="477"/>
      <c r="G393" s="477"/>
      <c r="H393" s="477"/>
      <c r="I393" s="477"/>
      <c r="J393" s="477"/>
      <c r="K393" s="477"/>
      <c r="L393" s="477"/>
      <c r="M393" s="477"/>
      <c r="N393" s="477"/>
      <c r="O393" s="477"/>
      <c r="P393" s="477"/>
      <c r="Q393" s="477"/>
      <c r="R393" s="477"/>
      <c r="S393" s="477"/>
      <c r="T393" s="477"/>
      <c r="U393" s="477"/>
      <c r="V393" s="477"/>
      <c r="W393" s="477"/>
      <c r="X393" s="477"/>
      <c r="Y393" s="477"/>
      <c r="Z393" s="477"/>
    </row>
    <row r="394" spans="1:26" ht="15" customHeight="1" x14ac:dyDescent="0.35">
      <c r="A394" s="477"/>
      <c r="B394" s="477"/>
      <c r="C394" s="477"/>
      <c r="D394" s="477"/>
      <c r="E394" s="477"/>
      <c r="F394" s="477"/>
      <c r="G394" s="477"/>
      <c r="H394" s="477"/>
      <c r="I394" s="477"/>
      <c r="J394" s="477"/>
      <c r="K394" s="477"/>
      <c r="L394" s="477"/>
      <c r="M394" s="477"/>
      <c r="N394" s="477"/>
      <c r="O394" s="477"/>
      <c r="P394" s="477"/>
      <c r="Q394" s="477"/>
      <c r="R394" s="477"/>
      <c r="S394" s="477"/>
      <c r="T394" s="477"/>
      <c r="U394" s="477"/>
      <c r="V394" s="477"/>
      <c r="W394" s="477"/>
      <c r="X394" s="477"/>
      <c r="Y394" s="477"/>
      <c r="Z394" s="477"/>
    </row>
    <row r="395" spans="1:26" ht="15" customHeight="1" x14ac:dyDescent="0.35">
      <c r="A395" s="477"/>
      <c r="B395" s="477"/>
      <c r="C395" s="477"/>
      <c r="D395" s="477"/>
      <c r="E395" s="477"/>
      <c r="F395" s="477"/>
      <c r="G395" s="477"/>
      <c r="H395" s="477"/>
      <c r="I395" s="477"/>
      <c r="J395" s="477"/>
      <c r="K395" s="477"/>
      <c r="L395" s="477"/>
      <c r="M395" s="477"/>
      <c r="N395" s="477"/>
      <c r="O395" s="477"/>
      <c r="P395" s="477"/>
      <c r="Q395" s="477"/>
      <c r="R395" s="477"/>
      <c r="S395" s="477"/>
      <c r="T395" s="477"/>
      <c r="U395" s="477"/>
      <c r="V395" s="477"/>
      <c r="W395" s="477"/>
      <c r="X395" s="477"/>
      <c r="Y395" s="477"/>
      <c r="Z395" s="477"/>
    </row>
    <row r="396" spans="1:26" ht="15" customHeight="1" x14ac:dyDescent="0.35">
      <c r="A396" s="477"/>
      <c r="B396" s="477"/>
      <c r="C396" s="477"/>
      <c r="D396" s="477"/>
      <c r="E396" s="477"/>
      <c r="F396" s="477"/>
      <c r="G396" s="477"/>
      <c r="H396" s="477"/>
      <c r="I396" s="477"/>
      <c r="J396" s="477"/>
      <c r="K396" s="477"/>
      <c r="L396" s="477"/>
      <c r="M396" s="477"/>
      <c r="N396" s="477"/>
      <c r="O396" s="477"/>
      <c r="P396" s="477"/>
      <c r="Q396" s="477"/>
      <c r="R396" s="477"/>
      <c r="S396" s="477"/>
      <c r="T396" s="477"/>
      <c r="U396" s="477"/>
      <c r="V396" s="477"/>
      <c r="W396" s="477"/>
      <c r="X396" s="477"/>
      <c r="Y396" s="477"/>
      <c r="Z396" s="477"/>
    </row>
    <row r="397" spans="1:26" ht="15" customHeight="1" x14ac:dyDescent="0.35">
      <c r="A397" s="477"/>
      <c r="B397" s="477"/>
      <c r="C397" s="477"/>
      <c r="D397" s="477"/>
      <c r="E397" s="477"/>
      <c r="F397" s="477"/>
      <c r="G397" s="477"/>
      <c r="H397" s="477"/>
      <c r="I397" s="477"/>
      <c r="J397" s="477"/>
      <c r="K397" s="477"/>
      <c r="L397" s="477"/>
      <c r="M397" s="477"/>
      <c r="N397" s="477"/>
      <c r="O397" s="477"/>
      <c r="P397" s="477"/>
      <c r="Q397" s="477"/>
      <c r="R397" s="477"/>
      <c r="S397" s="477"/>
      <c r="T397" s="477"/>
      <c r="U397" s="477"/>
      <c r="V397" s="477"/>
      <c r="W397" s="477"/>
      <c r="X397" s="477"/>
      <c r="Y397" s="477"/>
      <c r="Z397" s="477"/>
    </row>
    <row r="398" spans="1:26" ht="15" customHeight="1" x14ac:dyDescent="0.35">
      <c r="A398" s="477"/>
      <c r="B398" s="477"/>
      <c r="C398" s="477"/>
      <c r="D398" s="477"/>
      <c r="E398" s="477"/>
      <c r="F398" s="477"/>
      <c r="G398" s="477"/>
      <c r="H398" s="477"/>
      <c r="I398" s="477"/>
      <c r="J398" s="477"/>
      <c r="K398" s="477"/>
      <c r="L398" s="477"/>
      <c r="M398" s="477"/>
      <c r="N398" s="477"/>
      <c r="O398" s="477"/>
      <c r="P398" s="477"/>
      <c r="Q398" s="477"/>
      <c r="R398" s="477"/>
      <c r="S398" s="477"/>
      <c r="T398" s="477"/>
      <c r="U398" s="477"/>
      <c r="V398" s="477"/>
      <c r="W398" s="477"/>
      <c r="X398" s="477"/>
      <c r="Y398" s="477"/>
      <c r="Z398" s="477"/>
    </row>
    <row r="399" spans="1:26" ht="15" customHeight="1" x14ac:dyDescent="0.35">
      <c r="A399" s="477"/>
      <c r="B399" s="477"/>
      <c r="C399" s="477"/>
      <c r="D399" s="477"/>
      <c r="E399" s="477"/>
      <c r="F399" s="477"/>
      <c r="G399" s="477"/>
      <c r="H399" s="477"/>
      <c r="I399" s="477"/>
      <c r="J399" s="477"/>
      <c r="K399" s="477"/>
      <c r="L399" s="477"/>
      <c r="M399" s="477"/>
      <c r="N399" s="477"/>
      <c r="O399" s="477"/>
      <c r="P399" s="477"/>
      <c r="Q399" s="477"/>
      <c r="R399" s="477"/>
      <c r="S399" s="477"/>
      <c r="T399" s="477"/>
      <c r="U399" s="477"/>
      <c r="V399" s="477"/>
      <c r="W399" s="477"/>
      <c r="X399" s="477"/>
      <c r="Y399" s="477"/>
      <c r="Z399" s="477"/>
    </row>
    <row r="400" spans="1:26" ht="15" customHeight="1" x14ac:dyDescent="0.35">
      <c r="A400" s="477"/>
      <c r="B400" s="477"/>
      <c r="C400" s="477"/>
      <c r="D400" s="477"/>
      <c r="E400" s="477"/>
      <c r="F400" s="477"/>
      <c r="G400" s="477"/>
      <c r="H400" s="477"/>
      <c r="I400" s="477"/>
      <c r="J400" s="477"/>
      <c r="K400" s="477"/>
      <c r="L400" s="477"/>
      <c r="M400" s="477"/>
      <c r="N400" s="477"/>
      <c r="O400" s="477"/>
      <c r="P400" s="477"/>
      <c r="Q400" s="477"/>
      <c r="R400" s="477"/>
      <c r="S400" s="477"/>
      <c r="T400" s="477"/>
      <c r="U400" s="477"/>
      <c r="V400" s="477"/>
      <c r="W400" s="477"/>
      <c r="X400" s="477"/>
      <c r="Y400" s="477"/>
      <c r="Z400" s="477"/>
    </row>
    <row r="401" spans="1:26" ht="15" customHeight="1" x14ac:dyDescent="0.35">
      <c r="A401" s="477"/>
      <c r="B401" s="477"/>
      <c r="C401" s="477"/>
      <c r="D401" s="477"/>
      <c r="E401" s="477"/>
      <c r="F401" s="477"/>
      <c r="G401" s="477"/>
      <c r="H401" s="477"/>
      <c r="I401" s="477"/>
      <c r="J401" s="477"/>
      <c r="K401" s="477"/>
      <c r="L401" s="477"/>
      <c r="M401" s="477"/>
      <c r="N401" s="477"/>
      <c r="O401" s="477"/>
      <c r="P401" s="477"/>
      <c r="Q401" s="477"/>
      <c r="R401" s="477"/>
      <c r="S401" s="477"/>
      <c r="T401" s="477"/>
      <c r="U401" s="477"/>
      <c r="V401" s="477"/>
      <c r="W401" s="477"/>
      <c r="X401" s="477"/>
      <c r="Y401" s="477"/>
      <c r="Z401" s="477"/>
    </row>
    <row r="402" spans="1:26" ht="15" customHeight="1" x14ac:dyDescent="0.35">
      <c r="A402" s="477"/>
      <c r="B402" s="477"/>
      <c r="C402" s="477"/>
      <c r="D402" s="477"/>
      <c r="E402" s="477"/>
      <c r="F402" s="477"/>
      <c r="G402" s="477"/>
      <c r="H402" s="477"/>
      <c r="I402" s="477"/>
      <c r="J402" s="477"/>
      <c r="K402" s="477"/>
      <c r="L402" s="477"/>
      <c r="M402" s="477"/>
      <c r="N402" s="477"/>
      <c r="O402" s="477"/>
      <c r="P402" s="477"/>
      <c r="Q402" s="477"/>
      <c r="R402" s="477"/>
      <c r="S402" s="477"/>
      <c r="T402" s="477"/>
      <c r="U402" s="477"/>
      <c r="V402" s="477"/>
      <c r="W402" s="477"/>
      <c r="X402" s="477"/>
      <c r="Y402" s="477"/>
      <c r="Z402" s="477"/>
    </row>
    <row r="403" spans="1:26" ht="15" customHeight="1" x14ac:dyDescent="0.35">
      <c r="A403" s="477"/>
      <c r="B403" s="477"/>
      <c r="C403" s="477"/>
      <c r="D403" s="477"/>
      <c r="E403" s="477"/>
      <c r="F403" s="477"/>
      <c r="G403" s="477"/>
      <c r="H403" s="477"/>
      <c r="I403" s="477"/>
      <c r="J403" s="477"/>
      <c r="K403" s="477"/>
      <c r="L403" s="477"/>
      <c r="M403" s="477"/>
      <c r="N403" s="477"/>
      <c r="O403" s="477"/>
      <c r="P403" s="477"/>
      <c r="Q403" s="477"/>
      <c r="R403" s="477"/>
      <c r="S403" s="477"/>
      <c r="T403" s="477"/>
      <c r="U403" s="477"/>
      <c r="V403" s="477"/>
      <c r="W403" s="477"/>
      <c r="X403" s="477"/>
      <c r="Y403" s="477"/>
      <c r="Z403" s="477"/>
    </row>
    <row r="404" spans="1:26" ht="15" customHeight="1" x14ac:dyDescent="0.35">
      <c r="A404" s="477"/>
      <c r="B404" s="477"/>
      <c r="C404" s="477"/>
      <c r="D404" s="477"/>
      <c r="E404" s="477"/>
      <c r="F404" s="477"/>
      <c r="G404" s="477"/>
      <c r="H404" s="477"/>
      <c r="I404" s="477"/>
      <c r="J404" s="477"/>
      <c r="K404" s="477"/>
      <c r="L404" s="477"/>
      <c r="M404" s="477"/>
      <c r="N404" s="477"/>
      <c r="O404" s="477"/>
      <c r="P404" s="477"/>
      <c r="Q404" s="477"/>
      <c r="R404" s="477"/>
      <c r="S404" s="477"/>
      <c r="T404" s="477"/>
      <c r="U404" s="477"/>
      <c r="V404" s="477"/>
      <c r="W404" s="477"/>
      <c r="X404" s="477"/>
      <c r="Y404" s="477"/>
      <c r="Z404" s="477"/>
    </row>
    <row r="405" spans="1:26" ht="15" customHeight="1" x14ac:dyDescent="0.35">
      <c r="A405" s="477"/>
      <c r="B405" s="477"/>
      <c r="C405" s="477"/>
      <c r="D405" s="477"/>
      <c r="E405" s="477"/>
      <c r="F405" s="477"/>
      <c r="G405" s="477"/>
      <c r="H405" s="477"/>
      <c r="I405" s="477"/>
      <c r="J405" s="477"/>
      <c r="K405" s="477"/>
      <c r="L405" s="477"/>
      <c r="M405" s="477"/>
      <c r="N405" s="477"/>
      <c r="O405" s="477"/>
      <c r="P405" s="477"/>
      <c r="Q405" s="477"/>
      <c r="R405" s="477"/>
      <c r="S405" s="477"/>
      <c r="T405" s="477"/>
      <c r="U405" s="477"/>
      <c r="V405" s="477"/>
      <c r="W405" s="477"/>
      <c r="X405" s="477"/>
      <c r="Y405" s="477"/>
      <c r="Z405" s="477"/>
    </row>
    <row r="406" spans="1:26" ht="15" customHeight="1" x14ac:dyDescent="0.35">
      <c r="A406" s="477"/>
      <c r="B406" s="477"/>
      <c r="C406" s="477"/>
      <c r="D406" s="477"/>
      <c r="E406" s="477"/>
      <c r="F406" s="477"/>
      <c r="G406" s="477"/>
      <c r="H406" s="477"/>
      <c r="I406" s="477"/>
      <c r="J406" s="477"/>
      <c r="K406" s="477"/>
      <c r="L406" s="477"/>
      <c r="M406" s="477"/>
      <c r="N406" s="477"/>
      <c r="O406" s="477"/>
      <c r="P406" s="477"/>
      <c r="Q406" s="477"/>
      <c r="R406" s="477"/>
      <c r="S406" s="477"/>
      <c r="T406" s="477"/>
      <c r="U406" s="477"/>
      <c r="V406" s="477"/>
      <c r="W406" s="477"/>
      <c r="X406" s="477"/>
      <c r="Y406" s="477"/>
      <c r="Z406" s="477"/>
    </row>
    <row r="407" spans="1:26" ht="15" customHeight="1" x14ac:dyDescent="0.35">
      <c r="A407" s="477"/>
      <c r="B407" s="477"/>
      <c r="C407" s="477"/>
      <c r="D407" s="477"/>
      <c r="E407" s="477"/>
      <c r="F407" s="477"/>
      <c r="G407" s="477"/>
      <c r="H407" s="477"/>
      <c r="I407" s="477"/>
      <c r="J407" s="477"/>
      <c r="K407" s="477"/>
      <c r="L407" s="477"/>
      <c r="M407" s="477"/>
      <c r="N407" s="477"/>
      <c r="O407" s="477"/>
      <c r="P407" s="477"/>
      <c r="Q407" s="477"/>
      <c r="R407" s="477"/>
      <c r="S407" s="477"/>
      <c r="T407" s="477"/>
      <c r="U407" s="477"/>
      <c r="V407" s="477"/>
      <c r="W407" s="477"/>
      <c r="X407" s="477"/>
      <c r="Y407" s="477"/>
      <c r="Z407" s="477"/>
    </row>
    <row r="408" spans="1:26" ht="15" customHeight="1" x14ac:dyDescent="0.35">
      <c r="A408" s="477"/>
      <c r="B408" s="477"/>
      <c r="C408" s="477"/>
      <c r="D408" s="477"/>
      <c r="E408" s="477"/>
      <c r="F408" s="477"/>
      <c r="G408" s="477"/>
      <c r="H408" s="477"/>
      <c r="I408" s="477"/>
      <c r="J408" s="477"/>
      <c r="K408" s="477"/>
      <c r="L408" s="477"/>
      <c r="M408" s="477"/>
      <c r="N408" s="477"/>
      <c r="O408" s="477"/>
      <c r="P408" s="477"/>
      <c r="Q408" s="477"/>
      <c r="R408" s="477"/>
      <c r="S408" s="477"/>
      <c r="T408" s="477"/>
      <c r="U408" s="477"/>
      <c r="V408" s="477"/>
      <c r="W408" s="477"/>
      <c r="X408" s="477"/>
      <c r="Y408" s="477"/>
      <c r="Z408" s="477"/>
    </row>
    <row r="409" spans="1:26" ht="15" customHeight="1" x14ac:dyDescent="0.35">
      <c r="A409" s="477"/>
      <c r="B409" s="477"/>
      <c r="C409" s="477"/>
      <c r="D409" s="477"/>
      <c r="E409" s="477"/>
      <c r="F409" s="477"/>
      <c r="G409" s="477"/>
      <c r="H409" s="477"/>
      <c r="I409" s="477"/>
      <c r="J409" s="477"/>
      <c r="K409" s="477"/>
      <c r="L409" s="477"/>
      <c r="M409" s="477"/>
      <c r="N409" s="477"/>
      <c r="O409" s="477"/>
      <c r="P409" s="477"/>
      <c r="Q409" s="477"/>
      <c r="R409" s="477"/>
      <c r="S409" s="477"/>
      <c r="T409" s="477"/>
      <c r="U409" s="477"/>
      <c r="V409" s="477"/>
      <c r="W409" s="477"/>
      <c r="X409" s="477"/>
      <c r="Y409" s="477"/>
      <c r="Z409" s="477"/>
    </row>
    <row r="410" spans="1:26" ht="15" customHeight="1" x14ac:dyDescent="0.35">
      <c r="A410" s="477"/>
      <c r="B410" s="477"/>
      <c r="C410" s="477"/>
      <c r="D410" s="477"/>
      <c r="E410" s="477"/>
      <c r="F410" s="477"/>
      <c r="G410" s="477"/>
      <c r="H410" s="477"/>
      <c r="I410" s="477"/>
      <c r="J410" s="477"/>
      <c r="K410" s="477"/>
      <c r="L410" s="477"/>
      <c r="M410" s="477"/>
      <c r="N410" s="477"/>
      <c r="O410" s="477"/>
      <c r="P410" s="477"/>
      <c r="Q410" s="477"/>
      <c r="R410" s="477"/>
      <c r="S410" s="477"/>
      <c r="T410" s="477"/>
      <c r="U410" s="477"/>
      <c r="V410" s="477"/>
      <c r="W410" s="477"/>
      <c r="X410" s="477"/>
      <c r="Y410" s="477"/>
      <c r="Z410" s="477"/>
    </row>
    <row r="411" spans="1:26" ht="15" customHeight="1" x14ac:dyDescent="0.35">
      <c r="A411" s="477"/>
      <c r="B411" s="477"/>
      <c r="C411" s="477"/>
      <c r="D411" s="477"/>
      <c r="E411" s="477"/>
      <c r="F411" s="477"/>
      <c r="G411" s="477"/>
      <c r="H411" s="477"/>
      <c r="I411" s="477"/>
      <c r="J411" s="477"/>
      <c r="K411" s="477"/>
      <c r="L411" s="477"/>
      <c r="M411" s="477"/>
      <c r="N411" s="477"/>
      <c r="O411" s="477"/>
      <c r="P411" s="477"/>
      <c r="Q411" s="477"/>
      <c r="R411" s="477"/>
      <c r="S411" s="477"/>
      <c r="T411" s="477"/>
      <c r="U411" s="477"/>
      <c r="V411" s="477"/>
      <c r="W411" s="477"/>
      <c r="X411" s="477"/>
      <c r="Y411" s="477"/>
      <c r="Z411" s="477"/>
    </row>
    <row r="412" spans="1:26" ht="15" customHeight="1" x14ac:dyDescent="0.35">
      <c r="A412" s="477"/>
      <c r="B412" s="477"/>
      <c r="C412" s="477"/>
      <c r="D412" s="477"/>
      <c r="E412" s="477"/>
      <c r="F412" s="477"/>
      <c r="G412" s="477"/>
      <c r="H412" s="477"/>
      <c r="I412" s="477"/>
      <c r="J412" s="477"/>
      <c r="K412" s="477"/>
      <c r="L412" s="477"/>
      <c r="M412" s="477"/>
      <c r="N412" s="477"/>
      <c r="O412" s="477"/>
      <c r="P412" s="477"/>
      <c r="Q412" s="477"/>
      <c r="R412" s="477"/>
      <c r="S412" s="477"/>
      <c r="T412" s="477"/>
      <c r="U412" s="477"/>
      <c r="V412" s="477"/>
      <c r="W412" s="477"/>
      <c r="X412" s="477"/>
      <c r="Y412" s="477"/>
      <c r="Z412" s="477"/>
    </row>
    <row r="413" spans="1:26" ht="15" customHeight="1" x14ac:dyDescent="0.35">
      <c r="A413" s="477"/>
      <c r="B413" s="477"/>
      <c r="C413" s="477"/>
      <c r="D413" s="477"/>
      <c r="E413" s="477"/>
      <c r="F413" s="477"/>
      <c r="G413" s="477"/>
      <c r="H413" s="477"/>
      <c r="I413" s="477"/>
      <c r="J413" s="477"/>
      <c r="K413" s="477"/>
      <c r="L413" s="477"/>
      <c r="M413" s="477"/>
      <c r="N413" s="477"/>
      <c r="O413" s="477"/>
      <c r="P413" s="477"/>
      <c r="Q413" s="477"/>
      <c r="R413" s="477"/>
      <c r="S413" s="477"/>
      <c r="T413" s="477"/>
      <c r="U413" s="477"/>
      <c r="V413" s="477"/>
      <c r="W413" s="477"/>
      <c r="X413" s="477"/>
      <c r="Y413" s="477"/>
      <c r="Z413" s="477"/>
    </row>
    <row r="414" spans="1:26" ht="15" customHeight="1" x14ac:dyDescent="0.35">
      <c r="A414" s="477"/>
      <c r="B414" s="477"/>
      <c r="C414" s="477"/>
      <c r="D414" s="477"/>
      <c r="E414" s="477"/>
      <c r="F414" s="477"/>
      <c r="G414" s="477"/>
      <c r="H414" s="477"/>
      <c r="I414" s="477"/>
      <c r="J414" s="477"/>
      <c r="K414" s="477"/>
      <c r="L414" s="477"/>
      <c r="M414" s="477"/>
      <c r="N414" s="477"/>
      <c r="O414" s="477"/>
      <c r="P414" s="477"/>
      <c r="Q414" s="477"/>
      <c r="R414" s="477"/>
      <c r="S414" s="477"/>
      <c r="T414" s="477"/>
      <c r="U414" s="477"/>
      <c r="V414" s="477"/>
      <c r="W414" s="477"/>
      <c r="X414" s="477"/>
      <c r="Y414" s="477"/>
      <c r="Z414" s="477"/>
    </row>
    <row r="415" spans="1:26" ht="15" customHeight="1" x14ac:dyDescent="0.35">
      <c r="A415" s="477"/>
      <c r="B415" s="477"/>
      <c r="C415" s="477"/>
      <c r="D415" s="477"/>
      <c r="E415" s="477"/>
      <c r="F415" s="477"/>
      <c r="G415" s="477"/>
      <c r="H415" s="477"/>
      <c r="I415" s="477"/>
      <c r="J415" s="477"/>
      <c r="K415" s="477"/>
      <c r="L415" s="477"/>
      <c r="M415" s="477"/>
      <c r="N415" s="477"/>
      <c r="O415" s="477"/>
      <c r="P415" s="477"/>
      <c r="Q415" s="477"/>
      <c r="R415" s="477"/>
      <c r="S415" s="477"/>
      <c r="T415" s="477"/>
      <c r="U415" s="477"/>
      <c r="V415" s="477"/>
      <c r="W415" s="477"/>
      <c r="X415" s="477"/>
      <c r="Y415" s="477"/>
      <c r="Z415" s="477"/>
    </row>
    <row r="416" spans="1:26" ht="15" customHeight="1" x14ac:dyDescent="0.35">
      <c r="A416" s="477"/>
      <c r="B416" s="477"/>
      <c r="C416" s="477"/>
      <c r="D416" s="477"/>
      <c r="E416" s="477"/>
      <c r="F416" s="477"/>
      <c r="G416" s="477"/>
      <c r="H416" s="477"/>
      <c r="I416" s="477"/>
      <c r="J416" s="477"/>
      <c r="K416" s="477"/>
      <c r="L416" s="477"/>
      <c r="M416" s="477"/>
      <c r="N416" s="477"/>
      <c r="O416" s="477"/>
      <c r="P416" s="477"/>
      <c r="Q416" s="477"/>
      <c r="R416" s="477"/>
      <c r="S416" s="477"/>
      <c r="T416" s="477"/>
      <c r="U416" s="477"/>
      <c r="V416" s="477"/>
      <c r="W416" s="477"/>
      <c r="X416" s="477"/>
      <c r="Y416" s="477"/>
      <c r="Z416" s="477"/>
    </row>
    <row r="417" spans="1:26" ht="15" customHeight="1" x14ac:dyDescent="0.35">
      <c r="A417" s="477"/>
      <c r="B417" s="477"/>
      <c r="C417" s="477"/>
      <c r="D417" s="477"/>
      <c r="E417" s="477"/>
      <c r="F417" s="477"/>
      <c r="G417" s="477"/>
      <c r="H417" s="477"/>
      <c r="I417" s="477"/>
      <c r="J417" s="477"/>
      <c r="K417" s="477"/>
      <c r="L417" s="477"/>
      <c r="M417" s="477"/>
      <c r="N417" s="477"/>
      <c r="O417" s="477"/>
      <c r="P417" s="477"/>
      <c r="Q417" s="477"/>
      <c r="R417" s="477"/>
      <c r="S417" s="477"/>
      <c r="T417" s="477"/>
      <c r="U417" s="477"/>
      <c r="V417" s="477"/>
      <c r="W417" s="477"/>
      <c r="X417" s="477"/>
      <c r="Y417" s="477"/>
      <c r="Z417" s="477"/>
    </row>
    <row r="418" spans="1:26" ht="15" customHeight="1" x14ac:dyDescent="0.35">
      <c r="A418" s="477"/>
      <c r="B418" s="477"/>
      <c r="C418" s="477"/>
      <c r="D418" s="477"/>
      <c r="E418" s="477"/>
      <c r="F418" s="477"/>
      <c r="G418" s="477"/>
      <c r="H418" s="477"/>
      <c r="I418" s="477"/>
      <c r="J418" s="477"/>
      <c r="K418" s="477"/>
      <c r="L418" s="477"/>
      <c r="M418" s="477"/>
      <c r="N418" s="477"/>
      <c r="O418" s="477"/>
      <c r="P418" s="477"/>
      <c r="Q418" s="477"/>
      <c r="R418" s="477"/>
      <c r="S418" s="477"/>
      <c r="T418" s="477"/>
      <c r="U418" s="477"/>
      <c r="V418" s="477"/>
      <c r="W418" s="477"/>
      <c r="X418" s="477"/>
      <c r="Y418" s="477"/>
      <c r="Z418" s="477"/>
    </row>
    <row r="419" spans="1:26" ht="15" customHeight="1" x14ac:dyDescent="0.35">
      <c r="A419" s="477"/>
      <c r="B419" s="477"/>
      <c r="C419" s="477"/>
      <c r="D419" s="477"/>
      <c r="E419" s="477"/>
      <c r="F419" s="477"/>
      <c r="G419" s="477"/>
      <c r="H419" s="477"/>
      <c r="I419" s="477"/>
      <c r="J419" s="477"/>
      <c r="K419" s="477"/>
      <c r="L419" s="477"/>
      <c r="M419" s="477"/>
      <c r="N419" s="477"/>
      <c r="O419" s="477"/>
      <c r="P419" s="477"/>
      <c r="Q419" s="477"/>
      <c r="R419" s="477"/>
      <c r="S419" s="477"/>
      <c r="T419" s="477"/>
      <c r="U419" s="477"/>
      <c r="V419" s="477"/>
      <c r="W419" s="477"/>
      <c r="X419" s="477"/>
      <c r="Y419" s="477"/>
      <c r="Z419" s="477"/>
    </row>
    <row r="420" spans="1:26" ht="15" customHeight="1" x14ac:dyDescent="0.35">
      <c r="A420" s="477"/>
      <c r="B420" s="477"/>
      <c r="C420" s="477"/>
      <c r="D420" s="477"/>
      <c r="E420" s="477"/>
      <c r="F420" s="477"/>
      <c r="G420" s="477"/>
      <c r="H420" s="477"/>
      <c r="I420" s="477"/>
      <c r="J420" s="477"/>
      <c r="K420" s="477"/>
      <c r="L420" s="477"/>
      <c r="M420" s="477"/>
      <c r="N420" s="477"/>
      <c r="O420" s="477"/>
      <c r="P420" s="477"/>
      <c r="Q420" s="477"/>
      <c r="R420" s="477"/>
      <c r="S420" s="477"/>
      <c r="T420" s="477"/>
      <c r="U420" s="477"/>
      <c r="V420" s="477"/>
      <c r="W420" s="477"/>
      <c r="X420" s="477"/>
      <c r="Y420" s="477"/>
      <c r="Z420" s="477"/>
    </row>
    <row r="421" spans="1:26" ht="15" customHeight="1" x14ac:dyDescent="0.35">
      <c r="A421" s="477"/>
      <c r="B421" s="477"/>
      <c r="C421" s="477"/>
      <c r="D421" s="477"/>
      <c r="E421" s="477"/>
      <c r="F421" s="477"/>
      <c r="G421" s="477"/>
      <c r="H421" s="477"/>
      <c r="I421" s="477"/>
      <c r="J421" s="477"/>
      <c r="K421" s="477"/>
      <c r="L421" s="477"/>
      <c r="M421" s="477"/>
      <c r="N421" s="477"/>
      <c r="O421" s="477"/>
      <c r="P421" s="477"/>
      <c r="Q421" s="477"/>
      <c r="R421" s="477"/>
      <c r="S421" s="477"/>
      <c r="T421" s="477"/>
      <c r="U421" s="477"/>
      <c r="V421" s="477"/>
      <c r="W421" s="477"/>
      <c r="X421" s="477"/>
      <c r="Y421" s="477"/>
      <c r="Z421" s="477"/>
    </row>
    <row r="422" spans="1:26" ht="15" customHeight="1" x14ac:dyDescent="0.35">
      <c r="A422" s="477"/>
      <c r="B422" s="477"/>
      <c r="C422" s="477"/>
      <c r="D422" s="477"/>
      <c r="E422" s="477"/>
      <c r="F422" s="477"/>
      <c r="G422" s="477"/>
      <c r="H422" s="477"/>
      <c r="I422" s="477"/>
      <c r="J422" s="477"/>
      <c r="K422" s="477"/>
      <c r="L422" s="477"/>
      <c r="M422" s="477"/>
      <c r="N422" s="477"/>
      <c r="O422" s="477"/>
      <c r="P422" s="477"/>
      <c r="Q422" s="477"/>
      <c r="R422" s="477"/>
      <c r="S422" s="477"/>
      <c r="T422" s="477"/>
      <c r="U422" s="477"/>
      <c r="V422" s="477"/>
      <c r="W422" s="477"/>
      <c r="X422" s="477"/>
      <c r="Y422" s="477"/>
      <c r="Z422" s="477"/>
    </row>
    <row r="423" spans="1:26" ht="15" customHeight="1" x14ac:dyDescent="0.35">
      <c r="A423" s="477"/>
      <c r="B423" s="477"/>
      <c r="C423" s="477"/>
      <c r="D423" s="477"/>
      <c r="E423" s="477"/>
      <c r="F423" s="477"/>
      <c r="G423" s="477"/>
      <c r="H423" s="477"/>
      <c r="I423" s="477"/>
      <c r="J423" s="477"/>
      <c r="K423" s="477"/>
      <c r="L423" s="477"/>
      <c r="M423" s="477"/>
      <c r="N423" s="477"/>
      <c r="O423" s="477"/>
      <c r="P423" s="477"/>
      <c r="Q423" s="477"/>
      <c r="R423" s="477"/>
      <c r="S423" s="477"/>
      <c r="T423" s="477"/>
      <c r="U423" s="477"/>
      <c r="V423" s="477"/>
      <c r="W423" s="477"/>
      <c r="X423" s="477"/>
      <c r="Y423" s="477"/>
      <c r="Z423" s="477"/>
    </row>
    <row r="424" spans="1:26" ht="15" customHeight="1" x14ac:dyDescent="0.35">
      <c r="A424" s="477"/>
      <c r="B424" s="477"/>
      <c r="C424" s="477"/>
      <c r="D424" s="477"/>
      <c r="E424" s="477"/>
      <c r="F424" s="477"/>
      <c r="G424" s="477"/>
      <c r="H424" s="477"/>
      <c r="I424" s="477"/>
      <c r="J424" s="477"/>
      <c r="K424" s="477"/>
      <c r="L424" s="477"/>
      <c r="M424" s="477"/>
      <c r="N424" s="477"/>
      <c r="O424" s="477"/>
      <c r="P424" s="477"/>
      <c r="Q424" s="477"/>
      <c r="R424" s="477"/>
      <c r="S424" s="477"/>
      <c r="T424" s="477"/>
      <c r="U424" s="477"/>
      <c r="V424" s="477"/>
      <c r="W424" s="477"/>
      <c r="X424" s="477"/>
      <c r="Y424" s="477"/>
      <c r="Z424" s="477"/>
    </row>
    <row r="425" spans="1:26" ht="15" customHeight="1" x14ac:dyDescent="0.35">
      <c r="A425" s="477"/>
      <c r="B425" s="477"/>
      <c r="C425" s="477"/>
      <c r="D425" s="477"/>
      <c r="E425" s="477"/>
      <c r="F425" s="477"/>
      <c r="G425" s="477"/>
      <c r="H425" s="477"/>
      <c r="I425" s="477"/>
      <c r="J425" s="477"/>
      <c r="K425" s="477"/>
      <c r="L425" s="477"/>
      <c r="M425" s="477"/>
      <c r="N425" s="477"/>
      <c r="O425" s="477"/>
      <c r="P425" s="477"/>
      <c r="Q425" s="477"/>
      <c r="R425" s="477"/>
      <c r="S425" s="477"/>
      <c r="T425" s="477"/>
      <c r="U425" s="477"/>
      <c r="V425" s="477"/>
      <c r="W425" s="477"/>
      <c r="X425" s="477"/>
      <c r="Y425" s="477"/>
      <c r="Z425" s="477"/>
    </row>
    <row r="426" spans="1:26" ht="15" customHeight="1" x14ac:dyDescent="0.35">
      <c r="A426" s="477"/>
      <c r="B426" s="477"/>
      <c r="C426" s="477"/>
      <c r="D426" s="477"/>
      <c r="E426" s="477"/>
      <c r="F426" s="477"/>
      <c r="G426" s="477"/>
      <c r="H426" s="477"/>
      <c r="I426" s="477"/>
      <c r="J426" s="477"/>
      <c r="K426" s="477"/>
      <c r="L426" s="477"/>
      <c r="M426" s="477"/>
      <c r="N426" s="477"/>
      <c r="O426" s="477"/>
      <c r="P426" s="477"/>
      <c r="Q426" s="477"/>
      <c r="R426" s="477"/>
      <c r="S426" s="477"/>
      <c r="T426" s="477"/>
      <c r="U426" s="477"/>
      <c r="V426" s="477"/>
      <c r="W426" s="477"/>
      <c r="X426" s="477"/>
      <c r="Y426" s="477"/>
      <c r="Z426" s="477"/>
    </row>
    <row r="427" spans="1:26" ht="15" customHeight="1" x14ac:dyDescent="0.35">
      <c r="A427" s="477"/>
      <c r="B427" s="477"/>
      <c r="C427" s="477"/>
      <c r="D427" s="477"/>
      <c r="E427" s="477"/>
      <c r="F427" s="477"/>
      <c r="G427" s="477"/>
      <c r="H427" s="477"/>
      <c r="I427" s="477"/>
      <c r="J427" s="477"/>
      <c r="K427" s="477"/>
      <c r="L427" s="477"/>
      <c r="M427" s="477"/>
      <c r="N427" s="477"/>
      <c r="O427" s="477"/>
      <c r="P427" s="477"/>
      <c r="Q427" s="477"/>
      <c r="R427" s="477"/>
      <c r="S427" s="477"/>
      <c r="T427" s="477"/>
      <c r="U427" s="477"/>
      <c r="V427" s="477"/>
      <c r="W427" s="477"/>
      <c r="X427" s="477"/>
      <c r="Y427" s="477"/>
      <c r="Z427" s="477"/>
    </row>
    <row r="428" spans="1:26" ht="15" customHeight="1" x14ac:dyDescent="0.35">
      <c r="A428" s="477"/>
      <c r="B428" s="477"/>
      <c r="C428" s="477"/>
      <c r="D428" s="477"/>
      <c r="E428" s="477"/>
      <c r="F428" s="477"/>
      <c r="G428" s="477"/>
      <c r="H428" s="477"/>
      <c r="I428" s="477"/>
      <c r="J428" s="477"/>
      <c r="K428" s="477"/>
      <c r="L428" s="477"/>
      <c r="M428" s="477"/>
      <c r="N428" s="477"/>
      <c r="O428" s="477"/>
      <c r="P428" s="477"/>
      <c r="Q428" s="477"/>
      <c r="R428" s="477"/>
      <c r="S428" s="477"/>
      <c r="T428" s="477"/>
      <c r="U428" s="477"/>
      <c r="V428" s="477"/>
      <c r="W428" s="477"/>
      <c r="X428" s="477"/>
      <c r="Y428" s="477"/>
      <c r="Z428" s="477"/>
    </row>
    <row r="429" spans="1:26" ht="15" customHeight="1" x14ac:dyDescent="0.35">
      <c r="A429" s="477"/>
      <c r="B429" s="477"/>
      <c r="C429" s="477"/>
      <c r="D429" s="477"/>
      <c r="E429" s="477"/>
      <c r="F429" s="477"/>
      <c r="G429" s="477"/>
      <c r="H429" s="477"/>
      <c r="I429" s="477"/>
      <c r="J429" s="477"/>
      <c r="K429" s="477"/>
      <c r="L429" s="477"/>
      <c r="M429" s="477"/>
      <c r="N429" s="477"/>
      <c r="O429" s="477"/>
      <c r="P429" s="477"/>
      <c r="Q429" s="477"/>
      <c r="R429" s="477"/>
      <c r="S429" s="477"/>
      <c r="T429" s="477"/>
      <c r="U429" s="477"/>
      <c r="V429" s="477"/>
      <c r="W429" s="477"/>
      <c r="X429" s="477"/>
      <c r="Y429" s="477"/>
      <c r="Z429" s="477"/>
    </row>
    <row r="430" spans="1:26" ht="15" customHeight="1" x14ac:dyDescent="0.35">
      <c r="A430" s="477"/>
      <c r="B430" s="477"/>
      <c r="C430" s="477"/>
      <c r="D430" s="477"/>
      <c r="E430" s="477"/>
      <c r="F430" s="477"/>
      <c r="G430" s="477"/>
      <c r="H430" s="477"/>
      <c r="I430" s="477"/>
      <c r="J430" s="477"/>
      <c r="K430" s="477"/>
      <c r="L430" s="477"/>
      <c r="M430" s="477"/>
      <c r="N430" s="477"/>
      <c r="O430" s="477"/>
      <c r="P430" s="477"/>
      <c r="Q430" s="477"/>
      <c r="R430" s="477"/>
      <c r="S430" s="477"/>
      <c r="T430" s="477"/>
      <c r="U430" s="477"/>
      <c r="V430" s="477"/>
      <c r="W430" s="477"/>
      <c r="X430" s="477"/>
      <c r="Y430" s="477"/>
      <c r="Z430" s="477"/>
    </row>
    <row r="431" spans="1:26" ht="15" customHeight="1" x14ac:dyDescent="0.35">
      <c r="A431" s="477"/>
      <c r="B431" s="477"/>
      <c r="C431" s="477"/>
      <c r="D431" s="477"/>
      <c r="E431" s="477"/>
      <c r="F431" s="477"/>
      <c r="G431" s="477"/>
      <c r="H431" s="477"/>
      <c r="I431" s="477"/>
      <c r="J431" s="477"/>
      <c r="K431" s="477"/>
      <c r="L431" s="477"/>
      <c r="M431" s="477"/>
      <c r="N431" s="477"/>
      <c r="O431" s="477"/>
      <c r="P431" s="477"/>
      <c r="Q431" s="477"/>
      <c r="R431" s="477"/>
      <c r="S431" s="477"/>
      <c r="T431" s="477"/>
      <c r="U431" s="477"/>
      <c r="V431" s="477"/>
      <c r="W431" s="477"/>
      <c r="X431" s="477"/>
      <c r="Y431" s="477"/>
      <c r="Z431" s="477"/>
    </row>
    <row r="432" spans="1:26" ht="15" customHeight="1" x14ac:dyDescent="0.35">
      <c r="A432" s="477"/>
      <c r="B432" s="477"/>
      <c r="C432" s="477"/>
      <c r="D432" s="477"/>
      <c r="E432" s="477"/>
      <c r="F432" s="477"/>
      <c r="G432" s="477"/>
      <c r="H432" s="477"/>
      <c r="I432" s="477"/>
      <c r="J432" s="477"/>
      <c r="K432" s="477"/>
      <c r="L432" s="477"/>
      <c r="M432" s="477"/>
      <c r="N432" s="477"/>
      <c r="O432" s="477"/>
      <c r="P432" s="477"/>
      <c r="Q432" s="477"/>
      <c r="R432" s="477"/>
      <c r="S432" s="477"/>
      <c r="T432" s="477"/>
      <c r="U432" s="477"/>
      <c r="V432" s="477"/>
      <c r="W432" s="477"/>
      <c r="X432" s="477"/>
      <c r="Y432" s="477"/>
      <c r="Z432" s="477"/>
    </row>
    <row r="433" spans="1:26" ht="15" customHeight="1" x14ac:dyDescent="0.35">
      <c r="A433" s="477"/>
      <c r="B433" s="477"/>
      <c r="C433" s="477"/>
      <c r="D433" s="477"/>
      <c r="E433" s="477"/>
      <c r="F433" s="477"/>
      <c r="G433" s="477"/>
      <c r="H433" s="477"/>
      <c r="I433" s="477"/>
      <c r="J433" s="477"/>
      <c r="K433" s="477"/>
      <c r="L433" s="477"/>
      <c r="M433" s="477"/>
      <c r="N433" s="477"/>
      <c r="O433" s="477"/>
      <c r="P433" s="477"/>
      <c r="Q433" s="477"/>
      <c r="R433" s="477"/>
      <c r="S433" s="477"/>
      <c r="T433" s="477"/>
      <c r="U433" s="477"/>
      <c r="V433" s="477"/>
      <c r="W433" s="477"/>
      <c r="X433" s="477"/>
      <c r="Y433" s="477"/>
      <c r="Z433" s="477"/>
    </row>
    <row r="434" spans="1:26" ht="15" customHeight="1" x14ac:dyDescent="0.35">
      <c r="A434" s="477"/>
      <c r="B434" s="477"/>
      <c r="C434" s="477"/>
      <c r="D434" s="477"/>
      <c r="E434" s="477"/>
      <c r="F434" s="477"/>
      <c r="G434" s="477"/>
      <c r="H434" s="477"/>
      <c r="I434" s="477"/>
      <c r="J434" s="477"/>
      <c r="K434" s="477"/>
      <c r="L434" s="477"/>
      <c r="M434" s="477"/>
      <c r="N434" s="477"/>
      <c r="O434" s="477"/>
      <c r="P434" s="477"/>
      <c r="Q434" s="477"/>
      <c r="R434" s="477"/>
      <c r="S434" s="477"/>
      <c r="T434" s="477"/>
      <c r="U434" s="477"/>
      <c r="V434" s="477"/>
      <c r="W434" s="477"/>
      <c r="X434" s="477"/>
      <c r="Y434" s="477"/>
      <c r="Z434" s="477"/>
    </row>
    <row r="435" spans="1:26" ht="15" customHeight="1" x14ac:dyDescent="0.35">
      <c r="A435" s="477"/>
      <c r="B435" s="477"/>
      <c r="C435" s="477"/>
      <c r="D435" s="477"/>
      <c r="E435" s="477"/>
      <c r="F435" s="477"/>
      <c r="G435" s="477"/>
      <c r="H435" s="477"/>
      <c r="I435" s="477"/>
      <c r="J435" s="477"/>
      <c r="K435" s="477"/>
      <c r="L435" s="477"/>
      <c r="M435" s="477"/>
      <c r="N435" s="477"/>
      <c r="O435" s="477"/>
      <c r="P435" s="477"/>
      <c r="Q435" s="477"/>
      <c r="R435" s="477"/>
      <c r="S435" s="477"/>
      <c r="T435" s="477"/>
      <c r="U435" s="477"/>
      <c r="V435" s="477"/>
      <c r="W435" s="477"/>
      <c r="X435" s="477"/>
      <c r="Y435" s="477"/>
      <c r="Z435" s="477"/>
    </row>
    <row r="436" spans="1:26" ht="15" customHeight="1" x14ac:dyDescent="0.35">
      <c r="A436" s="477"/>
      <c r="B436" s="477"/>
      <c r="C436" s="477"/>
      <c r="D436" s="477"/>
      <c r="E436" s="477"/>
      <c r="F436" s="477"/>
      <c r="G436" s="477"/>
      <c r="H436" s="477"/>
      <c r="I436" s="477"/>
      <c r="J436" s="477"/>
      <c r="K436" s="477"/>
      <c r="L436" s="477"/>
      <c r="M436" s="477"/>
      <c r="N436" s="477"/>
      <c r="O436" s="477"/>
      <c r="P436" s="477"/>
      <c r="Q436" s="477"/>
      <c r="R436" s="477"/>
      <c r="S436" s="477"/>
      <c r="T436" s="477"/>
      <c r="U436" s="477"/>
      <c r="V436" s="477"/>
      <c r="W436" s="477"/>
      <c r="X436" s="477"/>
      <c r="Y436" s="477"/>
      <c r="Z436" s="477"/>
    </row>
    <row r="437" spans="1:26" ht="15" customHeight="1" x14ac:dyDescent="0.35">
      <c r="A437" s="477"/>
      <c r="B437" s="477"/>
      <c r="C437" s="477"/>
      <c r="D437" s="477"/>
      <c r="E437" s="477"/>
      <c r="F437" s="477"/>
      <c r="G437" s="477"/>
      <c r="H437" s="477"/>
      <c r="I437" s="477"/>
      <c r="J437" s="477"/>
      <c r="K437" s="477"/>
      <c r="L437" s="477"/>
      <c r="M437" s="477"/>
      <c r="N437" s="477"/>
      <c r="O437" s="477"/>
      <c r="P437" s="477"/>
      <c r="Q437" s="477"/>
      <c r="R437" s="477"/>
      <c r="S437" s="477"/>
      <c r="T437" s="477"/>
      <c r="U437" s="477"/>
      <c r="V437" s="477"/>
      <c r="W437" s="477"/>
      <c r="X437" s="477"/>
      <c r="Y437" s="477"/>
      <c r="Z437" s="477"/>
    </row>
    <row r="438" spans="1:26" ht="15" customHeight="1" x14ac:dyDescent="0.35">
      <c r="A438" s="477"/>
      <c r="B438" s="477"/>
      <c r="C438" s="477"/>
      <c r="D438" s="477"/>
      <c r="E438" s="477"/>
      <c r="F438" s="477"/>
      <c r="G438" s="477"/>
      <c r="H438" s="477"/>
      <c r="I438" s="477"/>
      <c r="J438" s="477"/>
      <c r="K438" s="477"/>
      <c r="L438" s="477"/>
      <c r="M438" s="477"/>
      <c r="N438" s="477"/>
      <c r="O438" s="477"/>
      <c r="P438" s="477"/>
      <c r="Q438" s="477"/>
      <c r="R438" s="477"/>
      <c r="S438" s="477"/>
      <c r="T438" s="477"/>
      <c r="U438" s="477"/>
      <c r="V438" s="477"/>
      <c r="W438" s="477"/>
      <c r="X438" s="477"/>
      <c r="Y438" s="477"/>
      <c r="Z438" s="477"/>
    </row>
    <row r="439" spans="1:26" ht="15" customHeight="1" x14ac:dyDescent="0.35">
      <c r="A439" s="477"/>
      <c r="B439" s="477"/>
      <c r="C439" s="477"/>
      <c r="D439" s="477"/>
      <c r="E439" s="477"/>
      <c r="F439" s="477"/>
      <c r="G439" s="477"/>
      <c r="H439" s="477"/>
      <c r="I439" s="477"/>
      <c r="J439" s="477"/>
      <c r="K439" s="477"/>
      <c r="L439" s="477"/>
      <c r="M439" s="477"/>
      <c r="N439" s="477"/>
      <c r="O439" s="477"/>
      <c r="P439" s="477"/>
      <c r="Q439" s="477"/>
      <c r="R439" s="477"/>
      <c r="S439" s="477"/>
      <c r="T439" s="477"/>
      <c r="U439" s="477"/>
      <c r="V439" s="477"/>
      <c r="W439" s="477"/>
      <c r="X439" s="477"/>
      <c r="Y439" s="477"/>
      <c r="Z439" s="477"/>
    </row>
    <row r="440" spans="1:26" ht="15" customHeight="1" x14ac:dyDescent="0.35">
      <c r="A440" s="477"/>
      <c r="B440" s="477"/>
      <c r="C440" s="477"/>
      <c r="D440" s="477"/>
      <c r="E440" s="477"/>
      <c r="F440" s="477"/>
      <c r="G440" s="477"/>
      <c r="H440" s="477"/>
      <c r="I440" s="477"/>
      <c r="J440" s="477"/>
      <c r="K440" s="477"/>
      <c r="L440" s="477"/>
      <c r="M440" s="477"/>
      <c r="N440" s="477"/>
      <c r="O440" s="477"/>
      <c r="P440" s="477"/>
      <c r="Q440" s="477"/>
      <c r="R440" s="477"/>
      <c r="S440" s="477"/>
      <c r="T440" s="477"/>
      <c r="U440" s="477"/>
      <c r="V440" s="477"/>
      <c r="W440" s="477"/>
      <c r="X440" s="477"/>
      <c r="Y440" s="477"/>
      <c r="Z440" s="477"/>
    </row>
    <row r="441" spans="1:26" ht="15" customHeight="1" x14ac:dyDescent="0.35">
      <c r="A441" s="477"/>
      <c r="B441" s="477"/>
      <c r="C441" s="477"/>
      <c r="D441" s="477"/>
      <c r="E441" s="477"/>
      <c r="F441" s="477"/>
      <c r="G441" s="477"/>
      <c r="H441" s="477"/>
      <c r="I441" s="477"/>
      <c r="J441" s="477"/>
      <c r="K441" s="477"/>
      <c r="L441" s="477"/>
      <c r="M441" s="477"/>
      <c r="N441" s="477"/>
      <c r="O441" s="477"/>
      <c r="P441" s="477"/>
      <c r="Q441" s="477"/>
      <c r="R441" s="477"/>
      <c r="S441" s="477"/>
      <c r="T441" s="477"/>
      <c r="U441" s="477"/>
      <c r="V441" s="477"/>
      <c r="W441" s="477"/>
      <c r="X441" s="477"/>
      <c r="Y441" s="477"/>
      <c r="Z441" s="477"/>
    </row>
    <row r="442" spans="1:26" ht="15" customHeight="1" x14ac:dyDescent="0.35">
      <c r="A442" s="477"/>
      <c r="B442" s="477"/>
      <c r="C442" s="477"/>
      <c r="D442" s="477"/>
      <c r="E442" s="477"/>
      <c r="F442" s="477"/>
      <c r="G442" s="477"/>
      <c r="H442" s="477"/>
      <c r="I442" s="477"/>
      <c r="J442" s="477"/>
      <c r="K442" s="477"/>
      <c r="L442" s="477"/>
      <c r="M442" s="477"/>
      <c r="N442" s="477"/>
      <c r="O442" s="477"/>
      <c r="P442" s="477"/>
      <c r="Q442" s="477"/>
      <c r="R442" s="477"/>
      <c r="S442" s="477"/>
      <c r="T442" s="477"/>
      <c r="U442" s="477"/>
      <c r="V442" s="477"/>
      <c r="W442" s="477"/>
      <c r="X442" s="477"/>
      <c r="Y442" s="477"/>
      <c r="Z442" s="477"/>
    </row>
    <row r="443" spans="1:26" ht="15" customHeight="1" x14ac:dyDescent="0.35">
      <c r="A443" s="477"/>
      <c r="B443" s="477"/>
      <c r="C443" s="477"/>
      <c r="D443" s="477"/>
      <c r="E443" s="477"/>
      <c r="F443" s="477"/>
      <c r="G443" s="477"/>
      <c r="H443" s="477"/>
      <c r="I443" s="477"/>
      <c r="J443" s="477"/>
      <c r="K443" s="477"/>
      <c r="L443" s="477"/>
      <c r="M443" s="477"/>
      <c r="N443" s="477"/>
      <c r="O443" s="477"/>
      <c r="P443" s="477"/>
      <c r="Q443" s="477"/>
      <c r="R443" s="477"/>
      <c r="S443" s="477"/>
      <c r="T443" s="477"/>
      <c r="U443" s="477"/>
      <c r="V443" s="477"/>
      <c r="W443" s="477"/>
      <c r="X443" s="477"/>
      <c r="Y443" s="477"/>
      <c r="Z443" s="477"/>
    </row>
    <row r="444" spans="1:26" ht="15" customHeight="1" x14ac:dyDescent="0.35">
      <c r="A444" s="477"/>
      <c r="B444" s="477"/>
      <c r="C444" s="477"/>
      <c r="D444" s="477"/>
      <c r="E444" s="477"/>
      <c r="F444" s="477"/>
      <c r="G444" s="477"/>
      <c r="H444" s="477"/>
      <c r="I444" s="477"/>
      <c r="J444" s="477"/>
      <c r="K444" s="477"/>
      <c r="L444" s="477"/>
      <c r="M444" s="477"/>
      <c r="N444" s="477"/>
      <c r="O444" s="477"/>
      <c r="P444" s="477"/>
      <c r="Q444" s="477"/>
      <c r="R444" s="477"/>
      <c r="S444" s="477"/>
      <c r="T444" s="477"/>
      <c r="U444" s="477"/>
      <c r="V444" s="477"/>
      <c r="W444" s="477"/>
      <c r="X444" s="477"/>
      <c r="Y444" s="477"/>
      <c r="Z444" s="477"/>
    </row>
    <row r="445" spans="1:26" ht="15" customHeight="1" x14ac:dyDescent="0.35">
      <c r="A445" s="477"/>
      <c r="B445" s="477"/>
      <c r="C445" s="477"/>
      <c r="D445" s="477"/>
      <c r="E445" s="477"/>
      <c r="F445" s="477"/>
      <c r="G445" s="477"/>
      <c r="H445" s="477"/>
      <c r="I445" s="477"/>
      <c r="J445" s="477"/>
      <c r="K445" s="477"/>
      <c r="L445" s="477"/>
      <c r="M445" s="477"/>
      <c r="N445" s="477"/>
      <c r="O445" s="477"/>
      <c r="P445" s="477"/>
      <c r="Q445" s="477"/>
      <c r="R445" s="477"/>
      <c r="S445" s="477"/>
      <c r="T445" s="477"/>
      <c r="U445" s="477"/>
      <c r="V445" s="477"/>
      <c r="W445" s="477"/>
      <c r="X445" s="477"/>
      <c r="Y445" s="477"/>
      <c r="Z445" s="477"/>
    </row>
    <row r="446" spans="1:26" ht="15" customHeight="1" x14ac:dyDescent="0.35">
      <c r="A446" s="477"/>
      <c r="B446" s="477"/>
      <c r="C446" s="477"/>
      <c r="D446" s="477"/>
      <c r="E446" s="477"/>
      <c r="F446" s="477"/>
      <c r="G446" s="477"/>
      <c r="H446" s="477"/>
      <c r="I446" s="477"/>
      <c r="J446" s="477"/>
      <c r="K446" s="477"/>
      <c r="L446" s="477"/>
      <c r="M446" s="477"/>
      <c r="N446" s="477"/>
      <c r="O446" s="477"/>
      <c r="P446" s="477"/>
      <c r="Q446" s="477"/>
      <c r="R446" s="477"/>
      <c r="S446" s="477"/>
      <c r="T446" s="477"/>
      <c r="U446" s="477"/>
      <c r="V446" s="477"/>
      <c r="W446" s="477"/>
      <c r="X446" s="477"/>
      <c r="Y446" s="477"/>
      <c r="Z446" s="477"/>
    </row>
    <row r="447" spans="1:26" ht="15" customHeight="1" x14ac:dyDescent="0.35">
      <c r="A447" s="477"/>
      <c r="B447" s="477"/>
      <c r="C447" s="477"/>
      <c r="D447" s="477"/>
      <c r="E447" s="477"/>
      <c r="F447" s="477"/>
      <c r="G447" s="477"/>
      <c r="H447" s="477"/>
      <c r="I447" s="477"/>
      <c r="J447" s="477"/>
      <c r="K447" s="477"/>
      <c r="L447" s="477"/>
      <c r="M447" s="477"/>
      <c r="N447" s="477"/>
      <c r="O447" s="477"/>
      <c r="P447" s="477"/>
      <c r="Q447" s="477"/>
      <c r="R447" s="477"/>
      <c r="S447" s="477"/>
      <c r="T447" s="477"/>
      <c r="U447" s="477"/>
      <c r="V447" s="477"/>
      <c r="W447" s="477"/>
      <c r="X447" s="477"/>
      <c r="Y447" s="477"/>
      <c r="Z447" s="477"/>
    </row>
    <row r="448" spans="1:26" ht="15" customHeight="1" x14ac:dyDescent="0.35">
      <c r="A448" s="477"/>
      <c r="B448" s="477"/>
      <c r="C448" s="477"/>
      <c r="D448" s="477"/>
      <c r="E448" s="477"/>
      <c r="F448" s="477"/>
      <c r="G448" s="477"/>
      <c r="H448" s="477"/>
      <c r="I448" s="477"/>
      <c r="J448" s="477"/>
      <c r="K448" s="477"/>
      <c r="L448" s="477"/>
      <c r="M448" s="477"/>
      <c r="N448" s="477"/>
      <c r="O448" s="477"/>
      <c r="P448" s="477"/>
      <c r="Q448" s="477"/>
      <c r="R448" s="477"/>
      <c r="S448" s="477"/>
      <c r="T448" s="477"/>
      <c r="U448" s="477"/>
      <c r="V448" s="477"/>
      <c r="W448" s="477"/>
      <c r="X448" s="477"/>
      <c r="Y448" s="477"/>
      <c r="Z448" s="477"/>
    </row>
    <row r="449" spans="1:26" ht="15" customHeight="1" x14ac:dyDescent="0.35">
      <c r="A449" s="477"/>
      <c r="B449" s="477"/>
      <c r="C449" s="477"/>
      <c r="D449" s="477"/>
      <c r="E449" s="477"/>
      <c r="F449" s="477"/>
      <c r="G449" s="477"/>
      <c r="H449" s="477"/>
      <c r="I449" s="477"/>
      <c r="J449" s="477"/>
      <c r="K449" s="477"/>
      <c r="L449" s="477"/>
      <c r="M449" s="477"/>
      <c r="N449" s="477"/>
      <c r="O449" s="477"/>
      <c r="P449" s="477"/>
      <c r="Q449" s="477"/>
      <c r="R449" s="477"/>
      <c r="S449" s="477"/>
      <c r="T449" s="477"/>
      <c r="U449" s="477"/>
      <c r="V449" s="477"/>
      <c r="W449" s="477"/>
      <c r="X449" s="477"/>
      <c r="Y449" s="477"/>
      <c r="Z449" s="477"/>
    </row>
    <row r="450" spans="1:26" ht="15" customHeight="1" x14ac:dyDescent="0.35">
      <c r="A450" s="477"/>
      <c r="B450" s="477"/>
      <c r="C450" s="477"/>
      <c r="D450" s="477"/>
      <c r="E450" s="477"/>
      <c r="F450" s="477"/>
      <c r="G450" s="477"/>
      <c r="H450" s="477"/>
      <c r="I450" s="477"/>
      <c r="J450" s="477"/>
      <c r="K450" s="477"/>
      <c r="L450" s="477"/>
      <c r="M450" s="477"/>
      <c r="N450" s="477"/>
      <c r="O450" s="477"/>
      <c r="P450" s="477"/>
      <c r="Q450" s="477"/>
      <c r="R450" s="477"/>
      <c r="S450" s="477"/>
      <c r="T450" s="477"/>
      <c r="U450" s="477"/>
      <c r="V450" s="477"/>
      <c r="W450" s="477"/>
      <c r="X450" s="477"/>
      <c r="Y450" s="477"/>
      <c r="Z450" s="477"/>
    </row>
    <row r="451" spans="1:26" ht="15" customHeight="1" x14ac:dyDescent="0.35">
      <c r="A451" s="477"/>
      <c r="B451" s="477"/>
      <c r="C451" s="477"/>
      <c r="D451" s="477"/>
      <c r="E451" s="477"/>
      <c r="F451" s="477"/>
      <c r="G451" s="477"/>
      <c r="H451" s="477"/>
      <c r="I451" s="477"/>
      <c r="J451" s="477"/>
      <c r="K451" s="477"/>
      <c r="L451" s="477"/>
      <c r="M451" s="477"/>
      <c r="N451" s="477"/>
      <c r="O451" s="477"/>
      <c r="P451" s="477"/>
      <c r="Q451" s="477"/>
      <c r="R451" s="477"/>
      <c r="S451" s="477"/>
      <c r="T451" s="477"/>
      <c r="U451" s="477"/>
      <c r="V451" s="477"/>
      <c r="W451" s="477"/>
      <c r="X451" s="477"/>
      <c r="Y451" s="477"/>
      <c r="Z451" s="477"/>
    </row>
    <row r="452" spans="1:26" ht="15" customHeight="1" x14ac:dyDescent="0.35">
      <c r="A452" s="477"/>
      <c r="B452" s="477"/>
      <c r="C452" s="477"/>
      <c r="D452" s="477"/>
      <c r="E452" s="477"/>
      <c r="F452" s="477"/>
      <c r="G452" s="477"/>
      <c r="H452" s="477"/>
      <c r="I452" s="477"/>
      <c r="J452" s="477"/>
      <c r="K452" s="477"/>
      <c r="L452" s="477"/>
      <c r="M452" s="477"/>
      <c r="N452" s="477"/>
      <c r="O452" s="477"/>
      <c r="P452" s="477"/>
      <c r="Q452" s="477"/>
      <c r="R452" s="477"/>
      <c r="S452" s="477"/>
      <c r="T452" s="477"/>
      <c r="U452" s="477"/>
      <c r="V452" s="477"/>
      <c r="W452" s="477"/>
      <c r="X452" s="477"/>
      <c r="Y452" s="477"/>
      <c r="Z452" s="477"/>
    </row>
    <row r="453" spans="1:26" ht="15" customHeight="1" x14ac:dyDescent="0.35">
      <c r="A453" s="477"/>
      <c r="B453" s="477"/>
      <c r="C453" s="477"/>
      <c r="D453" s="477"/>
      <c r="E453" s="477"/>
      <c r="F453" s="477"/>
      <c r="G453" s="477"/>
      <c r="H453" s="477"/>
      <c r="I453" s="477"/>
      <c r="J453" s="477"/>
      <c r="K453" s="477"/>
      <c r="L453" s="477"/>
      <c r="M453" s="477"/>
      <c r="N453" s="477"/>
      <c r="O453" s="477"/>
      <c r="P453" s="477"/>
      <c r="Q453" s="477"/>
      <c r="R453" s="477"/>
      <c r="S453" s="477"/>
      <c r="T453" s="477"/>
      <c r="U453" s="477"/>
      <c r="V453" s="477"/>
      <c r="W453" s="477"/>
      <c r="X453" s="477"/>
      <c r="Y453" s="477"/>
      <c r="Z453" s="477"/>
    </row>
    <row r="454" spans="1:26" ht="15" customHeight="1" x14ac:dyDescent="0.35">
      <c r="A454" s="477"/>
      <c r="B454" s="477"/>
      <c r="C454" s="477"/>
      <c r="D454" s="477"/>
      <c r="E454" s="477"/>
      <c r="F454" s="477"/>
      <c r="G454" s="477"/>
      <c r="H454" s="477"/>
      <c r="I454" s="477"/>
      <c r="J454" s="477"/>
      <c r="K454" s="477"/>
      <c r="L454" s="477"/>
      <c r="M454" s="477"/>
      <c r="N454" s="477"/>
      <c r="O454" s="477"/>
      <c r="P454" s="477"/>
      <c r="Q454" s="477"/>
      <c r="R454" s="477"/>
      <c r="S454" s="477"/>
      <c r="T454" s="477"/>
      <c r="U454" s="477"/>
      <c r="V454" s="477"/>
      <c r="W454" s="477"/>
      <c r="X454" s="477"/>
      <c r="Y454" s="477"/>
      <c r="Z454" s="477"/>
    </row>
    <row r="455" spans="1:26" ht="15" customHeight="1" x14ac:dyDescent="0.35">
      <c r="A455" s="477"/>
      <c r="B455" s="477"/>
      <c r="C455" s="477"/>
      <c r="D455" s="477"/>
      <c r="E455" s="477"/>
      <c r="F455" s="477"/>
      <c r="G455" s="477"/>
      <c r="H455" s="477"/>
      <c r="I455" s="477"/>
      <c r="J455" s="477"/>
      <c r="K455" s="477"/>
      <c r="L455" s="477"/>
      <c r="M455" s="477"/>
      <c r="N455" s="477"/>
      <c r="O455" s="477"/>
      <c r="P455" s="477"/>
      <c r="Q455" s="477"/>
      <c r="R455" s="477"/>
      <c r="S455" s="477"/>
      <c r="T455" s="477"/>
      <c r="U455" s="477"/>
      <c r="V455" s="477"/>
      <c r="W455" s="477"/>
      <c r="X455" s="477"/>
      <c r="Y455" s="477"/>
      <c r="Z455" s="477"/>
    </row>
    <row r="456" spans="1:26" ht="15" customHeight="1" x14ac:dyDescent="0.35">
      <c r="A456" s="477"/>
      <c r="B456" s="477"/>
      <c r="C456" s="477"/>
      <c r="D456" s="477"/>
      <c r="E456" s="477"/>
      <c r="F456" s="477"/>
      <c r="G456" s="477"/>
      <c r="H456" s="477"/>
      <c r="I456" s="477"/>
      <c r="J456" s="477"/>
      <c r="K456" s="477"/>
      <c r="L456" s="477"/>
      <c r="M456" s="477"/>
      <c r="N456" s="477"/>
      <c r="O456" s="477"/>
      <c r="P456" s="477"/>
      <c r="Q456" s="477"/>
      <c r="R456" s="477"/>
      <c r="S456" s="477"/>
      <c r="T456" s="477"/>
      <c r="U456" s="477"/>
      <c r="V456" s="477"/>
      <c r="W456" s="477"/>
      <c r="X456" s="477"/>
      <c r="Y456" s="477"/>
      <c r="Z456" s="477"/>
    </row>
    <row r="457" spans="1:26" ht="15" customHeight="1" x14ac:dyDescent="0.35">
      <c r="A457" s="477"/>
      <c r="B457" s="477"/>
      <c r="C457" s="477"/>
      <c r="D457" s="477"/>
      <c r="E457" s="477"/>
      <c r="F457" s="477"/>
      <c r="G457" s="477"/>
      <c r="H457" s="477"/>
      <c r="I457" s="477"/>
      <c r="J457" s="477"/>
      <c r="K457" s="477"/>
      <c r="L457" s="477"/>
      <c r="M457" s="477"/>
      <c r="N457" s="477"/>
      <c r="O457" s="477"/>
      <c r="P457" s="477"/>
      <c r="Q457" s="477"/>
      <c r="R457" s="477"/>
      <c r="S457" s="477"/>
      <c r="T457" s="477"/>
      <c r="U457" s="477"/>
      <c r="V457" s="477"/>
      <c r="W457" s="477"/>
      <c r="X457" s="477"/>
      <c r="Y457" s="477"/>
      <c r="Z457" s="477"/>
    </row>
    <row r="458" spans="1:26" ht="15" customHeight="1" x14ac:dyDescent="0.35">
      <c r="A458" s="477"/>
      <c r="B458" s="477"/>
      <c r="C458" s="477"/>
      <c r="D458" s="477"/>
      <c r="E458" s="477"/>
      <c r="F458" s="477"/>
      <c r="G458" s="477"/>
      <c r="H458" s="477"/>
      <c r="I458" s="477"/>
      <c r="J458" s="477"/>
      <c r="K458" s="477"/>
      <c r="L458" s="477"/>
      <c r="M458" s="477"/>
      <c r="N458" s="477"/>
      <c r="O458" s="477"/>
      <c r="P458" s="477"/>
      <c r="Q458" s="477"/>
      <c r="R458" s="477"/>
      <c r="S458" s="477"/>
      <c r="T458" s="477"/>
      <c r="U458" s="477"/>
      <c r="V458" s="477"/>
      <c r="W458" s="477"/>
      <c r="X458" s="477"/>
      <c r="Y458" s="477"/>
      <c r="Z458" s="477"/>
    </row>
    <row r="459" spans="1:26" ht="15" customHeight="1" x14ac:dyDescent="0.35">
      <c r="A459" s="477"/>
      <c r="B459" s="477"/>
      <c r="C459" s="477"/>
      <c r="D459" s="477"/>
      <c r="E459" s="477"/>
      <c r="F459" s="477"/>
      <c r="G459" s="477"/>
      <c r="H459" s="477"/>
      <c r="I459" s="477"/>
      <c r="J459" s="477"/>
      <c r="K459" s="477"/>
      <c r="L459" s="477"/>
      <c r="M459" s="477"/>
      <c r="N459" s="477"/>
      <c r="O459" s="477"/>
      <c r="P459" s="477"/>
      <c r="Q459" s="477"/>
      <c r="R459" s="477"/>
      <c r="S459" s="477"/>
      <c r="T459" s="477"/>
      <c r="U459" s="477"/>
      <c r="V459" s="477"/>
      <c r="W459" s="477"/>
      <c r="X459" s="477"/>
      <c r="Y459" s="477"/>
      <c r="Z459" s="477"/>
    </row>
    <row r="460" spans="1:26" ht="15" customHeight="1" x14ac:dyDescent="0.35">
      <c r="A460" s="477"/>
      <c r="B460" s="477"/>
      <c r="C460" s="477"/>
      <c r="D460" s="477"/>
      <c r="E460" s="477"/>
      <c r="F460" s="477"/>
      <c r="G460" s="477"/>
      <c r="H460" s="477"/>
      <c r="I460" s="477"/>
      <c r="J460" s="477"/>
      <c r="K460" s="477"/>
      <c r="L460" s="477"/>
      <c r="M460" s="477"/>
      <c r="N460" s="477"/>
      <c r="O460" s="477"/>
      <c r="P460" s="477"/>
      <c r="Q460" s="477"/>
      <c r="R460" s="477"/>
      <c r="S460" s="477"/>
      <c r="T460" s="477"/>
      <c r="U460" s="477"/>
      <c r="V460" s="477"/>
      <c r="W460" s="477"/>
      <c r="X460" s="477"/>
      <c r="Y460" s="477"/>
      <c r="Z460" s="477"/>
    </row>
    <row r="461" spans="1:26" ht="15" customHeight="1" x14ac:dyDescent="0.35">
      <c r="A461" s="477"/>
      <c r="B461" s="477"/>
      <c r="C461" s="477"/>
      <c r="D461" s="477"/>
      <c r="E461" s="477"/>
      <c r="F461" s="477"/>
      <c r="G461" s="477"/>
      <c r="H461" s="477"/>
      <c r="I461" s="477"/>
      <c r="J461" s="477"/>
      <c r="K461" s="477"/>
      <c r="L461" s="477"/>
      <c r="M461" s="477"/>
      <c r="N461" s="477"/>
      <c r="O461" s="477"/>
      <c r="P461" s="477"/>
      <c r="Q461" s="477"/>
      <c r="R461" s="477"/>
      <c r="S461" s="477"/>
      <c r="T461" s="477"/>
      <c r="U461" s="477"/>
      <c r="V461" s="477"/>
      <c r="W461" s="477"/>
      <c r="X461" s="477"/>
      <c r="Y461" s="477"/>
      <c r="Z461" s="477"/>
    </row>
    <row r="462" spans="1:26" ht="15" customHeight="1" x14ac:dyDescent="0.35">
      <c r="A462" s="477"/>
      <c r="B462" s="477"/>
      <c r="C462" s="477"/>
      <c r="D462" s="477"/>
      <c r="E462" s="477"/>
      <c r="F462" s="477"/>
      <c r="G462" s="477"/>
      <c r="H462" s="477"/>
      <c r="I462" s="477"/>
      <c r="J462" s="477"/>
      <c r="K462" s="477"/>
      <c r="L462" s="477"/>
      <c r="M462" s="477"/>
      <c r="N462" s="477"/>
      <c r="O462" s="477"/>
      <c r="P462" s="477"/>
      <c r="Q462" s="477"/>
      <c r="R462" s="477"/>
      <c r="S462" s="477"/>
      <c r="T462" s="477"/>
      <c r="U462" s="477"/>
      <c r="V462" s="477"/>
      <c r="W462" s="477"/>
      <c r="X462" s="477"/>
      <c r="Y462" s="477"/>
      <c r="Z462" s="477"/>
    </row>
    <row r="463" spans="1:26" ht="15" customHeight="1" x14ac:dyDescent="0.35">
      <c r="A463" s="477"/>
      <c r="B463" s="477"/>
      <c r="C463" s="477"/>
      <c r="D463" s="477"/>
      <c r="E463" s="477"/>
      <c r="F463" s="477"/>
      <c r="G463" s="477"/>
      <c r="H463" s="477"/>
      <c r="I463" s="477"/>
      <c r="J463" s="477"/>
      <c r="K463" s="477"/>
      <c r="L463" s="477"/>
      <c r="M463" s="477"/>
      <c r="N463" s="477"/>
      <c r="O463" s="477"/>
      <c r="P463" s="477"/>
      <c r="Q463" s="477"/>
      <c r="R463" s="477"/>
      <c r="S463" s="477"/>
      <c r="T463" s="477"/>
      <c r="U463" s="477"/>
      <c r="V463" s="477"/>
      <c r="W463" s="477"/>
      <c r="X463" s="477"/>
      <c r="Y463" s="477"/>
      <c r="Z463" s="477"/>
    </row>
    <row r="464" spans="1:26" ht="15" customHeight="1" x14ac:dyDescent="0.35">
      <c r="A464" s="477"/>
      <c r="B464" s="477"/>
      <c r="C464" s="477"/>
      <c r="D464" s="477"/>
      <c r="E464" s="477"/>
      <c r="F464" s="477"/>
      <c r="G464" s="477"/>
      <c r="H464" s="477"/>
      <c r="I464" s="477"/>
      <c r="J464" s="477"/>
      <c r="K464" s="477"/>
      <c r="L464" s="477"/>
      <c r="M464" s="477"/>
      <c r="N464" s="477"/>
      <c r="O464" s="477"/>
      <c r="P464" s="477"/>
      <c r="Q464" s="477"/>
      <c r="R464" s="477"/>
      <c r="S464" s="477"/>
      <c r="T464" s="477"/>
      <c r="U464" s="477"/>
      <c r="V464" s="477"/>
      <c r="W464" s="477"/>
      <c r="X464" s="477"/>
      <c r="Y464" s="477"/>
      <c r="Z464" s="477"/>
    </row>
    <row r="465" spans="1:26" ht="15" customHeight="1" x14ac:dyDescent="0.35">
      <c r="A465" s="477"/>
      <c r="B465" s="477"/>
      <c r="C465" s="477"/>
      <c r="D465" s="477"/>
      <c r="E465" s="477"/>
      <c r="F465" s="477"/>
      <c r="G465" s="477"/>
      <c r="H465" s="477"/>
      <c r="I465" s="477"/>
      <c r="J465" s="477"/>
      <c r="K465" s="477"/>
      <c r="L465" s="477"/>
      <c r="M465" s="477"/>
      <c r="N465" s="477"/>
      <c r="O465" s="477"/>
      <c r="P465" s="477"/>
      <c r="Q465" s="477"/>
      <c r="R465" s="477"/>
      <c r="S465" s="477"/>
      <c r="T465" s="477"/>
      <c r="U465" s="477"/>
      <c r="V465" s="477"/>
      <c r="W465" s="477"/>
      <c r="X465" s="477"/>
      <c r="Y465" s="477"/>
      <c r="Z465" s="477"/>
    </row>
    <row r="466" spans="1:26" ht="15" customHeight="1" x14ac:dyDescent="0.35">
      <c r="A466" s="477"/>
      <c r="B466" s="477"/>
      <c r="C466" s="477"/>
      <c r="D466" s="477"/>
      <c r="E466" s="477"/>
      <c r="F466" s="477"/>
      <c r="G466" s="477"/>
      <c r="H466" s="477"/>
      <c r="I466" s="477"/>
      <c r="J466" s="477"/>
      <c r="K466" s="477"/>
      <c r="L466" s="477"/>
      <c r="M466" s="477"/>
      <c r="N466" s="477"/>
      <c r="O466" s="477"/>
      <c r="P466" s="477"/>
      <c r="Q466" s="477"/>
      <c r="R466" s="477"/>
      <c r="S466" s="477"/>
      <c r="T466" s="477"/>
      <c r="U466" s="477"/>
      <c r="V466" s="477"/>
      <c r="W466" s="477"/>
      <c r="X466" s="477"/>
      <c r="Y466" s="477"/>
      <c r="Z466" s="477"/>
    </row>
    <row r="467" spans="1:26" ht="15" customHeight="1" x14ac:dyDescent="0.35">
      <c r="A467" s="477"/>
      <c r="B467" s="477"/>
      <c r="C467" s="477"/>
      <c r="D467" s="477"/>
      <c r="E467" s="477"/>
      <c r="F467" s="477"/>
      <c r="G467" s="477"/>
      <c r="H467" s="477"/>
      <c r="I467" s="477"/>
      <c r="J467" s="477"/>
      <c r="K467" s="477"/>
      <c r="L467" s="477"/>
      <c r="M467" s="477"/>
      <c r="N467" s="477"/>
      <c r="O467" s="477"/>
      <c r="P467" s="477"/>
      <c r="Q467" s="477"/>
      <c r="R467" s="477"/>
      <c r="S467" s="477"/>
      <c r="T467" s="477"/>
      <c r="U467" s="477"/>
      <c r="V467" s="477"/>
      <c r="W467" s="477"/>
      <c r="X467" s="477"/>
      <c r="Y467" s="477"/>
      <c r="Z467" s="477"/>
    </row>
    <row r="468" spans="1:26" ht="15" customHeight="1" x14ac:dyDescent="0.35">
      <c r="A468" s="477"/>
      <c r="B468" s="477"/>
      <c r="C468" s="477"/>
      <c r="D468" s="477"/>
      <c r="E468" s="477"/>
      <c r="F468" s="477"/>
      <c r="G468" s="477"/>
      <c r="H468" s="477"/>
      <c r="I468" s="477"/>
      <c r="J468" s="477"/>
      <c r="K468" s="477"/>
      <c r="L468" s="477"/>
      <c r="M468" s="477"/>
      <c r="N468" s="477"/>
      <c r="O468" s="477"/>
      <c r="P468" s="477"/>
      <c r="Q468" s="477"/>
      <c r="R468" s="477"/>
      <c r="S468" s="477"/>
      <c r="T468" s="477"/>
      <c r="U468" s="477"/>
      <c r="V468" s="477"/>
      <c r="W468" s="477"/>
      <c r="X468" s="477"/>
      <c r="Y468" s="477"/>
      <c r="Z468" s="477"/>
    </row>
    <row r="469" spans="1:26" ht="15" customHeight="1" x14ac:dyDescent="0.35">
      <c r="A469" s="477"/>
      <c r="B469" s="477"/>
      <c r="C469" s="477"/>
      <c r="D469" s="477"/>
      <c r="E469" s="477"/>
      <c r="F469" s="477"/>
      <c r="G469" s="477"/>
      <c r="H469" s="477"/>
      <c r="I469" s="477"/>
      <c r="J469" s="477"/>
      <c r="K469" s="477"/>
      <c r="L469" s="477"/>
      <c r="M469" s="477"/>
      <c r="N469" s="477"/>
      <c r="O469" s="477"/>
      <c r="P469" s="477"/>
      <c r="Q469" s="477"/>
      <c r="R469" s="477"/>
      <c r="S469" s="477"/>
      <c r="T469" s="477"/>
      <c r="U469" s="477"/>
      <c r="V469" s="477"/>
      <c r="W469" s="477"/>
      <c r="X469" s="477"/>
      <c r="Y469" s="477"/>
      <c r="Z469" s="477"/>
    </row>
    <row r="470" spans="1:26" ht="15" customHeight="1" x14ac:dyDescent="0.35">
      <c r="A470" s="477"/>
      <c r="B470" s="477"/>
      <c r="C470" s="477"/>
      <c r="D470" s="477"/>
      <c r="E470" s="477"/>
      <c r="F470" s="477"/>
      <c r="G470" s="477"/>
      <c r="H470" s="477"/>
      <c r="I470" s="477"/>
      <c r="J470" s="477"/>
      <c r="K470" s="477"/>
      <c r="L470" s="477"/>
      <c r="M470" s="477"/>
      <c r="N470" s="477"/>
      <c r="O470" s="477"/>
      <c r="P470" s="477"/>
      <c r="Q470" s="477"/>
      <c r="R470" s="477"/>
      <c r="S470" s="477"/>
      <c r="T470" s="477"/>
      <c r="U470" s="477"/>
      <c r="V470" s="477"/>
      <c r="W470" s="477"/>
      <c r="X470" s="477"/>
      <c r="Y470" s="477"/>
      <c r="Z470" s="477"/>
    </row>
    <row r="471" spans="1:26" ht="15" customHeight="1" x14ac:dyDescent="0.35">
      <c r="A471" s="477"/>
      <c r="B471" s="477"/>
      <c r="C471" s="477"/>
      <c r="D471" s="477"/>
      <c r="E471" s="477"/>
      <c r="F471" s="477"/>
      <c r="G471" s="477"/>
      <c r="H471" s="477"/>
      <c r="I471" s="477"/>
      <c r="J471" s="477"/>
      <c r="K471" s="477"/>
      <c r="L471" s="477"/>
      <c r="M471" s="477"/>
      <c r="N471" s="477"/>
      <c r="O471" s="477"/>
      <c r="P471" s="477"/>
      <c r="Q471" s="477"/>
      <c r="R471" s="477"/>
      <c r="S471" s="477"/>
      <c r="T471" s="477"/>
      <c r="U471" s="477"/>
      <c r="V471" s="477"/>
      <c r="W471" s="477"/>
      <c r="X471" s="477"/>
      <c r="Y471" s="477"/>
      <c r="Z471" s="477"/>
    </row>
    <row r="472" spans="1:26" ht="15" customHeight="1" x14ac:dyDescent="0.35">
      <c r="A472" s="477"/>
      <c r="B472" s="477"/>
      <c r="C472" s="477"/>
      <c r="D472" s="477"/>
      <c r="E472" s="477"/>
      <c r="F472" s="477"/>
      <c r="G472" s="477"/>
      <c r="H472" s="477"/>
      <c r="I472" s="477"/>
      <c r="J472" s="477"/>
      <c r="K472" s="477"/>
      <c r="L472" s="477"/>
      <c r="M472" s="477"/>
      <c r="N472" s="477"/>
      <c r="O472" s="477"/>
      <c r="P472" s="477"/>
      <c r="Q472" s="477"/>
      <c r="R472" s="477"/>
      <c r="S472" s="477"/>
      <c r="T472" s="477"/>
      <c r="U472" s="477"/>
      <c r="V472" s="477"/>
      <c r="W472" s="477"/>
      <c r="X472" s="477"/>
      <c r="Y472" s="477"/>
      <c r="Z472" s="477"/>
    </row>
    <row r="473" spans="1:26" ht="15" customHeight="1" x14ac:dyDescent="0.35">
      <c r="A473" s="477"/>
      <c r="B473" s="477"/>
      <c r="C473" s="477"/>
      <c r="D473" s="477"/>
      <c r="E473" s="477"/>
      <c r="F473" s="477"/>
      <c r="G473" s="477"/>
      <c r="H473" s="477"/>
      <c r="I473" s="477"/>
      <c r="J473" s="477"/>
      <c r="K473" s="477"/>
      <c r="L473" s="477"/>
      <c r="M473" s="477"/>
      <c r="N473" s="477"/>
      <c r="O473" s="477"/>
      <c r="P473" s="477"/>
      <c r="Q473" s="477"/>
      <c r="R473" s="477"/>
      <c r="S473" s="477"/>
      <c r="T473" s="477"/>
      <c r="U473" s="477"/>
      <c r="V473" s="477"/>
      <c r="W473" s="477"/>
      <c r="X473" s="477"/>
      <c r="Y473" s="477"/>
      <c r="Z473" s="477"/>
    </row>
    <row r="474" spans="1:26" ht="15" customHeight="1" x14ac:dyDescent="0.35">
      <c r="A474" s="477"/>
      <c r="B474" s="477"/>
      <c r="C474" s="477"/>
      <c r="D474" s="477"/>
      <c r="E474" s="477"/>
      <c r="F474" s="477"/>
      <c r="G474" s="477"/>
      <c r="H474" s="477"/>
      <c r="I474" s="477"/>
      <c r="J474" s="477"/>
      <c r="K474" s="477"/>
      <c r="L474" s="477"/>
      <c r="M474" s="477"/>
      <c r="N474" s="477"/>
      <c r="O474" s="477"/>
      <c r="P474" s="477"/>
      <c r="Q474" s="477"/>
      <c r="R474" s="477"/>
      <c r="S474" s="477"/>
      <c r="T474" s="477"/>
      <c r="U474" s="477"/>
      <c r="V474" s="477"/>
      <c r="W474" s="477"/>
      <c r="X474" s="477"/>
      <c r="Y474" s="477"/>
      <c r="Z474" s="477"/>
    </row>
    <row r="475" spans="1:26" ht="15" customHeight="1" x14ac:dyDescent="0.35">
      <c r="A475" s="477"/>
      <c r="B475" s="477"/>
      <c r="C475" s="477"/>
      <c r="D475" s="477"/>
      <c r="E475" s="477"/>
      <c r="F475" s="477"/>
      <c r="G475" s="477"/>
      <c r="H475" s="477"/>
      <c r="I475" s="477"/>
      <c r="J475" s="477"/>
      <c r="K475" s="477"/>
      <c r="L475" s="477"/>
      <c r="M475" s="477"/>
      <c r="N475" s="477"/>
      <c r="O475" s="477"/>
      <c r="P475" s="477"/>
      <c r="Q475" s="477"/>
      <c r="R475" s="477"/>
      <c r="S475" s="477"/>
      <c r="T475" s="477"/>
      <c r="U475" s="477"/>
      <c r="V475" s="477"/>
      <c r="W475" s="477"/>
      <c r="X475" s="477"/>
      <c r="Y475" s="477"/>
      <c r="Z475" s="477"/>
    </row>
    <row r="476" spans="1:26" ht="15" customHeight="1" x14ac:dyDescent="0.35">
      <c r="A476" s="477"/>
      <c r="B476" s="477"/>
      <c r="C476" s="477"/>
      <c r="D476" s="477"/>
      <c r="E476" s="477"/>
      <c r="F476" s="477"/>
      <c r="G476" s="477"/>
      <c r="H476" s="477"/>
      <c r="I476" s="477"/>
      <c r="J476" s="477"/>
      <c r="K476" s="477"/>
      <c r="L476" s="477"/>
      <c r="M476" s="477"/>
      <c r="N476" s="477"/>
      <c r="O476" s="477"/>
      <c r="P476" s="477"/>
      <c r="Q476" s="477"/>
      <c r="R476" s="477"/>
      <c r="S476" s="477"/>
      <c r="T476" s="477"/>
      <c r="U476" s="477"/>
      <c r="V476" s="477"/>
      <c r="W476" s="477"/>
      <c r="X476" s="477"/>
      <c r="Y476" s="477"/>
      <c r="Z476" s="477"/>
    </row>
    <row r="477" spans="1:26" ht="15" customHeight="1" x14ac:dyDescent="0.35">
      <c r="A477" s="477"/>
      <c r="B477" s="477"/>
      <c r="C477" s="477"/>
      <c r="D477" s="477"/>
      <c r="E477" s="477"/>
      <c r="F477" s="477"/>
      <c r="G477" s="477"/>
      <c r="H477" s="477"/>
      <c r="I477" s="477"/>
      <c r="J477" s="477"/>
      <c r="K477" s="477"/>
      <c r="L477" s="477"/>
      <c r="M477" s="477"/>
      <c r="N477" s="477"/>
      <c r="O477" s="477"/>
      <c r="P477" s="477"/>
      <c r="Q477" s="477"/>
      <c r="R477" s="477"/>
      <c r="S477" s="477"/>
      <c r="T477" s="477"/>
      <c r="U477" s="477"/>
      <c r="V477" s="477"/>
      <c r="W477" s="477"/>
      <c r="X477" s="477"/>
      <c r="Y477" s="477"/>
      <c r="Z477" s="477"/>
    </row>
    <row r="478" spans="1:26" ht="15" customHeight="1" x14ac:dyDescent="0.35">
      <c r="A478" s="477"/>
      <c r="B478" s="477"/>
      <c r="C478" s="477"/>
      <c r="D478" s="477"/>
      <c r="E478" s="477"/>
      <c r="F478" s="477"/>
      <c r="G478" s="477"/>
      <c r="H478" s="477"/>
      <c r="I478" s="477"/>
      <c r="J478" s="477"/>
      <c r="K478" s="477"/>
      <c r="L478" s="477"/>
      <c r="M478" s="477"/>
      <c r="N478" s="477"/>
      <c r="O478" s="477"/>
      <c r="P478" s="477"/>
      <c r="Q478" s="477"/>
      <c r="R478" s="477"/>
      <c r="S478" s="477"/>
      <c r="T478" s="477"/>
      <c r="U478" s="477"/>
      <c r="V478" s="477"/>
      <c r="W478" s="477"/>
      <c r="X478" s="477"/>
      <c r="Y478" s="477"/>
      <c r="Z478" s="477"/>
    </row>
    <row r="479" spans="1:26" ht="15" customHeight="1" x14ac:dyDescent="0.35">
      <c r="A479" s="477"/>
      <c r="B479" s="477"/>
      <c r="C479" s="477"/>
      <c r="D479" s="477"/>
      <c r="E479" s="477"/>
      <c r="F479" s="477"/>
      <c r="G479" s="477"/>
      <c r="H479" s="477"/>
      <c r="I479" s="477"/>
      <c r="J479" s="477"/>
      <c r="K479" s="477"/>
      <c r="L479" s="477"/>
      <c r="M479" s="477"/>
      <c r="N479" s="477"/>
      <c r="O479" s="477"/>
      <c r="P479" s="477"/>
      <c r="Q479" s="477"/>
      <c r="R479" s="477"/>
      <c r="S479" s="477"/>
      <c r="T479" s="477"/>
      <c r="U479" s="477"/>
      <c r="V479" s="477"/>
      <c r="W479" s="477"/>
      <c r="X479" s="477"/>
      <c r="Y479" s="477"/>
      <c r="Z479" s="477"/>
    </row>
    <row r="480" spans="1:26" ht="15" customHeight="1" x14ac:dyDescent="0.35">
      <c r="A480" s="477"/>
      <c r="B480" s="477"/>
      <c r="C480" s="477"/>
      <c r="D480" s="477"/>
      <c r="E480" s="477"/>
      <c r="F480" s="477"/>
      <c r="G480" s="477"/>
      <c r="H480" s="477"/>
      <c r="I480" s="477"/>
      <c r="J480" s="477"/>
      <c r="K480" s="477"/>
      <c r="L480" s="477"/>
      <c r="M480" s="477"/>
      <c r="N480" s="477"/>
      <c r="O480" s="477"/>
      <c r="P480" s="477"/>
      <c r="Q480" s="477"/>
      <c r="R480" s="477"/>
      <c r="S480" s="477"/>
      <c r="T480" s="477"/>
      <c r="U480" s="477"/>
      <c r="V480" s="477"/>
      <c r="W480" s="477"/>
      <c r="X480" s="477"/>
      <c r="Y480" s="477"/>
      <c r="Z480" s="477"/>
    </row>
    <row r="481" spans="1:26" ht="15" customHeight="1" x14ac:dyDescent="0.35">
      <c r="A481" s="477"/>
      <c r="B481" s="477"/>
      <c r="C481" s="477"/>
      <c r="D481" s="477"/>
      <c r="E481" s="477"/>
      <c r="F481" s="477"/>
      <c r="G481" s="477"/>
      <c r="H481" s="477"/>
      <c r="I481" s="477"/>
      <c r="J481" s="477"/>
      <c r="K481" s="477"/>
      <c r="L481" s="477"/>
      <c r="M481" s="477"/>
      <c r="N481" s="477"/>
      <c r="O481" s="477"/>
      <c r="P481" s="477"/>
      <c r="Q481" s="477"/>
      <c r="R481" s="477"/>
      <c r="S481" s="477"/>
      <c r="T481" s="477"/>
      <c r="U481" s="477"/>
      <c r="V481" s="477"/>
      <c r="W481" s="477"/>
      <c r="X481" s="477"/>
      <c r="Y481" s="477"/>
      <c r="Z481" s="477"/>
    </row>
    <row r="482" spans="1:26" ht="15" customHeight="1" x14ac:dyDescent="0.35">
      <c r="A482" s="477"/>
      <c r="B482" s="477"/>
      <c r="C482" s="477"/>
      <c r="D482" s="477"/>
      <c r="E482" s="477"/>
      <c r="F482" s="477"/>
      <c r="G482" s="477"/>
      <c r="H482" s="477"/>
      <c r="I482" s="477"/>
      <c r="J482" s="477"/>
      <c r="K482" s="477"/>
      <c r="L482" s="477"/>
      <c r="M482" s="477"/>
      <c r="N482" s="477"/>
      <c r="O482" s="477"/>
      <c r="P482" s="477"/>
      <c r="Q482" s="477"/>
      <c r="R482" s="477"/>
      <c r="S482" s="477"/>
      <c r="T482" s="477"/>
      <c r="U482" s="477"/>
      <c r="V482" s="477"/>
      <c r="W482" s="477"/>
      <c r="X482" s="477"/>
      <c r="Y482" s="477"/>
      <c r="Z482" s="477"/>
    </row>
    <row r="483" spans="1:26" ht="15" customHeight="1" x14ac:dyDescent="0.35">
      <c r="A483" s="477"/>
      <c r="B483" s="477"/>
      <c r="C483" s="477"/>
      <c r="D483" s="477"/>
      <c r="E483" s="477"/>
      <c r="F483" s="477"/>
      <c r="G483" s="477"/>
      <c r="H483" s="477"/>
      <c r="I483" s="477"/>
      <c r="J483" s="477"/>
      <c r="K483" s="477"/>
      <c r="L483" s="477"/>
      <c r="M483" s="477"/>
      <c r="N483" s="477"/>
      <c r="O483" s="477"/>
      <c r="P483" s="477"/>
      <c r="Q483" s="477"/>
      <c r="R483" s="477"/>
      <c r="S483" s="477"/>
      <c r="T483" s="477"/>
      <c r="U483" s="477"/>
      <c r="V483" s="477"/>
      <c r="W483" s="477"/>
      <c r="X483" s="477"/>
      <c r="Y483" s="477"/>
      <c r="Z483" s="477"/>
    </row>
    <row r="484" spans="1:26" ht="15" customHeight="1" x14ac:dyDescent="0.35">
      <c r="A484" s="477"/>
      <c r="B484" s="477"/>
      <c r="C484" s="477"/>
      <c r="D484" s="477"/>
      <c r="E484" s="477"/>
      <c r="F484" s="477"/>
      <c r="G484" s="477"/>
      <c r="H484" s="477"/>
      <c r="I484" s="477"/>
      <c r="J484" s="477"/>
      <c r="K484" s="477"/>
      <c r="L484" s="477"/>
      <c r="M484" s="477"/>
      <c r="N484" s="477"/>
      <c r="O484" s="477"/>
      <c r="P484" s="477"/>
      <c r="Q484" s="477"/>
      <c r="R484" s="477"/>
      <c r="S484" s="477"/>
      <c r="T484" s="477"/>
      <c r="U484" s="477"/>
      <c r="V484" s="477"/>
      <c r="W484" s="477"/>
      <c r="X484" s="477"/>
      <c r="Y484" s="477"/>
      <c r="Z484" s="477"/>
    </row>
    <row r="485" spans="1:26" ht="15" customHeight="1" x14ac:dyDescent="0.35">
      <c r="A485" s="477"/>
      <c r="B485" s="477"/>
      <c r="C485" s="477"/>
      <c r="D485" s="477"/>
      <c r="E485" s="477"/>
      <c r="F485" s="477"/>
      <c r="G485" s="477"/>
      <c r="H485" s="477"/>
      <c r="I485" s="477"/>
      <c r="J485" s="477"/>
      <c r="K485" s="477"/>
      <c r="L485" s="477"/>
      <c r="M485" s="477"/>
      <c r="N485" s="477"/>
      <c r="O485" s="477"/>
      <c r="P485" s="477"/>
      <c r="Q485" s="477"/>
      <c r="R485" s="477"/>
      <c r="S485" s="477"/>
      <c r="T485" s="477"/>
      <c r="U485" s="477"/>
      <c r="V485" s="477"/>
      <c r="W485" s="477"/>
      <c r="X485" s="477"/>
      <c r="Y485" s="477"/>
      <c r="Z485" s="477"/>
    </row>
    <row r="486" spans="1:26" ht="15" customHeight="1" x14ac:dyDescent="0.35">
      <c r="A486" s="477"/>
      <c r="B486" s="477"/>
      <c r="C486" s="477"/>
      <c r="D486" s="477"/>
      <c r="E486" s="477"/>
      <c r="F486" s="477"/>
      <c r="G486" s="477"/>
      <c r="H486" s="477"/>
      <c r="I486" s="477"/>
      <c r="J486" s="477"/>
      <c r="K486" s="477"/>
      <c r="L486" s="477"/>
      <c r="M486" s="477"/>
      <c r="N486" s="477"/>
      <c r="O486" s="477"/>
      <c r="P486" s="477"/>
      <c r="Q486" s="477"/>
      <c r="R486" s="477"/>
      <c r="S486" s="477"/>
      <c r="T486" s="477"/>
      <c r="U486" s="477"/>
      <c r="V486" s="477"/>
      <c r="W486" s="477"/>
      <c r="X486" s="477"/>
      <c r="Y486" s="477"/>
      <c r="Z486" s="477"/>
    </row>
    <row r="487" spans="1:26" ht="15" customHeight="1" x14ac:dyDescent="0.35">
      <c r="A487" s="477"/>
      <c r="B487" s="477"/>
      <c r="C487" s="477"/>
      <c r="D487" s="477"/>
      <c r="E487" s="477"/>
      <c r="F487" s="477"/>
      <c r="G487" s="477"/>
      <c r="H487" s="477"/>
      <c r="I487" s="477"/>
      <c r="J487" s="477"/>
      <c r="K487" s="477"/>
      <c r="L487" s="477"/>
      <c r="M487" s="477"/>
      <c r="N487" s="477"/>
      <c r="O487" s="477"/>
      <c r="P487" s="477"/>
      <c r="Q487" s="477"/>
      <c r="R487" s="477"/>
      <c r="S487" s="477"/>
      <c r="T487" s="477"/>
      <c r="U487" s="477"/>
      <c r="V487" s="477"/>
      <c r="W487" s="477"/>
      <c r="X487" s="477"/>
      <c r="Y487" s="477"/>
      <c r="Z487" s="477"/>
    </row>
    <row r="488" spans="1:26" ht="15" customHeight="1" x14ac:dyDescent="0.35">
      <c r="A488" s="477"/>
      <c r="B488" s="477"/>
      <c r="C488" s="477"/>
      <c r="D488" s="477"/>
      <c r="E488" s="477"/>
      <c r="F488" s="477"/>
      <c r="G488" s="477"/>
      <c r="H488" s="477"/>
      <c r="I488" s="477"/>
      <c r="J488" s="477"/>
      <c r="K488" s="477"/>
      <c r="L488" s="477"/>
      <c r="M488" s="477"/>
      <c r="N488" s="477"/>
      <c r="O488" s="477"/>
      <c r="P488" s="477"/>
      <c r="Q488" s="477"/>
      <c r="R488" s="477"/>
      <c r="S488" s="477"/>
      <c r="T488" s="477"/>
      <c r="U488" s="477"/>
      <c r="V488" s="477"/>
      <c r="W488" s="477"/>
      <c r="X488" s="477"/>
      <c r="Y488" s="477"/>
      <c r="Z488" s="477"/>
    </row>
    <row r="489" spans="1:26" ht="15" customHeight="1" x14ac:dyDescent="0.35">
      <c r="A489" s="477"/>
      <c r="B489" s="477"/>
      <c r="C489" s="477"/>
      <c r="D489" s="477"/>
      <c r="E489" s="477"/>
      <c r="F489" s="477"/>
      <c r="G489" s="477"/>
      <c r="H489" s="477"/>
      <c r="I489" s="477"/>
      <c r="J489" s="477"/>
      <c r="K489" s="477"/>
      <c r="L489" s="477"/>
      <c r="M489" s="477"/>
      <c r="N489" s="477"/>
      <c r="O489" s="477"/>
      <c r="P489" s="477"/>
      <c r="Q489" s="477"/>
      <c r="R489" s="477"/>
      <c r="S489" s="477"/>
      <c r="T489" s="477"/>
      <c r="U489" s="477"/>
      <c r="V489" s="477"/>
      <c r="W489" s="477"/>
      <c r="X489" s="477"/>
      <c r="Y489" s="477"/>
      <c r="Z489" s="477"/>
    </row>
    <row r="490" spans="1:26" ht="15" customHeight="1" x14ac:dyDescent="0.35">
      <c r="A490" s="477"/>
      <c r="B490" s="477"/>
      <c r="C490" s="477"/>
      <c r="D490" s="477"/>
      <c r="E490" s="477"/>
      <c r="F490" s="477"/>
      <c r="G490" s="477"/>
      <c r="H490" s="477"/>
      <c r="I490" s="477"/>
      <c r="J490" s="477"/>
      <c r="K490" s="477"/>
      <c r="L490" s="477"/>
      <c r="M490" s="477"/>
      <c r="N490" s="477"/>
      <c r="O490" s="477"/>
      <c r="P490" s="477"/>
      <c r="Q490" s="477"/>
      <c r="R490" s="477"/>
      <c r="S490" s="477"/>
      <c r="T490" s="477"/>
      <c r="U490" s="477"/>
      <c r="V490" s="477"/>
      <c r="W490" s="477"/>
      <c r="X490" s="477"/>
      <c r="Y490" s="477"/>
      <c r="Z490" s="477"/>
    </row>
    <row r="491" spans="1:26" ht="15" customHeight="1" x14ac:dyDescent="0.35">
      <c r="A491" s="477"/>
      <c r="B491" s="477"/>
      <c r="C491" s="477"/>
      <c r="D491" s="477"/>
      <c r="E491" s="477"/>
      <c r="F491" s="477"/>
      <c r="G491" s="477"/>
      <c r="H491" s="477"/>
      <c r="I491" s="477"/>
      <c r="J491" s="477"/>
      <c r="K491" s="477"/>
      <c r="L491" s="477"/>
      <c r="M491" s="477"/>
      <c r="N491" s="477"/>
      <c r="O491" s="477"/>
      <c r="P491" s="477"/>
      <c r="Q491" s="477"/>
      <c r="R491" s="477"/>
      <c r="S491" s="477"/>
      <c r="T491" s="477"/>
      <c r="U491" s="477"/>
      <c r="V491" s="477"/>
      <c r="W491" s="477"/>
      <c r="X491" s="477"/>
      <c r="Y491" s="477"/>
      <c r="Z491" s="477"/>
    </row>
    <row r="492" spans="1:26" ht="15" customHeight="1" x14ac:dyDescent="0.35">
      <c r="A492" s="477"/>
      <c r="B492" s="477"/>
      <c r="C492" s="477"/>
      <c r="D492" s="477"/>
      <c r="E492" s="477"/>
      <c r="F492" s="477"/>
      <c r="G492" s="477"/>
      <c r="H492" s="477"/>
      <c r="I492" s="477"/>
      <c r="J492" s="477"/>
      <c r="K492" s="477"/>
      <c r="L492" s="477"/>
      <c r="M492" s="477"/>
      <c r="N492" s="477"/>
      <c r="O492" s="477"/>
      <c r="P492" s="477"/>
      <c r="Q492" s="477"/>
      <c r="R492" s="477"/>
      <c r="S492" s="477"/>
      <c r="T492" s="477"/>
      <c r="U492" s="477"/>
      <c r="V492" s="477"/>
      <c r="W492" s="477"/>
      <c r="X492" s="477"/>
      <c r="Y492" s="477"/>
      <c r="Z492" s="477"/>
    </row>
    <row r="493" spans="1:26" ht="15" customHeight="1" x14ac:dyDescent="0.35">
      <c r="A493" s="477"/>
      <c r="B493" s="477"/>
      <c r="C493" s="477"/>
      <c r="D493" s="477"/>
      <c r="E493" s="477"/>
      <c r="F493" s="477"/>
      <c r="G493" s="477"/>
      <c r="H493" s="477"/>
      <c r="I493" s="477"/>
      <c r="J493" s="477"/>
      <c r="K493" s="477"/>
      <c r="L493" s="477"/>
      <c r="M493" s="477"/>
      <c r="N493" s="477"/>
      <c r="O493" s="477"/>
      <c r="P493" s="477"/>
      <c r="Q493" s="477"/>
      <c r="R493" s="477"/>
      <c r="S493" s="477"/>
      <c r="T493" s="477"/>
      <c r="U493" s="477"/>
      <c r="V493" s="477"/>
      <c r="W493" s="477"/>
      <c r="X493" s="477"/>
      <c r="Y493" s="477"/>
      <c r="Z493" s="477"/>
    </row>
    <row r="494" spans="1:26" ht="15" customHeight="1" x14ac:dyDescent="0.35">
      <c r="A494" s="477"/>
      <c r="B494" s="477"/>
      <c r="C494" s="477"/>
      <c r="D494" s="477"/>
      <c r="E494" s="477"/>
      <c r="F494" s="477"/>
      <c r="G494" s="477"/>
      <c r="H494" s="477"/>
      <c r="I494" s="477"/>
      <c r="J494" s="477"/>
      <c r="K494" s="477"/>
      <c r="L494" s="477"/>
      <c r="M494" s="477"/>
      <c r="N494" s="477"/>
      <c r="O494" s="477"/>
      <c r="P494" s="477"/>
      <c r="Q494" s="477"/>
      <c r="R494" s="477"/>
      <c r="S494" s="477"/>
      <c r="T494" s="477"/>
      <c r="U494" s="477"/>
      <c r="V494" s="477"/>
      <c r="W494" s="477"/>
      <c r="X494" s="477"/>
      <c r="Y494" s="477"/>
      <c r="Z494" s="477"/>
    </row>
    <row r="495" spans="1:26" ht="15" customHeight="1" x14ac:dyDescent="0.35">
      <c r="A495" s="477"/>
      <c r="B495" s="477"/>
      <c r="C495" s="477"/>
      <c r="D495" s="477"/>
      <c r="E495" s="477"/>
      <c r="F495" s="477"/>
      <c r="G495" s="477"/>
      <c r="H495" s="477"/>
      <c r="I495" s="477"/>
      <c r="J495" s="477"/>
      <c r="K495" s="477"/>
      <c r="L495" s="477"/>
      <c r="M495" s="477"/>
      <c r="N495" s="477"/>
      <c r="O495" s="477"/>
      <c r="P495" s="477"/>
      <c r="Q495" s="477"/>
      <c r="R495" s="477"/>
      <c r="S495" s="477"/>
      <c r="T495" s="477"/>
      <c r="U495" s="477"/>
      <c r="V495" s="477"/>
      <c r="W495" s="477"/>
      <c r="X495" s="477"/>
      <c r="Y495" s="477"/>
      <c r="Z495" s="477"/>
    </row>
    <row r="496" spans="1:26" ht="15" customHeight="1" x14ac:dyDescent="0.35">
      <c r="A496" s="477"/>
      <c r="B496" s="477"/>
      <c r="C496" s="477"/>
      <c r="D496" s="477"/>
      <c r="E496" s="477"/>
      <c r="F496" s="477"/>
      <c r="G496" s="477"/>
      <c r="H496" s="477"/>
      <c r="I496" s="477"/>
      <c r="J496" s="477"/>
      <c r="K496" s="477"/>
      <c r="L496" s="477"/>
      <c r="M496" s="477"/>
      <c r="N496" s="477"/>
      <c r="O496" s="477"/>
      <c r="P496" s="477"/>
      <c r="Q496" s="477"/>
      <c r="R496" s="477"/>
      <c r="S496" s="477"/>
      <c r="T496" s="477"/>
      <c r="U496" s="477"/>
      <c r="V496" s="477"/>
      <c r="W496" s="477"/>
      <c r="X496" s="477"/>
      <c r="Y496" s="477"/>
      <c r="Z496" s="477"/>
    </row>
    <row r="497" spans="1:26" ht="15" customHeight="1" x14ac:dyDescent="0.35">
      <c r="A497" s="477"/>
      <c r="B497" s="477"/>
      <c r="C497" s="477"/>
      <c r="D497" s="477"/>
      <c r="E497" s="477"/>
      <c r="F497" s="477"/>
      <c r="G497" s="477"/>
      <c r="H497" s="477"/>
      <c r="I497" s="477"/>
      <c r="J497" s="477"/>
      <c r="K497" s="477"/>
      <c r="L497" s="477"/>
      <c r="M497" s="477"/>
      <c r="N497" s="477"/>
      <c r="O497" s="477"/>
      <c r="P497" s="477"/>
      <c r="Q497" s="477"/>
      <c r="R497" s="477"/>
      <c r="S497" s="477"/>
      <c r="T497" s="477"/>
      <c r="U497" s="477"/>
      <c r="V497" s="477"/>
      <c r="W497" s="477"/>
      <c r="X497" s="477"/>
      <c r="Y497" s="477"/>
      <c r="Z497" s="477"/>
    </row>
    <row r="498" spans="1:26" ht="15" customHeight="1" x14ac:dyDescent="0.35">
      <c r="A498" s="477"/>
      <c r="B498" s="477"/>
      <c r="C498" s="477"/>
      <c r="D498" s="477"/>
      <c r="E498" s="477"/>
      <c r="F498" s="477"/>
      <c r="G498" s="477"/>
      <c r="H498" s="477"/>
      <c r="I498" s="477"/>
      <c r="J498" s="477"/>
      <c r="K498" s="477"/>
      <c r="L498" s="477"/>
      <c r="M498" s="477"/>
      <c r="N498" s="477"/>
      <c r="O498" s="477"/>
      <c r="P498" s="477"/>
      <c r="Q498" s="477"/>
      <c r="R498" s="477"/>
      <c r="S498" s="477"/>
      <c r="T498" s="477"/>
      <c r="U498" s="477"/>
      <c r="V498" s="477"/>
      <c r="W498" s="477"/>
      <c r="X498" s="477"/>
      <c r="Y498" s="477"/>
      <c r="Z498" s="477"/>
    </row>
    <row r="499" spans="1:26" ht="15" customHeight="1" x14ac:dyDescent="0.35">
      <c r="A499" s="477"/>
      <c r="B499" s="477"/>
      <c r="C499" s="477"/>
      <c r="D499" s="477"/>
      <c r="E499" s="477"/>
      <c r="F499" s="477"/>
      <c r="G499" s="477"/>
      <c r="H499" s="477"/>
      <c r="I499" s="477"/>
      <c r="J499" s="477"/>
      <c r="K499" s="477"/>
      <c r="L499" s="477"/>
      <c r="M499" s="477"/>
      <c r="N499" s="477"/>
      <c r="O499" s="477"/>
      <c r="P499" s="477"/>
      <c r="Q499" s="477"/>
      <c r="R499" s="477"/>
      <c r="S499" s="477"/>
      <c r="T499" s="477"/>
      <c r="U499" s="477"/>
      <c r="V499" s="477"/>
      <c r="W499" s="477"/>
      <c r="X499" s="477"/>
      <c r="Y499" s="477"/>
      <c r="Z499" s="477"/>
    </row>
    <row r="500" spans="1:26" ht="15" customHeight="1" x14ac:dyDescent="0.35">
      <c r="A500" s="477"/>
      <c r="B500" s="477"/>
      <c r="C500" s="477"/>
      <c r="D500" s="477"/>
      <c r="E500" s="477"/>
      <c r="F500" s="477"/>
      <c r="G500" s="477"/>
      <c r="H500" s="477"/>
      <c r="I500" s="477"/>
      <c r="J500" s="477"/>
      <c r="K500" s="477"/>
      <c r="L500" s="477"/>
      <c r="M500" s="477"/>
      <c r="N500" s="477"/>
      <c r="O500" s="477"/>
      <c r="P500" s="477"/>
      <c r="Q500" s="477"/>
      <c r="R500" s="477"/>
      <c r="S500" s="477"/>
      <c r="T500" s="477"/>
      <c r="U500" s="477"/>
      <c r="V500" s="477"/>
      <c r="W500" s="477"/>
      <c r="X500" s="477"/>
      <c r="Y500" s="477"/>
      <c r="Z500" s="477"/>
    </row>
    <row r="501" spans="1:26" ht="15" customHeight="1" x14ac:dyDescent="0.35">
      <c r="A501" s="477"/>
      <c r="B501" s="477"/>
      <c r="C501" s="477"/>
      <c r="D501" s="477"/>
      <c r="E501" s="477"/>
      <c r="F501" s="477"/>
      <c r="G501" s="477"/>
      <c r="H501" s="477"/>
      <c r="I501" s="477"/>
      <c r="J501" s="477"/>
      <c r="K501" s="477"/>
      <c r="L501" s="477"/>
      <c r="M501" s="477"/>
      <c r="N501" s="477"/>
      <c r="O501" s="477"/>
      <c r="P501" s="477"/>
      <c r="Q501" s="477"/>
      <c r="R501" s="477"/>
      <c r="S501" s="477"/>
      <c r="T501" s="477"/>
      <c r="U501" s="477"/>
      <c r="V501" s="477"/>
      <c r="W501" s="477"/>
      <c r="X501" s="477"/>
      <c r="Y501" s="477"/>
      <c r="Z501" s="477"/>
    </row>
    <row r="502" spans="1:26" ht="15" customHeight="1" x14ac:dyDescent="0.35">
      <c r="A502" s="477"/>
      <c r="B502" s="477"/>
      <c r="C502" s="477"/>
      <c r="D502" s="477"/>
      <c r="E502" s="477"/>
      <c r="F502" s="477"/>
      <c r="G502" s="477"/>
      <c r="H502" s="477"/>
      <c r="I502" s="477"/>
      <c r="J502" s="477"/>
      <c r="K502" s="477"/>
      <c r="L502" s="477"/>
      <c r="M502" s="477"/>
      <c r="N502" s="477"/>
      <c r="O502" s="477"/>
      <c r="P502" s="477"/>
      <c r="Q502" s="477"/>
      <c r="R502" s="477"/>
      <c r="S502" s="477"/>
      <c r="T502" s="477"/>
      <c r="U502" s="477"/>
      <c r="V502" s="477"/>
      <c r="W502" s="477"/>
      <c r="X502" s="477"/>
      <c r="Y502" s="477"/>
      <c r="Z502" s="477"/>
    </row>
    <row r="503" spans="1:26" ht="15" customHeight="1" x14ac:dyDescent="0.35">
      <c r="A503" s="477"/>
      <c r="B503" s="477"/>
      <c r="C503" s="477"/>
      <c r="D503" s="477"/>
      <c r="E503" s="477"/>
      <c r="F503" s="477"/>
      <c r="G503" s="477"/>
      <c r="H503" s="477"/>
      <c r="I503" s="477"/>
      <c r="J503" s="477"/>
      <c r="K503" s="477"/>
      <c r="L503" s="477"/>
      <c r="M503" s="477"/>
      <c r="N503" s="477"/>
      <c r="O503" s="477"/>
      <c r="P503" s="477"/>
      <c r="Q503" s="477"/>
      <c r="R503" s="477"/>
      <c r="S503" s="477"/>
      <c r="T503" s="477"/>
      <c r="U503" s="477"/>
      <c r="V503" s="477"/>
      <c r="W503" s="477"/>
      <c r="X503" s="477"/>
      <c r="Y503" s="477"/>
      <c r="Z503" s="477"/>
    </row>
    <row r="504" spans="1:26" ht="15" customHeight="1" x14ac:dyDescent="0.35">
      <c r="A504" s="477"/>
      <c r="B504" s="477"/>
      <c r="C504" s="477"/>
      <c r="D504" s="477"/>
      <c r="E504" s="477"/>
      <c r="F504" s="477"/>
      <c r="G504" s="477"/>
      <c r="H504" s="477"/>
      <c r="I504" s="477"/>
      <c r="J504" s="477"/>
      <c r="K504" s="477"/>
      <c r="L504" s="477"/>
      <c r="M504" s="477"/>
      <c r="N504" s="477"/>
      <c r="O504" s="477"/>
      <c r="P504" s="477"/>
      <c r="Q504" s="477"/>
      <c r="R504" s="477"/>
      <c r="S504" s="477"/>
      <c r="T504" s="477"/>
      <c r="U504" s="477"/>
      <c r="V504" s="477"/>
      <c r="W504" s="477"/>
      <c r="X504" s="477"/>
      <c r="Y504" s="477"/>
      <c r="Z504" s="477"/>
    </row>
    <row r="505" spans="1:26" ht="15" customHeight="1" x14ac:dyDescent="0.35">
      <c r="A505" s="477"/>
      <c r="B505" s="477"/>
      <c r="C505" s="477"/>
      <c r="D505" s="477"/>
      <c r="E505" s="477"/>
      <c r="F505" s="477"/>
      <c r="G505" s="477"/>
      <c r="H505" s="477"/>
      <c r="I505" s="477"/>
      <c r="J505" s="477"/>
      <c r="K505" s="477"/>
      <c r="L505" s="477"/>
      <c r="M505" s="477"/>
      <c r="N505" s="477"/>
      <c r="O505" s="477"/>
      <c r="P505" s="477"/>
      <c r="Q505" s="477"/>
      <c r="R505" s="477"/>
      <c r="S505" s="477"/>
      <c r="T505" s="477"/>
      <c r="U505" s="477"/>
      <c r="V505" s="477"/>
      <c r="W505" s="477"/>
      <c r="X505" s="477"/>
      <c r="Y505" s="477"/>
      <c r="Z505" s="477"/>
    </row>
    <row r="506" spans="1:26" ht="15" customHeight="1" x14ac:dyDescent="0.35">
      <c r="A506" s="477"/>
      <c r="B506" s="477"/>
      <c r="C506" s="477"/>
      <c r="D506" s="477"/>
      <c r="E506" s="477"/>
      <c r="F506" s="477"/>
      <c r="G506" s="477"/>
      <c r="H506" s="477"/>
      <c r="I506" s="477"/>
      <c r="J506" s="477"/>
      <c r="K506" s="477"/>
      <c r="L506" s="477"/>
      <c r="M506" s="477"/>
      <c r="N506" s="477"/>
      <c r="O506" s="477"/>
      <c r="P506" s="477"/>
      <c r="Q506" s="477"/>
      <c r="R506" s="477"/>
      <c r="S506" s="477"/>
      <c r="T506" s="477"/>
      <c r="U506" s="477"/>
      <c r="V506" s="477"/>
      <c r="W506" s="477"/>
      <c r="X506" s="477"/>
      <c r="Y506" s="477"/>
      <c r="Z506" s="477"/>
    </row>
    <row r="507" spans="1:26" ht="15" customHeight="1" x14ac:dyDescent="0.35">
      <c r="A507" s="477"/>
      <c r="B507" s="477"/>
      <c r="C507" s="477"/>
      <c r="D507" s="477"/>
      <c r="E507" s="477"/>
      <c r="F507" s="477"/>
      <c r="G507" s="477"/>
      <c r="H507" s="477"/>
      <c r="I507" s="477"/>
      <c r="J507" s="477"/>
      <c r="K507" s="477"/>
      <c r="L507" s="477"/>
      <c r="M507" s="477"/>
      <c r="N507" s="477"/>
      <c r="O507" s="477"/>
      <c r="P507" s="477"/>
      <c r="Q507" s="477"/>
      <c r="R507" s="477"/>
      <c r="S507" s="477"/>
      <c r="T507" s="477"/>
      <c r="U507" s="477"/>
      <c r="V507" s="477"/>
      <c r="W507" s="477"/>
      <c r="X507" s="477"/>
      <c r="Y507" s="477"/>
      <c r="Z507" s="477"/>
    </row>
    <row r="508" spans="1:26" ht="15" customHeight="1" x14ac:dyDescent="0.35">
      <c r="A508" s="477"/>
      <c r="B508" s="477"/>
      <c r="C508" s="477"/>
      <c r="D508" s="477"/>
      <c r="E508" s="477"/>
      <c r="F508" s="477"/>
      <c r="G508" s="477"/>
      <c r="H508" s="477"/>
      <c r="I508" s="477"/>
      <c r="J508" s="477"/>
      <c r="K508" s="477"/>
      <c r="L508" s="477"/>
      <c r="M508" s="477"/>
      <c r="N508" s="477"/>
      <c r="O508" s="477"/>
      <c r="P508" s="477"/>
      <c r="Q508" s="477"/>
      <c r="R508" s="477"/>
      <c r="S508" s="477"/>
      <c r="T508" s="477"/>
      <c r="U508" s="477"/>
      <c r="V508" s="477"/>
      <c r="W508" s="477"/>
      <c r="X508" s="477"/>
      <c r="Y508" s="477"/>
      <c r="Z508" s="477"/>
    </row>
    <row r="509" spans="1:26" ht="15" customHeight="1" x14ac:dyDescent="0.35">
      <c r="A509" s="477"/>
      <c r="B509" s="477"/>
      <c r="C509" s="477"/>
      <c r="D509" s="477"/>
      <c r="E509" s="477"/>
      <c r="F509" s="477"/>
      <c r="G509" s="477"/>
      <c r="H509" s="477"/>
      <c r="I509" s="477"/>
      <c r="J509" s="477"/>
      <c r="K509" s="477"/>
      <c r="L509" s="477"/>
      <c r="M509" s="477"/>
      <c r="N509" s="477"/>
      <c r="O509" s="477"/>
      <c r="P509" s="477"/>
      <c r="Q509" s="477"/>
      <c r="R509" s="477"/>
      <c r="S509" s="477"/>
      <c r="T509" s="477"/>
      <c r="U509" s="477"/>
      <c r="V509" s="477"/>
      <c r="W509" s="477"/>
      <c r="X509" s="477"/>
      <c r="Y509" s="477"/>
      <c r="Z509" s="477"/>
    </row>
    <row r="510" spans="1:26" ht="15" customHeight="1" x14ac:dyDescent="0.35">
      <c r="A510" s="477"/>
      <c r="B510" s="477"/>
      <c r="C510" s="477"/>
      <c r="D510" s="477"/>
      <c r="E510" s="477"/>
      <c r="F510" s="477"/>
      <c r="G510" s="477"/>
      <c r="H510" s="477"/>
      <c r="I510" s="477"/>
      <c r="J510" s="477"/>
      <c r="K510" s="477"/>
      <c r="L510" s="477"/>
      <c r="M510" s="477"/>
      <c r="N510" s="477"/>
      <c r="O510" s="477"/>
      <c r="P510" s="477"/>
      <c r="Q510" s="477"/>
      <c r="R510" s="477"/>
      <c r="S510" s="477"/>
      <c r="T510" s="477"/>
      <c r="U510" s="477"/>
      <c r="V510" s="477"/>
      <c r="W510" s="477"/>
      <c r="X510" s="477"/>
      <c r="Y510" s="477"/>
      <c r="Z510" s="477"/>
    </row>
    <row r="511" spans="1:26" ht="15" customHeight="1" x14ac:dyDescent="0.35">
      <c r="A511" s="477"/>
      <c r="B511" s="477"/>
      <c r="C511" s="477"/>
      <c r="D511" s="477"/>
      <c r="E511" s="477"/>
      <c r="F511" s="477"/>
      <c r="G511" s="477"/>
      <c r="H511" s="477"/>
      <c r="I511" s="477"/>
      <c r="J511" s="477"/>
      <c r="K511" s="477"/>
      <c r="L511" s="477"/>
      <c r="M511" s="477"/>
      <c r="N511" s="477"/>
      <c r="O511" s="477"/>
      <c r="P511" s="477"/>
      <c r="Q511" s="477"/>
      <c r="R511" s="477"/>
      <c r="S511" s="477"/>
      <c r="T511" s="477"/>
      <c r="U511" s="477"/>
      <c r="V511" s="477"/>
      <c r="W511" s="477"/>
      <c r="X511" s="477"/>
      <c r="Y511" s="477"/>
      <c r="Z511" s="477"/>
    </row>
    <row r="512" spans="1:26" ht="15" customHeight="1" x14ac:dyDescent="0.35">
      <c r="A512" s="477"/>
      <c r="B512" s="477"/>
      <c r="C512" s="477"/>
      <c r="D512" s="477"/>
      <c r="E512" s="477"/>
      <c r="F512" s="477"/>
      <c r="G512" s="477"/>
      <c r="H512" s="477"/>
      <c r="I512" s="477"/>
      <c r="J512" s="477"/>
      <c r="K512" s="477"/>
      <c r="L512" s="477"/>
      <c r="M512" s="477"/>
      <c r="N512" s="477"/>
      <c r="O512" s="477"/>
      <c r="P512" s="477"/>
      <c r="Q512" s="477"/>
      <c r="R512" s="477"/>
      <c r="S512" s="477"/>
      <c r="T512" s="477"/>
      <c r="U512" s="477"/>
      <c r="V512" s="477"/>
      <c r="W512" s="477"/>
      <c r="X512" s="477"/>
      <c r="Y512" s="477"/>
      <c r="Z512" s="477"/>
    </row>
    <row r="513" spans="1:26" ht="15" customHeight="1" x14ac:dyDescent="0.35">
      <c r="A513" s="477"/>
      <c r="B513" s="477"/>
      <c r="C513" s="477"/>
      <c r="D513" s="477"/>
      <c r="E513" s="477"/>
      <c r="F513" s="477"/>
      <c r="G513" s="477"/>
      <c r="H513" s="477"/>
      <c r="I513" s="477"/>
      <c r="J513" s="477"/>
      <c r="K513" s="477"/>
      <c r="L513" s="477"/>
      <c r="M513" s="477"/>
      <c r="N513" s="477"/>
      <c r="O513" s="477"/>
      <c r="P513" s="477"/>
      <c r="Q513" s="477"/>
      <c r="R513" s="477"/>
      <c r="S513" s="477"/>
      <c r="T513" s="477"/>
      <c r="U513" s="477"/>
      <c r="V513" s="477"/>
      <c r="W513" s="477"/>
      <c r="X513" s="477"/>
      <c r="Y513" s="477"/>
      <c r="Z513" s="477"/>
    </row>
    <row r="514" spans="1:26" ht="15" customHeight="1" x14ac:dyDescent="0.35">
      <c r="A514" s="477"/>
      <c r="B514" s="477"/>
      <c r="C514" s="477"/>
      <c r="D514" s="477"/>
      <c r="E514" s="477"/>
      <c r="F514" s="477"/>
      <c r="G514" s="477"/>
      <c r="H514" s="477"/>
      <c r="I514" s="477"/>
      <c r="J514" s="477"/>
      <c r="K514" s="477"/>
      <c r="L514" s="477"/>
      <c r="M514" s="477"/>
      <c r="N514" s="477"/>
      <c r="O514" s="477"/>
      <c r="P514" s="477"/>
      <c r="Q514" s="477"/>
      <c r="R514" s="477"/>
      <c r="S514" s="477"/>
      <c r="T514" s="477"/>
      <c r="U514" s="477"/>
      <c r="V514" s="477"/>
      <c r="W514" s="477"/>
      <c r="X514" s="477"/>
      <c r="Y514" s="477"/>
      <c r="Z514" s="477"/>
    </row>
    <row r="515" spans="1:26" ht="15" customHeight="1" x14ac:dyDescent="0.35">
      <c r="A515" s="477"/>
      <c r="B515" s="477"/>
      <c r="C515" s="477"/>
      <c r="D515" s="477"/>
      <c r="E515" s="477"/>
      <c r="F515" s="477"/>
      <c r="G515" s="477"/>
      <c r="H515" s="477"/>
      <c r="I515" s="477"/>
      <c r="J515" s="477"/>
      <c r="K515" s="477"/>
      <c r="L515" s="477"/>
      <c r="M515" s="477"/>
      <c r="N515" s="477"/>
      <c r="O515" s="477"/>
      <c r="P515" s="477"/>
      <c r="Q515" s="477"/>
      <c r="R515" s="477"/>
      <c r="S515" s="477"/>
      <c r="T515" s="477"/>
      <c r="U515" s="477"/>
      <c r="V515" s="477"/>
      <c r="W515" s="477"/>
      <c r="X515" s="477"/>
      <c r="Y515" s="477"/>
      <c r="Z515" s="477"/>
    </row>
    <row r="516" spans="1:26" ht="15" customHeight="1" x14ac:dyDescent="0.35">
      <c r="A516" s="477"/>
      <c r="B516" s="477"/>
      <c r="C516" s="477"/>
      <c r="D516" s="477"/>
      <c r="E516" s="477"/>
      <c r="F516" s="477"/>
      <c r="G516" s="477"/>
      <c r="H516" s="477"/>
      <c r="I516" s="477"/>
      <c r="J516" s="477"/>
      <c r="K516" s="477"/>
      <c r="L516" s="477"/>
      <c r="M516" s="477"/>
      <c r="N516" s="477"/>
      <c r="O516" s="477"/>
      <c r="P516" s="477"/>
      <c r="Q516" s="477"/>
      <c r="R516" s="477"/>
      <c r="S516" s="477"/>
      <c r="T516" s="477"/>
      <c r="U516" s="477"/>
      <c r="V516" s="477"/>
      <c r="W516" s="477"/>
      <c r="X516" s="477"/>
      <c r="Y516" s="477"/>
      <c r="Z516" s="477"/>
    </row>
    <row r="517" spans="1:26" ht="15" customHeight="1" x14ac:dyDescent="0.35">
      <c r="A517" s="477"/>
      <c r="B517" s="477"/>
      <c r="C517" s="477"/>
      <c r="D517" s="477"/>
      <c r="E517" s="477"/>
      <c r="F517" s="477"/>
      <c r="G517" s="477"/>
      <c r="H517" s="477"/>
      <c r="I517" s="477"/>
      <c r="J517" s="477"/>
      <c r="K517" s="477"/>
      <c r="L517" s="477"/>
      <c r="M517" s="477"/>
      <c r="N517" s="477"/>
      <c r="O517" s="477"/>
      <c r="P517" s="477"/>
      <c r="Q517" s="477"/>
      <c r="R517" s="477"/>
      <c r="S517" s="477"/>
      <c r="T517" s="477"/>
      <c r="U517" s="477"/>
      <c r="V517" s="477"/>
      <c r="W517" s="477"/>
      <c r="X517" s="477"/>
      <c r="Y517" s="477"/>
      <c r="Z517" s="477"/>
    </row>
    <row r="518" spans="1:26" ht="15" customHeight="1" x14ac:dyDescent="0.35">
      <c r="A518" s="477"/>
      <c r="B518" s="477"/>
      <c r="C518" s="477"/>
      <c r="D518" s="477"/>
      <c r="E518" s="477"/>
      <c r="F518" s="477"/>
      <c r="G518" s="477"/>
      <c r="H518" s="477"/>
      <c r="I518" s="477"/>
      <c r="J518" s="477"/>
      <c r="K518" s="477"/>
      <c r="L518" s="477"/>
      <c r="M518" s="477"/>
      <c r="N518" s="477"/>
      <c r="O518" s="477"/>
      <c r="P518" s="477"/>
      <c r="Q518" s="477"/>
      <c r="R518" s="477"/>
      <c r="S518" s="477"/>
      <c r="T518" s="477"/>
      <c r="U518" s="477"/>
      <c r="V518" s="477"/>
      <c r="W518" s="477"/>
      <c r="X518" s="477"/>
      <c r="Y518" s="477"/>
      <c r="Z518" s="477"/>
    </row>
    <row r="519" spans="1:26" ht="15" customHeight="1" x14ac:dyDescent="0.35">
      <c r="A519" s="477"/>
      <c r="B519" s="477"/>
      <c r="C519" s="477"/>
      <c r="D519" s="477"/>
      <c r="E519" s="477"/>
      <c r="F519" s="477"/>
      <c r="G519" s="477"/>
      <c r="H519" s="477"/>
      <c r="I519" s="477"/>
      <c r="J519" s="477"/>
      <c r="K519" s="477"/>
      <c r="L519" s="477"/>
      <c r="M519" s="477"/>
      <c r="N519" s="477"/>
      <c r="O519" s="477"/>
      <c r="P519" s="477"/>
      <c r="Q519" s="477"/>
      <c r="R519" s="477"/>
      <c r="S519" s="477"/>
      <c r="T519" s="477"/>
      <c r="U519" s="477"/>
      <c r="V519" s="477"/>
      <c r="W519" s="477"/>
      <c r="X519" s="477"/>
      <c r="Y519" s="477"/>
      <c r="Z519" s="477"/>
    </row>
    <row r="520" spans="1:26" ht="15" customHeight="1" x14ac:dyDescent="0.35">
      <c r="A520" s="477"/>
      <c r="B520" s="477"/>
      <c r="C520" s="477"/>
      <c r="D520" s="477"/>
      <c r="E520" s="477"/>
      <c r="F520" s="477"/>
      <c r="G520" s="477"/>
      <c r="H520" s="477"/>
      <c r="I520" s="477"/>
      <c r="J520" s="477"/>
      <c r="K520" s="477"/>
      <c r="L520" s="477"/>
      <c r="M520" s="477"/>
      <c r="N520" s="477"/>
      <c r="O520" s="477"/>
      <c r="P520" s="477"/>
      <c r="Q520" s="477"/>
      <c r="R520" s="477"/>
      <c r="S520" s="477"/>
      <c r="T520" s="477"/>
      <c r="U520" s="477"/>
      <c r="V520" s="477"/>
      <c r="W520" s="477"/>
      <c r="X520" s="477"/>
      <c r="Y520" s="477"/>
      <c r="Z520" s="477"/>
    </row>
    <row r="521" spans="1:26" ht="15" customHeight="1" x14ac:dyDescent="0.35">
      <c r="A521" s="477"/>
      <c r="B521" s="477"/>
      <c r="C521" s="477"/>
      <c r="D521" s="477"/>
      <c r="E521" s="477"/>
      <c r="F521" s="477"/>
      <c r="G521" s="477"/>
      <c r="H521" s="477"/>
      <c r="I521" s="477"/>
      <c r="J521" s="477"/>
      <c r="K521" s="477"/>
      <c r="L521" s="477"/>
      <c r="M521" s="477"/>
      <c r="N521" s="477"/>
      <c r="O521" s="477"/>
      <c r="P521" s="477"/>
      <c r="Q521" s="477"/>
      <c r="R521" s="477"/>
      <c r="S521" s="477"/>
      <c r="T521" s="477"/>
      <c r="U521" s="477"/>
      <c r="V521" s="477"/>
      <c r="W521" s="477"/>
      <c r="X521" s="477"/>
      <c r="Y521" s="477"/>
      <c r="Z521" s="477"/>
    </row>
    <row r="522" spans="1:26" ht="15" customHeight="1" x14ac:dyDescent="0.35">
      <c r="A522" s="477"/>
      <c r="B522" s="477"/>
      <c r="C522" s="477"/>
      <c r="D522" s="477"/>
      <c r="E522" s="477"/>
      <c r="F522" s="477"/>
      <c r="G522" s="477"/>
      <c r="H522" s="477"/>
      <c r="I522" s="477"/>
      <c r="J522" s="477"/>
      <c r="K522" s="477"/>
      <c r="L522" s="477"/>
      <c r="M522" s="477"/>
      <c r="N522" s="477"/>
      <c r="O522" s="477"/>
      <c r="P522" s="477"/>
      <c r="Q522" s="477"/>
      <c r="R522" s="477"/>
      <c r="S522" s="477"/>
      <c r="T522" s="477"/>
      <c r="U522" s="477"/>
      <c r="V522" s="477"/>
      <c r="W522" s="477"/>
      <c r="X522" s="477"/>
      <c r="Y522" s="477"/>
      <c r="Z522" s="477"/>
    </row>
    <row r="523" spans="1:26" ht="15" customHeight="1" x14ac:dyDescent="0.35">
      <c r="A523" s="477"/>
      <c r="B523" s="477"/>
      <c r="C523" s="477"/>
      <c r="D523" s="477"/>
      <c r="E523" s="477"/>
      <c r="F523" s="477"/>
      <c r="G523" s="477"/>
      <c r="H523" s="477"/>
      <c r="I523" s="477"/>
      <c r="J523" s="477"/>
      <c r="K523" s="477"/>
      <c r="L523" s="477"/>
      <c r="M523" s="477"/>
      <c r="N523" s="477"/>
      <c r="O523" s="477"/>
      <c r="P523" s="477"/>
      <c r="Q523" s="477"/>
      <c r="R523" s="477"/>
      <c r="S523" s="477"/>
      <c r="T523" s="477"/>
      <c r="U523" s="477"/>
      <c r="V523" s="477"/>
      <c r="W523" s="477"/>
      <c r="X523" s="477"/>
      <c r="Y523" s="477"/>
      <c r="Z523" s="477"/>
    </row>
    <row r="524" spans="1:26" ht="15" customHeight="1" x14ac:dyDescent="0.35">
      <c r="A524" s="477"/>
      <c r="B524" s="477"/>
      <c r="C524" s="477"/>
      <c r="D524" s="477"/>
      <c r="E524" s="477"/>
      <c r="F524" s="477"/>
      <c r="G524" s="477"/>
      <c r="H524" s="477"/>
      <c r="I524" s="477"/>
      <c r="J524" s="477"/>
      <c r="K524" s="477"/>
      <c r="L524" s="477"/>
      <c r="M524" s="477"/>
      <c r="N524" s="477"/>
      <c r="O524" s="477"/>
      <c r="P524" s="477"/>
      <c r="Q524" s="477"/>
      <c r="R524" s="477"/>
      <c r="S524" s="477"/>
      <c r="T524" s="477"/>
      <c r="U524" s="477"/>
      <c r="V524" s="477"/>
      <c r="W524" s="477"/>
      <c r="X524" s="477"/>
      <c r="Y524" s="477"/>
      <c r="Z524" s="477"/>
    </row>
    <row r="525" spans="1:26" ht="15" customHeight="1" x14ac:dyDescent="0.35">
      <c r="A525" s="477"/>
      <c r="B525" s="477"/>
      <c r="C525" s="477"/>
      <c r="D525" s="477"/>
      <c r="E525" s="477"/>
      <c r="F525" s="477"/>
      <c r="G525" s="477"/>
      <c r="H525" s="477"/>
      <c r="I525" s="477"/>
      <c r="J525" s="477"/>
      <c r="K525" s="477"/>
      <c r="L525" s="477"/>
      <c r="M525" s="477"/>
      <c r="N525" s="477"/>
      <c r="O525" s="477"/>
      <c r="P525" s="477"/>
      <c r="Q525" s="477"/>
      <c r="R525" s="477"/>
      <c r="S525" s="477"/>
      <c r="T525" s="477"/>
      <c r="U525" s="477"/>
      <c r="V525" s="477"/>
      <c r="W525" s="477"/>
      <c r="X525" s="477"/>
      <c r="Y525" s="477"/>
      <c r="Z525" s="477"/>
    </row>
    <row r="526" spans="1:26" ht="15" customHeight="1" x14ac:dyDescent="0.35">
      <c r="A526" s="477"/>
      <c r="B526" s="477"/>
      <c r="C526" s="477"/>
      <c r="D526" s="477"/>
      <c r="E526" s="477"/>
      <c r="F526" s="477"/>
      <c r="G526" s="477"/>
      <c r="H526" s="477"/>
      <c r="I526" s="477"/>
      <c r="J526" s="477"/>
      <c r="K526" s="477"/>
      <c r="L526" s="477"/>
      <c r="M526" s="477"/>
      <c r="N526" s="477"/>
      <c r="O526" s="477"/>
      <c r="P526" s="477"/>
      <c r="Q526" s="477"/>
      <c r="R526" s="477"/>
      <c r="S526" s="477"/>
      <c r="T526" s="477"/>
      <c r="U526" s="477"/>
      <c r="V526" s="477"/>
      <c r="W526" s="477"/>
      <c r="X526" s="477"/>
      <c r="Y526" s="477"/>
      <c r="Z526" s="477"/>
    </row>
    <row r="527" spans="1:26" ht="15" customHeight="1" x14ac:dyDescent="0.35">
      <c r="A527" s="477"/>
      <c r="B527" s="477"/>
      <c r="C527" s="477"/>
      <c r="D527" s="477"/>
      <c r="E527" s="477"/>
      <c r="F527" s="477"/>
      <c r="G527" s="477"/>
      <c r="H527" s="477"/>
      <c r="I527" s="477"/>
      <c r="J527" s="477"/>
      <c r="K527" s="477"/>
      <c r="L527" s="477"/>
      <c r="M527" s="477"/>
      <c r="N527" s="477"/>
      <c r="O527" s="477"/>
      <c r="P527" s="477"/>
      <c r="Q527" s="477"/>
      <c r="R527" s="477"/>
      <c r="S527" s="477"/>
      <c r="T527" s="477"/>
      <c r="U527" s="477"/>
      <c r="V527" s="477"/>
      <c r="W527" s="477"/>
      <c r="X527" s="477"/>
      <c r="Y527" s="477"/>
      <c r="Z527" s="477"/>
    </row>
    <row r="528" spans="1:26" ht="15" customHeight="1" x14ac:dyDescent="0.35">
      <c r="A528" s="477"/>
      <c r="B528" s="477"/>
      <c r="C528" s="477"/>
      <c r="D528" s="477"/>
      <c r="E528" s="477"/>
      <c r="F528" s="477"/>
      <c r="G528" s="477"/>
      <c r="H528" s="477"/>
      <c r="I528" s="477"/>
      <c r="J528" s="477"/>
      <c r="K528" s="477"/>
      <c r="L528" s="477"/>
      <c r="M528" s="477"/>
      <c r="N528" s="477"/>
      <c r="O528" s="477"/>
      <c r="P528" s="477"/>
      <c r="Q528" s="477"/>
      <c r="R528" s="477"/>
      <c r="S528" s="477"/>
      <c r="T528" s="477"/>
      <c r="U528" s="477"/>
      <c r="V528" s="477"/>
      <c r="W528" s="477"/>
      <c r="X528" s="477"/>
      <c r="Y528" s="477"/>
      <c r="Z528" s="477"/>
    </row>
    <row r="529" spans="1:26" ht="15" customHeight="1" x14ac:dyDescent="0.35">
      <c r="A529" s="477"/>
      <c r="B529" s="477"/>
      <c r="C529" s="477"/>
      <c r="D529" s="477"/>
      <c r="E529" s="477"/>
      <c r="F529" s="477"/>
      <c r="G529" s="477"/>
      <c r="H529" s="477"/>
      <c r="I529" s="477"/>
      <c r="J529" s="477"/>
      <c r="K529" s="477"/>
      <c r="L529" s="477"/>
      <c r="M529" s="477"/>
      <c r="N529" s="477"/>
      <c r="O529" s="477"/>
      <c r="P529" s="477"/>
      <c r="Q529" s="477"/>
      <c r="R529" s="477"/>
      <c r="S529" s="477"/>
      <c r="T529" s="477"/>
      <c r="U529" s="477"/>
      <c r="V529" s="477"/>
      <c r="W529" s="477"/>
      <c r="X529" s="477"/>
      <c r="Y529" s="477"/>
      <c r="Z529" s="477"/>
    </row>
    <row r="530" spans="1:26" ht="15" customHeight="1" x14ac:dyDescent="0.35">
      <c r="A530" s="477"/>
      <c r="B530" s="477"/>
      <c r="C530" s="477"/>
      <c r="D530" s="477"/>
      <c r="E530" s="477"/>
      <c r="F530" s="477"/>
      <c r="G530" s="477"/>
      <c r="H530" s="477"/>
      <c r="I530" s="477"/>
      <c r="J530" s="477"/>
      <c r="K530" s="477"/>
      <c r="L530" s="477"/>
      <c r="M530" s="477"/>
      <c r="N530" s="477"/>
      <c r="O530" s="477"/>
      <c r="P530" s="477"/>
      <c r="Q530" s="477"/>
      <c r="R530" s="477"/>
      <c r="S530" s="477"/>
      <c r="T530" s="477"/>
      <c r="U530" s="477"/>
      <c r="V530" s="477"/>
      <c r="W530" s="477"/>
      <c r="X530" s="477"/>
      <c r="Y530" s="477"/>
      <c r="Z530" s="477"/>
    </row>
    <row r="531" spans="1:26" ht="15" customHeight="1" x14ac:dyDescent="0.35">
      <c r="A531" s="477"/>
      <c r="B531" s="477"/>
      <c r="C531" s="477"/>
      <c r="D531" s="477"/>
      <c r="E531" s="477"/>
      <c r="F531" s="477"/>
      <c r="G531" s="477"/>
      <c r="H531" s="477"/>
      <c r="I531" s="477"/>
      <c r="J531" s="477"/>
      <c r="K531" s="477"/>
      <c r="L531" s="477"/>
      <c r="M531" s="477"/>
      <c r="N531" s="477"/>
      <c r="O531" s="477"/>
      <c r="P531" s="477"/>
      <c r="Q531" s="477"/>
      <c r="R531" s="477"/>
      <c r="S531" s="477"/>
      <c r="T531" s="477"/>
      <c r="U531" s="477"/>
      <c r="V531" s="477"/>
      <c r="W531" s="477"/>
      <c r="X531" s="477"/>
      <c r="Y531" s="477"/>
      <c r="Z531" s="477"/>
    </row>
    <row r="532" spans="1:26" ht="15" customHeight="1" x14ac:dyDescent="0.35">
      <c r="A532" s="477"/>
      <c r="B532" s="477"/>
      <c r="C532" s="477"/>
      <c r="D532" s="477"/>
      <c r="E532" s="477"/>
      <c r="F532" s="477"/>
      <c r="G532" s="477"/>
      <c r="H532" s="477"/>
      <c r="I532" s="477"/>
      <c r="J532" s="477"/>
      <c r="K532" s="477"/>
      <c r="L532" s="477"/>
      <c r="M532" s="477"/>
      <c r="N532" s="477"/>
      <c r="O532" s="477"/>
      <c r="P532" s="477"/>
      <c r="Q532" s="477"/>
      <c r="R532" s="477"/>
      <c r="S532" s="477"/>
      <c r="T532" s="477"/>
      <c r="U532" s="477"/>
      <c r="V532" s="477"/>
      <c r="W532" s="477"/>
      <c r="X532" s="477"/>
      <c r="Y532" s="477"/>
      <c r="Z532" s="477"/>
    </row>
    <row r="533" spans="1:26" ht="15" customHeight="1" x14ac:dyDescent="0.35">
      <c r="A533" s="477"/>
      <c r="B533" s="477"/>
      <c r="C533" s="477"/>
      <c r="D533" s="477"/>
      <c r="E533" s="477"/>
      <c r="F533" s="477"/>
      <c r="G533" s="477"/>
      <c r="H533" s="477"/>
      <c r="I533" s="477"/>
      <c r="J533" s="477"/>
      <c r="K533" s="477"/>
      <c r="L533" s="477"/>
      <c r="M533" s="477"/>
      <c r="N533" s="477"/>
      <c r="O533" s="477"/>
      <c r="P533" s="477"/>
      <c r="Q533" s="477"/>
      <c r="R533" s="477"/>
      <c r="S533" s="477"/>
      <c r="T533" s="477"/>
      <c r="U533" s="477"/>
      <c r="V533" s="477"/>
      <c r="W533" s="477"/>
      <c r="X533" s="477"/>
      <c r="Y533" s="477"/>
      <c r="Z533" s="477"/>
    </row>
    <row r="534" spans="1:26" ht="15" customHeight="1" x14ac:dyDescent="0.35">
      <c r="A534" s="477"/>
      <c r="B534" s="477"/>
      <c r="C534" s="477"/>
      <c r="D534" s="477"/>
      <c r="E534" s="477"/>
      <c r="F534" s="477"/>
      <c r="G534" s="477"/>
      <c r="H534" s="477"/>
      <c r="I534" s="477"/>
      <c r="J534" s="477"/>
      <c r="K534" s="477"/>
      <c r="L534" s="477"/>
      <c r="M534" s="477"/>
      <c r="N534" s="477"/>
      <c r="O534" s="477"/>
      <c r="P534" s="477"/>
      <c r="Q534" s="477"/>
      <c r="R534" s="477"/>
      <c r="S534" s="477"/>
      <c r="T534" s="477"/>
      <c r="U534" s="477"/>
      <c r="V534" s="477"/>
      <c r="W534" s="477"/>
      <c r="X534" s="477"/>
      <c r="Y534" s="477"/>
      <c r="Z534" s="477"/>
    </row>
    <row r="535" spans="1:26" ht="15" customHeight="1" x14ac:dyDescent="0.35">
      <c r="A535" s="477"/>
      <c r="B535" s="477"/>
      <c r="C535" s="477"/>
      <c r="D535" s="477"/>
      <c r="E535" s="477"/>
      <c r="F535" s="477"/>
      <c r="G535" s="477"/>
      <c r="H535" s="477"/>
      <c r="I535" s="477"/>
      <c r="J535" s="477"/>
      <c r="K535" s="477"/>
      <c r="L535" s="477"/>
      <c r="M535" s="477"/>
      <c r="N535" s="477"/>
      <c r="O535" s="477"/>
      <c r="P535" s="477"/>
      <c r="Q535" s="477"/>
      <c r="R535" s="477"/>
      <c r="S535" s="477"/>
      <c r="T535" s="477"/>
      <c r="U535" s="477"/>
      <c r="V535" s="477"/>
      <c r="W535" s="477"/>
      <c r="X535" s="477"/>
      <c r="Y535" s="477"/>
      <c r="Z535" s="477"/>
    </row>
    <row r="536" spans="1:26" ht="15" customHeight="1" x14ac:dyDescent="0.35">
      <c r="A536" s="477"/>
      <c r="B536" s="477"/>
      <c r="C536" s="477"/>
      <c r="D536" s="477"/>
      <c r="E536" s="477"/>
      <c r="F536" s="477"/>
      <c r="G536" s="477"/>
      <c r="H536" s="477"/>
      <c r="I536" s="477"/>
      <c r="J536" s="477"/>
      <c r="K536" s="477"/>
      <c r="L536" s="477"/>
      <c r="M536" s="477"/>
      <c r="N536" s="477"/>
      <c r="O536" s="477"/>
      <c r="P536" s="477"/>
      <c r="Q536" s="477"/>
      <c r="R536" s="477"/>
      <c r="S536" s="477"/>
      <c r="T536" s="477"/>
      <c r="U536" s="477"/>
      <c r="V536" s="477"/>
      <c r="W536" s="477"/>
      <c r="X536" s="477"/>
      <c r="Y536" s="477"/>
      <c r="Z536" s="477"/>
    </row>
    <row r="537" spans="1:26" ht="15" customHeight="1" x14ac:dyDescent="0.35">
      <c r="A537" s="477"/>
      <c r="B537" s="477"/>
      <c r="C537" s="477"/>
      <c r="D537" s="477"/>
      <c r="E537" s="477"/>
      <c r="F537" s="477"/>
      <c r="G537" s="477"/>
      <c r="H537" s="477"/>
      <c r="I537" s="477"/>
      <c r="J537" s="477"/>
      <c r="K537" s="477"/>
      <c r="L537" s="477"/>
      <c r="M537" s="477"/>
      <c r="N537" s="477"/>
      <c r="O537" s="477"/>
      <c r="P537" s="477"/>
      <c r="Q537" s="477"/>
      <c r="R537" s="477"/>
      <c r="S537" s="477"/>
      <c r="T537" s="477"/>
      <c r="U537" s="477"/>
      <c r="V537" s="477"/>
      <c r="W537" s="477"/>
      <c r="X537" s="477"/>
      <c r="Y537" s="477"/>
      <c r="Z537" s="477"/>
    </row>
    <row r="538" spans="1:26" ht="15" customHeight="1" x14ac:dyDescent="0.35">
      <c r="A538" s="477"/>
      <c r="B538" s="477"/>
      <c r="C538" s="477"/>
      <c r="D538" s="477"/>
      <c r="E538" s="477"/>
      <c r="F538" s="477"/>
      <c r="G538" s="477"/>
      <c r="H538" s="477"/>
      <c r="I538" s="477"/>
      <c r="J538" s="477"/>
      <c r="K538" s="477"/>
      <c r="L538" s="477"/>
      <c r="M538" s="477"/>
      <c r="N538" s="477"/>
      <c r="O538" s="477"/>
      <c r="P538" s="477"/>
      <c r="Q538" s="477"/>
      <c r="R538" s="477"/>
      <c r="S538" s="477"/>
      <c r="T538" s="477"/>
      <c r="U538" s="477"/>
      <c r="V538" s="477"/>
      <c r="W538" s="477"/>
      <c r="X538" s="477"/>
      <c r="Y538" s="477"/>
      <c r="Z538" s="477"/>
    </row>
    <row r="539" spans="1:26" ht="15" customHeight="1" x14ac:dyDescent="0.35">
      <c r="A539" s="477"/>
      <c r="B539" s="477"/>
      <c r="C539" s="477"/>
      <c r="D539" s="477"/>
      <c r="E539" s="477"/>
      <c r="F539" s="477"/>
      <c r="G539" s="477"/>
      <c r="H539" s="477"/>
      <c r="I539" s="477"/>
      <c r="J539" s="477"/>
      <c r="K539" s="477"/>
      <c r="L539" s="477"/>
      <c r="M539" s="477"/>
      <c r="N539" s="477"/>
      <c r="O539" s="477"/>
      <c r="P539" s="477"/>
      <c r="Q539" s="477"/>
      <c r="R539" s="477"/>
      <c r="S539" s="477"/>
      <c r="T539" s="477"/>
      <c r="U539" s="477"/>
      <c r="V539" s="477"/>
      <c r="W539" s="477"/>
      <c r="X539" s="477"/>
      <c r="Y539" s="477"/>
      <c r="Z539" s="477"/>
    </row>
    <row r="540" spans="1:26" ht="15" customHeight="1" x14ac:dyDescent="0.35">
      <c r="A540" s="477"/>
      <c r="B540" s="477"/>
      <c r="C540" s="477"/>
      <c r="D540" s="477"/>
      <c r="E540" s="477"/>
      <c r="F540" s="477"/>
      <c r="G540" s="477"/>
      <c r="H540" s="477"/>
      <c r="I540" s="477"/>
      <c r="J540" s="477"/>
      <c r="K540" s="477"/>
      <c r="L540" s="477"/>
      <c r="M540" s="477"/>
      <c r="N540" s="477"/>
      <c r="O540" s="477"/>
      <c r="P540" s="477"/>
      <c r="Q540" s="477"/>
      <c r="R540" s="477"/>
      <c r="S540" s="477"/>
      <c r="T540" s="477"/>
      <c r="U540" s="477"/>
      <c r="V540" s="477"/>
      <c r="W540" s="477"/>
      <c r="X540" s="477"/>
      <c r="Y540" s="477"/>
      <c r="Z540" s="477"/>
    </row>
    <row r="541" spans="1:26" ht="15" customHeight="1" x14ac:dyDescent="0.35">
      <c r="A541" s="477"/>
      <c r="B541" s="477"/>
      <c r="C541" s="477"/>
      <c r="D541" s="477"/>
      <c r="E541" s="477"/>
      <c r="F541" s="477"/>
      <c r="G541" s="477"/>
      <c r="H541" s="477"/>
      <c r="I541" s="477"/>
      <c r="J541" s="477"/>
      <c r="K541" s="477"/>
      <c r="L541" s="477"/>
      <c r="M541" s="477"/>
      <c r="N541" s="477"/>
      <c r="O541" s="477"/>
      <c r="P541" s="477"/>
      <c r="Q541" s="477"/>
      <c r="R541" s="477"/>
      <c r="S541" s="477"/>
      <c r="T541" s="477"/>
      <c r="U541" s="477"/>
      <c r="V541" s="477"/>
      <c r="W541" s="477"/>
      <c r="X541" s="477"/>
      <c r="Y541" s="477"/>
      <c r="Z541" s="477"/>
    </row>
    <row r="542" spans="1:26" ht="15" customHeight="1" x14ac:dyDescent="0.35">
      <c r="A542" s="477"/>
      <c r="B542" s="477"/>
      <c r="C542" s="477"/>
      <c r="D542" s="477"/>
      <c r="E542" s="477"/>
      <c r="F542" s="477"/>
      <c r="G542" s="477"/>
      <c r="H542" s="477"/>
      <c r="I542" s="477"/>
      <c r="J542" s="477"/>
      <c r="K542" s="477"/>
      <c r="L542" s="477"/>
      <c r="M542" s="477"/>
      <c r="N542" s="477"/>
      <c r="O542" s="477"/>
      <c r="P542" s="477"/>
      <c r="Q542" s="477"/>
      <c r="R542" s="477"/>
      <c r="S542" s="477"/>
      <c r="T542" s="477"/>
      <c r="U542" s="477"/>
      <c r="V542" s="477"/>
      <c r="W542" s="477"/>
      <c r="X542" s="477"/>
      <c r="Y542" s="477"/>
      <c r="Z542" s="477"/>
    </row>
    <row r="543" spans="1:26" ht="15" customHeight="1" x14ac:dyDescent="0.35">
      <c r="A543" s="477"/>
      <c r="B543" s="477"/>
      <c r="C543" s="477"/>
      <c r="D543" s="477"/>
      <c r="E543" s="477"/>
      <c r="F543" s="477"/>
      <c r="G543" s="477"/>
      <c r="H543" s="477"/>
      <c r="I543" s="477"/>
      <c r="J543" s="477"/>
      <c r="K543" s="477"/>
      <c r="L543" s="477"/>
      <c r="M543" s="477"/>
      <c r="N543" s="477"/>
      <c r="O543" s="477"/>
      <c r="P543" s="477"/>
      <c r="Q543" s="477"/>
      <c r="R543" s="477"/>
      <c r="S543" s="477"/>
      <c r="T543" s="477"/>
      <c r="U543" s="477"/>
      <c r="V543" s="477"/>
      <c r="W543" s="477"/>
      <c r="X543" s="477"/>
      <c r="Y543" s="477"/>
      <c r="Z543" s="477"/>
    </row>
    <row r="544" spans="1:26" ht="15" customHeight="1" x14ac:dyDescent="0.35">
      <c r="A544" s="477"/>
      <c r="B544" s="477"/>
      <c r="C544" s="477"/>
      <c r="D544" s="477"/>
      <c r="E544" s="477"/>
      <c r="F544" s="477"/>
      <c r="G544" s="477"/>
      <c r="H544" s="477"/>
      <c r="I544" s="477"/>
      <c r="J544" s="477"/>
      <c r="K544" s="477"/>
      <c r="L544" s="477"/>
      <c r="M544" s="477"/>
      <c r="N544" s="477"/>
      <c r="O544" s="477"/>
      <c r="P544" s="477"/>
      <c r="Q544" s="477"/>
      <c r="R544" s="477"/>
      <c r="S544" s="477"/>
      <c r="T544" s="477"/>
      <c r="U544" s="477"/>
      <c r="V544" s="477"/>
      <c r="W544" s="477"/>
      <c r="X544" s="477"/>
      <c r="Y544" s="477"/>
      <c r="Z544" s="477"/>
    </row>
    <row r="545" spans="1:26" ht="15" customHeight="1" x14ac:dyDescent="0.35">
      <c r="A545" s="477"/>
      <c r="B545" s="477"/>
      <c r="C545" s="477"/>
      <c r="D545" s="477"/>
      <c r="E545" s="477"/>
      <c r="F545" s="477"/>
      <c r="G545" s="477"/>
      <c r="H545" s="477"/>
      <c r="I545" s="477"/>
      <c r="J545" s="477"/>
      <c r="K545" s="477"/>
      <c r="L545" s="477"/>
      <c r="M545" s="477"/>
      <c r="N545" s="477"/>
      <c r="O545" s="477"/>
      <c r="P545" s="477"/>
      <c r="Q545" s="477"/>
      <c r="R545" s="477"/>
      <c r="S545" s="477"/>
      <c r="T545" s="477"/>
      <c r="U545" s="477"/>
      <c r="V545" s="477"/>
      <c r="W545" s="477"/>
      <c r="X545" s="477"/>
      <c r="Y545" s="477"/>
      <c r="Z545" s="477"/>
    </row>
    <row r="546" spans="1:26" ht="15" customHeight="1" x14ac:dyDescent="0.35">
      <c r="A546" s="477"/>
      <c r="B546" s="477"/>
      <c r="C546" s="477"/>
      <c r="D546" s="477"/>
      <c r="E546" s="477"/>
      <c r="F546" s="477"/>
      <c r="G546" s="477"/>
      <c r="H546" s="477"/>
      <c r="I546" s="477"/>
      <c r="J546" s="477"/>
      <c r="K546" s="477"/>
      <c r="L546" s="477"/>
      <c r="M546" s="477"/>
      <c r="N546" s="477"/>
      <c r="O546" s="477"/>
      <c r="P546" s="477"/>
      <c r="Q546" s="477"/>
      <c r="R546" s="477"/>
      <c r="S546" s="477"/>
      <c r="T546" s="477"/>
      <c r="U546" s="477"/>
      <c r="V546" s="477"/>
      <c r="W546" s="477"/>
      <c r="X546" s="477"/>
      <c r="Y546" s="477"/>
      <c r="Z546" s="477"/>
    </row>
    <row r="547" spans="1:26" ht="15" customHeight="1" x14ac:dyDescent="0.35">
      <c r="A547" s="477"/>
      <c r="B547" s="477"/>
      <c r="C547" s="477"/>
      <c r="D547" s="477"/>
      <c r="E547" s="477"/>
      <c r="F547" s="477"/>
      <c r="G547" s="477"/>
      <c r="H547" s="477"/>
      <c r="I547" s="477"/>
      <c r="J547" s="477"/>
      <c r="K547" s="477"/>
      <c r="L547" s="477"/>
      <c r="M547" s="477"/>
      <c r="N547" s="477"/>
      <c r="O547" s="477"/>
      <c r="P547" s="477"/>
      <c r="Q547" s="477"/>
      <c r="R547" s="477"/>
      <c r="S547" s="477"/>
      <c r="T547" s="477"/>
      <c r="U547" s="477"/>
      <c r="V547" s="477"/>
      <c r="W547" s="477"/>
      <c r="X547" s="477"/>
      <c r="Y547" s="477"/>
      <c r="Z547" s="477"/>
    </row>
    <row r="548" spans="1:26" ht="15" customHeight="1" x14ac:dyDescent="0.35">
      <c r="A548" s="477"/>
      <c r="B548" s="477"/>
      <c r="C548" s="477"/>
      <c r="D548" s="477"/>
      <c r="E548" s="477"/>
      <c r="F548" s="477"/>
      <c r="G548" s="477"/>
      <c r="H548" s="477"/>
      <c r="I548" s="477"/>
      <c r="J548" s="477"/>
      <c r="K548" s="477"/>
      <c r="L548" s="477"/>
      <c r="M548" s="477"/>
      <c r="N548" s="477"/>
      <c r="O548" s="477"/>
      <c r="P548" s="477"/>
      <c r="Q548" s="477"/>
      <c r="R548" s="477"/>
      <c r="S548" s="477"/>
      <c r="T548" s="477"/>
      <c r="U548" s="477"/>
      <c r="V548" s="477"/>
      <c r="W548" s="477"/>
      <c r="X548" s="477"/>
      <c r="Y548" s="477"/>
      <c r="Z548" s="477"/>
    </row>
    <row r="549" spans="1:26" ht="15" customHeight="1" x14ac:dyDescent="0.35">
      <c r="A549" s="477"/>
      <c r="B549" s="477"/>
      <c r="C549" s="477"/>
      <c r="D549" s="477"/>
      <c r="E549" s="477"/>
      <c r="F549" s="477"/>
      <c r="G549" s="477"/>
      <c r="H549" s="477"/>
      <c r="I549" s="477"/>
      <c r="J549" s="477"/>
      <c r="K549" s="477"/>
      <c r="L549" s="477"/>
      <c r="M549" s="477"/>
      <c r="N549" s="477"/>
      <c r="O549" s="477"/>
      <c r="P549" s="477"/>
      <c r="Q549" s="477"/>
      <c r="R549" s="477"/>
      <c r="S549" s="477"/>
      <c r="T549" s="477"/>
      <c r="U549" s="477"/>
      <c r="V549" s="477"/>
      <c r="W549" s="477"/>
      <c r="X549" s="477"/>
      <c r="Y549" s="477"/>
      <c r="Z549" s="477"/>
    </row>
    <row r="550" spans="1:26" ht="15" customHeight="1" x14ac:dyDescent="0.35">
      <c r="A550" s="477"/>
      <c r="B550" s="477"/>
      <c r="C550" s="477"/>
      <c r="D550" s="477"/>
      <c r="E550" s="477"/>
      <c r="F550" s="477"/>
      <c r="G550" s="477"/>
      <c r="H550" s="477"/>
      <c r="I550" s="477"/>
      <c r="J550" s="477"/>
      <c r="K550" s="477"/>
      <c r="L550" s="477"/>
      <c r="M550" s="477"/>
      <c r="N550" s="477"/>
      <c r="O550" s="477"/>
      <c r="P550" s="477"/>
      <c r="Q550" s="477"/>
      <c r="R550" s="477"/>
      <c r="S550" s="477"/>
      <c r="T550" s="477"/>
      <c r="U550" s="477"/>
      <c r="V550" s="477"/>
      <c r="W550" s="477"/>
      <c r="X550" s="477"/>
      <c r="Y550" s="477"/>
      <c r="Z550" s="477"/>
    </row>
    <row r="551" spans="1:26" ht="15" customHeight="1" x14ac:dyDescent="0.35">
      <c r="A551" s="477"/>
      <c r="B551" s="477"/>
      <c r="C551" s="477"/>
      <c r="D551" s="477"/>
      <c r="E551" s="477"/>
      <c r="F551" s="477"/>
      <c r="G551" s="477"/>
      <c r="H551" s="477"/>
      <c r="I551" s="477"/>
      <c r="J551" s="477"/>
      <c r="K551" s="477"/>
      <c r="L551" s="477"/>
      <c r="M551" s="477"/>
      <c r="N551" s="477"/>
      <c r="O551" s="477"/>
      <c r="P551" s="477"/>
      <c r="Q551" s="477"/>
      <c r="R551" s="477"/>
      <c r="S551" s="477"/>
      <c r="T551" s="477"/>
      <c r="U551" s="477"/>
      <c r="V551" s="477"/>
      <c r="W551" s="477"/>
      <c r="X551" s="477"/>
      <c r="Y551" s="477"/>
      <c r="Z551" s="477"/>
    </row>
    <row r="552" spans="1:26" ht="15" customHeight="1" x14ac:dyDescent="0.35">
      <c r="A552" s="477"/>
      <c r="B552" s="477"/>
      <c r="C552" s="477"/>
      <c r="D552" s="477"/>
      <c r="E552" s="477"/>
      <c r="F552" s="477"/>
      <c r="G552" s="477"/>
      <c r="H552" s="477"/>
      <c r="I552" s="477"/>
      <c r="J552" s="477"/>
      <c r="K552" s="477"/>
      <c r="L552" s="477"/>
      <c r="M552" s="477"/>
      <c r="N552" s="477"/>
      <c r="O552" s="477"/>
      <c r="P552" s="477"/>
      <c r="Q552" s="477"/>
      <c r="R552" s="477"/>
      <c r="S552" s="477"/>
      <c r="T552" s="477"/>
      <c r="U552" s="477"/>
      <c r="V552" s="477"/>
      <c r="W552" s="477"/>
      <c r="X552" s="477"/>
      <c r="Y552" s="477"/>
      <c r="Z552" s="477"/>
    </row>
    <row r="553" spans="1:26" ht="15" customHeight="1" x14ac:dyDescent="0.35">
      <c r="A553" s="477"/>
      <c r="B553" s="477"/>
      <c r="C553" s="477"/>
      <c r="D553" s="477"/>
      <c r="E553" s="477"/>
      <c r="F553" s="477"/>
      <c r="G553" s="477"/>
      <c r="H553" s="477"/>
      <c r="I553" s="477"/>
      <c r="J553" s="477"/>
      <c r="K553" s="477"/>
      <c r="L553" s="477"/>
      <c r="M553" s="477"/>
      <c r="N553" s="477"/>
      <c r="O553" s="477"/>
      <c r="P553" s="477"/>
      <c r="Q553" s="477"/>
      <c r="R553" s="477"/>
      <c r="S553" s="477"/>
      <c r="T553" s="477"/>
      <c r="U553" s="477"/>
      <c r="V553" s="477"/>
      <c r="W553" s="477"/>
      <c r="X553" s="477"/>
      <c r="Y553" s="477"/>
      <c r="Z553" s="477"/>
    </row>
    <row r="554" spans="1:26" ht="15" customHeight="1" x14ac:dyDescent="0.35">
      <c r="A554" s="477"/>
      <c r="B554" s="477"/>
      <c r="C554" s="477"/>
      <c r="D554" s="477"/>
      <c r="E554" s="477"/>
      <c r="F554" s="477"/>
      <c r="G554" s="477"/>
      <c r="H554" s="477"/>
      <c r="I554" s="477"/>
      <c r="J554" s="477"/>
      <c r="K554" s="477"/>
      <c r="L554" s="477"/>
      <c r="M554" s="477"/>
      <c r="N554" s="477"/>
      <c r="O554" s="477"/>
      <c r="P554" s="477"/>
      <c r="Q554" s="477"/>
      <c r="R554" s="477"/>
      <c r="S554" s="477"/>
      <c r="T554" s="477"/>
      <c r="U554" s="477"/>
      <c r="V554" s="477"/>
      <c r="W554" s="477"/>
      <c r="X554" s="477"/>
      <c r="Y554" s="477"/>
      <c r="Z554" s="477"/>
    </row>
    <row r="555" spans="1:26" ht="15" customHeight="1" x14ac:dyDescent="0.35">
      <c r="A555" s="477"/>
      <c r="B555" s="477"/>
      <c r="C555" s="477"/>
      <c r="D555" s="477"/>
      <c r="E555" s="477"/>
      <c r="F555" s="477"/>
      <c r="G555" s="477"/>
      <c r="H555" s="477"/>
      <c r="I555" s="477"/>
      <c r="J555" s="477"/>
      <c r="K555" s="477"/>
      <c r="L555" s="477"/>
      <c r="M555" s="477"/>
      <c r="N555" s="477"/>
      <c r="O555" s="477"/>
      <c r="P555" s="477"/>
      <c r="Q555" s="477"/>
      <c r="R555" s="477"/>
      <c r="S555" s="477"/>
      <c r="T555" s="477"/>
      <c r="U555" s="477"/>
      <c r="V555" s="477"/>
      <c r="W555" s="477"/>
      <c r="X555" s="477"/>
      <c r="Y555" s="477"/>
      <c r="Z555" s="477"/>
    </row>
    <row r="556" spans="1:26" ht="15" customHeight="1" x14ac:dyDescent="0.35">
      <c r="A556" s="477"/>
      <c r="B556" s="477"/>
      <c r="C556" s="477"/>
      <c r="D556" s="477"/>
      <c r="E556" s="477"/>
      <c r="F556" s="477"/>
      <c r="G556" s="477"/>
      <c r="H556" s="477"/>
      <c r="I556" s="477"/>
      <c r="J556" s="477"/>
      <c r="K556" s="477"/>
      <c r="L556" s="477"/>
      <c r="M556" s="477"/>
      <c r="N556" s="477"/>
      <c r="O556" s="477"/>
      <c r="P556" s="477"/>
      <c r="Q556" s="477"/>
      <c r="R556" s="477"/>
      <c r="S556" s="477"/>
      <c r="T556" s="477"/>
      <c r="U556" s="477"/>
      <c r="V556" s="477"/>
      <c r="W556" s="477"/>
      <c r="X556" s="477"/>
      <c r="Y556" s="477"/>
      <c r="Z556" s="477"/>
    </row>
    <row r="557" spans="1:26" ht="15" customHeight="1" x14ac:dyDescent="0.35">
      <c r="A557" s="477"/>
      <c r="B557" s="477"/>
      <c r="C557" s="477"/>
      <c r="D557" s="477"/>
      <c r="E557" s="477"/>
      <c r="F557" s="477"/>
      <c r="G557" s="477"/>
      <c r="H557" s="477"/>
      <c r="I557" s="477"/>
      <c r="J557" s="477"/>
      <c r="K557" s="477"/>
      <c r="L557" s="477"/>
      <c r="M557" s="477"/>
      <c r="N557" s="477"/>
      <c r="O557" s="477"/>
      <c r="P557" s="477"/>
      <c r="Q557" s="477"/>
      <c r="R557" s="477"/>
      <c r="S557" s="477"/>
      <c r="T557" s="477"/>
      <c r="U557" s="477"/>
      <c r="V557" s="477"/>
      <c r="W557" s="477"/>
      <c r="X557" s="477"/>
      <c r="Y557" s="477"/>
      <c r="Z557" s="477"/>
    </row>
    <row r="558" spans="1:26" ht="15" customHeight="1" x14ac:dyDescent="0.35">
      <c r="A558" s="477"/>
      <c r="B558" s="477"/>
      <c r="C558" s="477"/>
      <c r="D558" s="477"/>
      <c r="E558" s="477"/>
      <c r="F558" s="477"/>
      <c r="G558" s="477"/>
      <c r="H558" s="477"/>
      <c r="I558" s="477"/>
      <c r="J558" s="477"/>
      <c r="K558" s="477"/>
      <c r="L558" s="477"/>
      <c r="M558" s="477"/>
      <c r="N558" s="477"/>
      <c r="O558" s="477"/>
      <c r="P558" s="477"/>
      <c r="Q558" s="477"/>
      <c r="R558" s="477"/>
      <c r="S558" s="477"/>
      <c r="T558" s="477"/>
      <c r="U558" s="477"/>
      <c r="V558" s="477"/>
      <c r="W558" s="477"/>
      <c r="X558" s="477"/>
      <c r="Y558" s="477"/>
      <c r="Z558" s="477"/>
    </row>
    <row r="559" spans="1:26" ht="15" customHeight="1" x14ac:dyDescent="0.35">
      <c r="A559" s="477"/>
      <c r="B559" s="477"/>
      <c r="C559" s="477"/>
      <c r="D559" s="477"/>
      <c r="E559" s="477"/>
      <c r="F559" s="477"/>
      <c r="G559" s="477"/>
      <c r="H559" s="477"/>
      <c r="I559" s="477"/>
      <c r="J559" s="477"/>
      <c r="K559" s="477"/>
      <c r="L559" s="477"/>
      <c r="M559" s="477"/>
      <c r="N559" s="477"/>
      <c r="O559" s="477"/>
      <c r="P559" s="477"/>
      <c r="Q559" s="477"/>
      <c r="R559" s="477"/>
      <c r="S559" s="477"/>
      <c r="T559" s="477"/>
      <c r="U559" s="477"/>
      <c r="V559" s="477"/>
      <c r="W559" s="477"/>
      <c r="X559" s="477"/>
      <c r="Y559" s="477"/>
      <c r="Z559" s="477"/>
    </row>
    <row r="560" spans="1:26" ht="15" customHeight="1" x14ac:dyDescent="0.35">
      <c r="A560" s="477"/>
      <c r="B560" s="477"/>
      <c r="C560" s="477"/>
      <c r="D560" s="477"/>
      <c r="E560" s="477"/>
      <c r="F560" s="477"/>
      <c r="G560" s="477"/>
      <c r="H560" s="477"/>
      <c r="I560" s="477"/>
      <c r="J560" s="477"/>
      <c r="K560" s="477"/>
      <c r="L560" s="477"/>
      <c r="M560" s="477"/>
      <c r="N560" s="477"/>
      <c r="O560" s="477"/>
      <c r="P560" s="477"/>
      <c r="Q560" s="477"/>
      <c r="R560" s="477"/>
      <c r="S560" s="477"/>
      <c r="T560" s="477"/>
      <c r="U560" s="477"/>
      <c r="V560" s="477"/>
      <c r="W560" s="477"/>
      <c r="X560" s="477"/>
      <c r="Y560" s="477"/>
      <c r="Z560" s="477"/>
    </row>
    <row r="561" spans="1:26" ht="15" customHeight="1" x14ac:dyDescent="0.35">
      <c r="A561" s="477"/>
      <c r="B561" s="477"/>
      <c r="C561" s="477"/>
      <c r="D561" s="477"/>
      <c r="E561" s="477"/>
      <c r="F561" s="477"/>
      <c r="G561" s="477"/>
      <c r="H561" s="477"/>
      <c r="I561" s="477"/>
      <c r="J561" s="477"/>
      <c r="K561" s="477"/>
      <c r="L561" s="477"/>
      <c r="M561" s="477"/>
      <c r="N561" s="477"/>
      <c r="O561" s="477"/>
      <c r="P561" s="477"/>
      <c r="Q561" s="477"/>
      <c r="R561" s="477"/>
      <c r="S561" s="477"/>
      <c r="T561" s="477"/>
      <c r="U561" s="477"/>
      <c r="V561" s="477"/>
      <c r="W561" s="477"/>
      <c r="X561" s="477"/>
      <c r="Y561" s="477"/>
      <c r="Z561" s="477"/>
    </row>
    <row r="562" spans="1:26" ht="15" customHeight="1" x14ac:dyDescent="0.35">
      <c r="A562" s="477"/>
      <c r="B562" s="477"/>
      <c r="C562" s="477"/>
      <c r="D562" s="477"/>
      <c r="E562" s="477"/>
      <c r="F562" s="477"/>
      <c r="G562" s="477"/>
      <c r="H562" s="477"/>
      <c r="I562" s="477"/>
      <c r="J562" s="477"/>
      <c r="K562" s="477"/>
      <c r="L562" s="477"/>
      <c r="M562" s="477"/>
      <c r="N562" s="477"/>
      <c r="O562" s="477"/>
      <c r="P562" s="477"/>
      <c r="Q562" s="477"/>
      <c r="R562" s="477"/>
      <c r="S562" s="477"/>
      <c r="T562" s="477"/>
      <c r="U562" s="477"/>
      <c r="V562" s="477"/>
      <c r="W562" s="477"/>
      <c r="X562" s="477"/>
      <c r="Y562" s="477"/>
      <c r="Z562" s="477"/>
    </row>
    <row r="563" spans="1:26" ht="15" customHeight="1" x14ac:dyDescent="0.35">
      <c r="A563" s="477"/>
      <c r="B563" s="477"/>
      <c r="C563" s="477"/>
      <c r="D563" s="477"/>
      <c r="E563" s="477"/>
      <c r="F563" s="477"/>
      <c r="G563" s="477"/>
      <c r="H563" s="477"/>
      <c r="I563" s="477"/>
      <c r="J563" s="477"/>
      <c r="K563" s="477"/>
      <c r="L563" s="477"/>
      <c r="M563" s="477"/>
      <c r="N563" s="477"/>
      <c r="O563" s="477"/>
      <c r="P563" s="477"/>
      <c r="Q563" s="477"/>
      <c r="R563" s="477"/>
      <c r="S563" s="477"/>
      <c r="T563" s="477"/>
      <c r="U563" s="477"/>
      <c r="V563" s="477"/>
      <c r="W563" s="477"/>
      <c r="X563" s="477"/>
      <c r="Y563" s="477"/>
      <c r="Z563" s="477"/>
    </row>
    <row r="564" spans="1:26" ht="15" customHeight="1" x14ac:dyDescent="0.35">
      <c r="A564" s="477"/>
      <c r="B564" s="477"/>
      <c r="C564" s="477"/>
      <c r="D564" s="477"/>
      <c r="E564" s="477"/>
      <c r="F564" s="477"/>
      <c r="G564" s="477"/>
      <c r="H564" s="477"/>
      <c r="I564" s="477"/>
      <c r="J564" s="477"/>
      <c r="K564" s="477"/>
      <c r="L564" s="477"/>
      <c r="M564" s="477"/>
      <c r="N564" s="477"/>
      <c r="O564" s="477"/>
      <c r="P564" s="477"/>
      <c r="Q564" s="477"/>
      <c r="R564" s="477"/>
      <c r="S564" s="477"/>
      <c r="T564" s="477"/>
      <c r="U564" s="477"/>
      <c r="V564" s="477"/>
      <c r="W564" s="477"/>
      <c r="X564" s="477"/>
      <c r="Y564" s="477"/>
      <c r="Z564" s="477"/>
    </row>
    <row r="565" spans="1:26" ht="15" customHeight="1" x14ac:dyDescent="0.35">
      <c r="A565" s="477"/>
      <c r="B565" s="477"/>
      <c r="C565" s="477"/>
      <c r="D565" s="477"/>
      <c r="E565" s="477"/>
      <c r="F565" s="477"/>
      <c r="G565" s="477"/>
      <c r="H565" s="477"/>
      <c r="I565" s="477"/>
      <c r="J565" s="477"/>
      <c r="K565" s="477"/>
      <c r="L565" s="477"/>
      <c r="M565" s="477"/>
      <c r="N565" s="477"/>
      <c r="O565" s="477"/>
      <c r="P565" s="477"/>
      <c r="Q565" s="477"/>
      <c r="R565" s="477"/>
      <c r="S565" s="477"/>
      <c r="T565" s="477"/>
      <c r="U565" s="477"/>
      <c r="V565" s="477"/>
      <c r="W565" s="477"/>
      <c r="X565" s="477"/>
      <c r="Y565" s="477"/>
      <c r="Z565" s="477"/>
    </row>
    <row r="566" spans="1:26" ht="15" customHeight="1" x14ac:dyDescent="0.35">
      <c r="A566" s="477"/>
      <c r="B566" s="477"/>
      <c r="C566" s="477"/>
      <c r="D566" s="477"/>
      <c r="E566" s="477"/>
      <c r="F566" s="477"/>
      <c r="G566" s="477"/>
      <c r="H566" s="477"/>
      <c r="I566" s="477"/>
      <c r="J566" s="477"/>
      <c r="K566" s="477"/>
      <c r="L566" s="477"/>
      <c r="M566" s="477"/>
      <c r="N566" s="477"/>
      <c r="O566" s="477"/>
      <c r="P566" s="477"/>
      <c r="Q566" s="477"/>
      <c r="R566" s="477"/>
      <c r="S566" s="477"/>
      <c r="T566" s="477"/>
      <c r="U566" s="477"/>
      <c r="V566" s="477"/>
      <c r="W566" s="477"/>
      <c r="X566" s="477"/>
      <c r="Y566" s="477"/>
      <c r="Z566" s="477"/>
    </row>
    <row r="567" spans="1:26" ht="15" customHeight="1" x14ac:dyDescent="0.35">
      <c r="A567" s="477"/>
      <c r="B567" s="477"/>
      <c r="C567" s="477"/>
      <c r="D567" s="477"/>
      <c r="E567" s="477"/>
      <c r="F567" s="477"/>
      <c r="G567" s="477"/>
      <c r="H567" s="477"/>
      <c r="I567" s="477"/>
      <c r="J567" s="477"/>
      <c r="K567" s="477"/>
      <c r="L567" s="477"/>
      <c r="M567" s="477"/>
      <c r="N567" s="477"/>
      <c r="O567" s="477"/>
      <c r="P567" s="477"/>
      <c r="Q567" s="477"/>
      <c r="R567" s="477"/>
      <c r="S567" s="477"/>
      <c r="T567" s="477"/>
      <c r="U567" s="477"/>
      <c r="V567" s="477"/>
      <c r="W567" s="477"/>
      <c r="X567" s="477"/>
      <c r="Y567" s="477"/>
      <c r="Z567" s="477"/>
    </row>
    <row r="568" spans="1:26" ht="15" customHeight="1" x14ac:dyDescent="0.35">
      <c r="A568" s="477"/>
      <c r="B568" s="477"/>
      <c r="C568" s="477"/>
      <c r="D568" s="477"/>
      <c r="E568" s="477"/>
      <c r="F568" s="477"/>
      <c r="G568" s="477"/>
      <c r="H568" s="477"/>
      <c r="I568" s="477"/>
      <c r="J568" s="477"/>
      <c r="K568" s="477"/>
      <c r="L568" s="477"/>
      <c r="M568" s="477"/>
      <c r="N568" s="477"/>
      <c r="O568" s="477"/>
      <c r="P568" s="477"/>
      <c r="Q568" s="477"/>
      <c r="R568" s="477"/>
      <c r="S568" s="477"/>
      <c r="T568" s="477"/>
      <c r="U568" s="477"/>
      <c r="V568" s="477"/>
      <c r="W568" s="477"/>
      <c r="X568" s="477"/>
      <c r="Y568" s="477"/>
      <c r="Z568" s="477"/>
    </row>
    <row r="569" spans="1:26" ht="15" customHeight="1" x14ac:dyDescent="0.35">
      <c r="A569" s="477"/>
      <c r="B569" s="477"/>
      <c r="C569" s="477"/>
      <c r="D569" s="477"/>
      <c r="E569" s="477"/>
      <c r="F569" s="477"/>
      <c r="G569" s="477"/>
      <c r="H569" s="477"/>
      <c r="I569" s="477"/>
      <c r="J569" s="477"/>
      <c r="K569" s="477"/>
      <c r="L569" s="477"/>
      <c r="M569" s="477"/>
      <c r="N569" s="477"/>
      <c r="O569" s="477"/>
      <c r="P569" s="477"/>
      <c r="Q569" s="477"/>
      <c r="R569" s="477"/>
      <c r="S569" s="477"/>
      <c r="T569" s="477"/>
      <c r="U569" s="477"/>
      <c r="V569" s="477"/>
      <c r="W569" s="477"/>
      <c r="X569" s="477"/>
      <c r="Y569" s="477"/>
      <c r="Z569" s="477"/>
    </row>
    <row r="570" spans="1:26" ht="15" customHeight="1" x14ac:dyDescent="0.35">
      <c r="A570" s="477"/>
      <c r="B570" s="477"/>
      <c r="C570" s="477"/>
      <c r="D570" s="477"/>
      <c r="E570" s="477"/>
      <c r="F570" s="477"/>
      <c r="G570" s="477"/>
      <c r="H570" s="477"/>
      <c r="I570" s="477"/>
      <c r="J570" s="477"/>
      <c r="K570" s="477"/>
      <c r="L570" s="477"/>
      <c r="M570" s="477"/>
      <c r="N570" s="477"/>
      <c r="O570" s="477"/>
      <c r="P570" s="477"/>
      <c r="Q570" s="477"/>
      <c r="R570" s="477"/>
      <c r="S570" s="477"/>
      <c r="T570" s="477"/>
      <c r="U570" s="477"/>
      <c r="V570" s="477"/>
      <c r="W570" s="477"/>
      <c r="X570" s="477"/>
      <c r="Y570" s="477"/>
      <c r="Z570" s="477"/>
    </row>
    <row r="571" spans="1:26" ht="15" customHeight="1" x14ac:dyDescent="0.35">
      <c r="A571" s="477"/>
      <c r="B571" s="477"/>
      <c r="C571" s="477"/>
      <c r="D571" s="477"/>
      <c r="E571" s="477"/>
      <c r="F571" s="477"/>
      <c r="G571" s="477"/>
      <c r="H571" s="477"/>
      <c r="I571" s="477"/>
      <c r="J571" s="477"/>
      <c r="K571" s="477"/>
      <c r="L571" s="477"/>
      <c r="M571" s="477"/>
      <c r="N571" s="477"/>
      <c r="O571" s="477"/>
      <c r="P571" s="477"/>
      <c r="Q571" s="477"/>
      <c r="R571" s="477"/>
      <c r="S571" s="477"/>
      <c r="T571" s="477"/>
      <c r="U571" s="477"/>
      <c r="V571" s="477"/>
      <c r="W571" s="477"/>
      <c r="X571" s="477"/>
      <c r="Y571" s="477"/>
      <c r="Z571" s="477"/>
    </row>
    <row r="572" spans="1:26" ht="15" customHeight="1" x14ac:dyDescent="0.35">
      <c r="A572" s="477"/>
      <c r="B572" s="477"/>
      <c r="C572" s="477"/>
      <c r="D572" s="477"/>
      <c r="E572" s="477"/>
      <c r="F572" s="477"/>
      <c r="G572" s="477"/>
      <c r="H572" s="477"/>
      <c r="I572" s="477"/>
      <c r="J572" s="477"/>
      <c r="K572" s="477"/>
      <c r="L572" s="477"/>
      <c r="M572" s="477"/>
      <c r="N572" s="477"/>
      <c r="O572" s="477"/>
      <c r="P572" s="477"/>
      <c r="Q572" s="477"/>
      <c r="R572" s="477"/>
      <c r="S572" s="477"/>
      <c r="T572" s="477"/>
      <c r="U572" s="477"/>
      <c r="V572" s="477"/>
      <c r="W572" s="477"/>
      <c r="X572" s="477"/>
      <c r="Y572" s="477"/>
      <c r="Z572" s="477"/>
    </row>
    <row r="573" spans="1:26" ht="15" customHeight="1" x14ac:dyDescent="0.35">
      <c r="A573" s="477"/>
      <c r="B573" s="477"/>
      <c r="C573" s="477"/>
      <c r="D573" s="477"/>
      <c r="E573" s="477"/>
      <c r="F573" s="477"/>
      <c r="G573" s="477"/>
      <c r="H573" s="477"/>
      <c r="I573" s="477"/>
      <c r="J573" s="477"/>
      <c r="K573" s="477"/>
      <c r="L573" s="477"/>
      <c r="M573" s="477"/>
      <c r="N573" s="477"/>
      <c r="O573" s="477"/>
      <c r="P573" s="477"/>
      <c r="Q573" s="477"/>
      <c r="R573" s="477"/>
      <c r="S573" s="477"/>
      <c r="T573" s="477"/>
      <c r="U573" s="477"/>
      <c r="V573" s="477"/>
      <c r="W573" s="477"/>
      <c r="X573" s="477"/>
      <c r="Y573" s="477"/>
      <c r="Z573" s="477"/>
    </row>
    <row r="574" spans="1:26" ht="15" customHeight="1" x14ac:dyDescent="0.35">
      <c r="A574" s="477"/>
      <c r="B574" s="477"/>
      <c r="C574" s="477"/>
      <c r="D574" s="477"/>
      <c r="E574" s="477"/>
      <c r="F574" s="477"/>
      <c r="G574" s="477"/>
      <c r="H574" s="477"/>
      <c r="I574" s="477"/>
      <c r="J574" s="477"/>
      <c r="K574" s="477"/>
      <c r="L574" s="477"/>
      <c r="M574" s="477"/>
      <c r="N574" s="477"/>
      <c r="O574" s="477"/>
      <c r="P574" s="477"/>
      <c r="Q574" s="477"/>
      <c r="R574" s="477"/>
      <c r="S574" s="477"/>
      <c r="T574" s="477"/>
      <c r="U574" s="477"/>
      <c r="V574" s="477"/>
      <c r="W574" s="477"/>
      <c r="X574" s="477"/>
      <c r="Y574" s="477"/>
      <c r="Z574" s="477"/>
    </row>
    <row r="575" spans="1:26" ht="15" customHeight="1" x14ac:dyDescent="0.35">
      <c r="A575" s="477"/>
      <c r="B575" s="477"/>
      <c r="C575" s="477"/>
      <c r="D575" s="477"/>
      <c r="E575" s="477"/>
      <c r="F575" s="477"/>
      <c r="G575" s="477"/>
      <c r="H575" s="477"/>
      <c r="I575" s="477"/>
      <c r="J575" s="477"/>
      <c r="K575" s="477"/>
      <c r="L575" s="477"/>
      <c r="M575" s="477"/>
      <c r="N575" s="477"/>
      <c r="O575" s="477"/>
      <c r="P575" s="477"/>
      <c r="Q575" s="477"/>
      <c r="R575" s="477"/>
      <c r="S575" s="477"/>
      <c r="T575" s="477"/>
      <c r="U575" s="477"/>
      <c r="V575" s="477"/>
      <c r="W575" s="477"/>
      <c r="X575" s="477"/>
      <c r="Y575" s="477"/>
      <c r="Z575" s="477"/>
    </row>
    <row r="576" spans="1:26" ht="15" customHeight="1" x14ac:dyDescent="0.35">
      <c r="A576" s="477"/>
      <c r="B576" s="477"/>
      <c r="C576" s="477"/>
      <c r="D576" s="477"/>
      <c r="E576" s="477"/>
      <c r="F576" s="477"/>
      <c r="G576" s="477"/>
      <c r="H576" s="477"/>
      <c r="I576" s="477"/>
      <c r="J576" s="477"/>
      <c r="K576" s="477"/>
      <c r="L576" s="477"/>
      <c r="M576" s="477"/>
      <c r="N576" s="477"/>
      <c r="O576" s="477"/>
      <c r="P576" s="477"/>
      <c r="Q576" s="477"/>
      <c r="R576" s="477"/>
      <c r="S576" s="477"/>
      <c r="T576" s="477"/>
      <c r="U576" s="477"/>
      <c r="V576" s="477"/>
      <c r="W576" s="477"/>
      <c r="X576" s="477"/>
      <c r="Y576" s="477"/>
      <c r="Z576" s="477"/>
    </row>
    <row r="577" spans="1:26" ht="15" customHeight="1" x14ac:dyDescent="0.35">
      <c r="A577" s="477"/>
      <c r="B577" s="477"/>
      <c r="C577" s="477"/>
      <c r="D577" s="477"/>
      <c r="E577" s="477"/>
      <c r="F577" s="477"/>
      <c r="G577" s="477"/>
      <c r="H577" s="477"/>
      <c r="I577" s="477"/>
      <c r="J577" s="477"/>
      <c r="K577" s="477"/>
      <c r="L577" s="477"/>
      <c r="M577" s="477"/>
      <c r="N577" s="477"/>
      <c r="O577" s="477"/>
      <c r="P577" s="477"/>
      <c r="Q577" s="477"/>
      <c r="R577" s="477"/>
      <c r="S577" s="477"/>
      <c r="T577" s="477"/>
      <c r="U577" s="477"/>
      <c r="V577" s="477"/>
      <c r="W577" s="477"/>
      <c r="X577" s="477"/>
      <c r="Y577" s="477"/>
      <c r="Z577" s="477"/>
    </row>
    <row r="578" spans="1:26" ht="15" customHeight="1" x14ac:dyDescent="0.35">
      <c r="A578" s="477"/>
      <c r="B578" s="477"/>
      <c r="C578" s="477"/>
      <c r="D578" s="477"/>
      <c r="E578" s="477"/>
      <c r="F578" s="477"/>
      <c r="G578" s="477"/>
      <c r="H578" s="477"/>
      <c r="I578" s="477"/>
      <c r="J578" s="477"/>
      <c r="K578" s="477"/>
      <c r="L578" s="477"/>
      <c r="M578" s="477"/>
      <c r="N578" s="477"/>
      <c r="O578" s="477"/>
      <c r="P578" s="477"/>
      <c r="Q578" s="477"/>
      <c r="R578" s="477"/>
      <c r="S578" s="477"/>
      <c r="T578" s="477"/>
      <c r="U578" s="477"/>
      <c r="V578" s="477"/>
      <c r="W578" s="477"/>
      <c r="X578" s="477"/>
      <c r="Y578" s="477"/>
      <c r="Z578" s="477"/>
    </row>
    <row r="579" spans="1:26" ht="15" customHeight="1" x14ac:dyDescent="0.35">
      <c r="A579" s="477"/>
      <c r="B579" s="477"/>
      <c r="C579" s="477"/>
      <c r="D579" s="477"/>
      <c r="E579" s="477"/>
      <c r="F579" s="477"/>
      <c r="G579" s="477"/>
      <c r="H579" s="477"/>
      <c r="I579" s="477"/>
      <c r="J579" s="477"/>
      <c r="K579" s="477"/>
      <c r="L579" s="477"/>
      <c r="M579" s="477"/>
      <c r="N579" s="477"/>
      <c r="O579" s="477"/>
      <c r="P579" s="477"/>
      <c r="Q579" s="477"/>
      <c r="R579" s="477"/>
      <c r="S579" s="477"/>
      <c r="T579" s="477"/>
      <c r="U579" s="477"/>
      <c r="V579" s="477"/>
      <c r="W579" s="477"/>
      <c r="X579" s="477"/>
      <c r="Y579" s="477"/>
      <c r="Z579" s="477"/>
    </row>
    <row r="580" spans="1:26" ht="15" customHeight="1" x14ac:dyDescent="0.35">
      <c r="A580" s="477"/>
      <c r="B580" s="477"/>
      <c r="C580" s="477"/>
      <c r="D580" s="477"/>
      <c r="E580" s="477"/>
      <c r="F580" s="477"/>
      <c r="G580" s="477"/>
      <c r="H580" s="477"/>
      <c r="I580" s="477"/>
      <c r="J580" s="477"/>
      <c r="K580" s="477"/>
      <c r="L580" s="477"/>
      <c r="M580" s="477"/>
      <c r="N580" s="477"/>
      <c r="O580" s="477"/>
      <c r="P580" s="477"/>
      <c r="Q580" s="477"/>
      <c r="R580" s="477"/>
      <c r="S580" s="477"/>
      <c r="T580" s="477"/>
      <c r="U580" s="477"/>
      <c r="V580" s="477"/>
      <c r="W580" s="477"/>
      <c r="X580" s="477"/>
      <c r="Y580" s="477"/>
      <c r="Z580" s="477"/>
    </row>
    <row r="581" spans="1:26" ht="15" customHeight="1" x14ac:dyDescent="0.35">
      <c r="A581" s="477"/>
      <c r="B581" s="477"/>
      <c r="C581" s="477"/>
      <c r="D581" s="477"/>
      <c r="E581" s="477"/>
      <c r="F581" s="477"/>
      <c r="G581" s="477"/>
      <c r="H581" s="477"/>
      <c r="I581" s="477"/>
      <c r="J581" s="477"/>
      <c r="K581" s="477"/>
      <c r="L581" s="477"/>
      <c r="M581" s="477"/>
      <c r="N581" s="477"/>
      <c r="O581" s="477"/>
      <c r="P581" s="477"/>
      <c r="Q581" s="477"/>
      <c r="R581" s="477"/>
      <c r="S581" s="477"/>
      <c r="T581" s="477"/>
      <c r="U581" s="477"/>
      <c r="V581" s="477"/>
      <c r="W581" s="477"/>
      <c r="X581" s="477"/>
      <c r="Y581" s="477"/>
      <c r="Z581" s="477"/>
    </row>
    <row r="582" spans="1:26" ht="15" customHeight="1" x14ac:dyDescent="0.35">
      <c r="A582" s="477"/>
      <c r="B582" s="477"/>
      <c r="C582" s="477"/>
      <c r="D582" s="477"/>
      <c r="E582" s="477"/>
      <c r="F582" s="477"/>
      <c r="G582" s="477"/>
      <c r="H582" s="477"/>
      <c r="I582" s="477"/>
      <c r="J582" s="477"/>
      <c r="K582" s="477"/>
      <c r="L582" s="477"/>
      <c r="M582" s="477"/>
      <c r="N582" s="477"/>
      <c r="O582" s="477"/>
      <c r="P582" s="477"/>
      <c r="Q582" s="477"/>
      <c r="R582" s="477"/>
      <c r="S582" s="477"/>
      <c r="T582" s="477"/>
      <c r="U582" s="477"/>
      <c r="V582" s="477"/>
      <c r="W582" s="477"/>
      <c r="X582" s="477"/>
      <c r="Y582" s="477"/>
      <c r="Z582" s="477"/>
    </row>
    <row r="583" spans="1:26" ht="15" customHeight="1" x14ac:dyDescent="0.35">
      <c r="A583" s="477"/>
      <c r="B583" s="477"/>
      <c r="C583" s="477"/>
      <c r="D583" s="477"/>
      <c r="E583" s="477"/>
      <c r="F583" s="477"/>
      <c r="G583" s="477"/>
      <c r="H583" s="477"/>
      <c r="I583" s="477"/>
      <c r="J583" s="477"/>
      <c r="K583" s="477"/>
      <c r="L583" s="477"/>
      <c r="M583" s="477"/>
      <c r="N583" s="477"/>
      <c r="O583" s="477"/>
      <c r="P583" s="477"/>
      <c r="Q583" s="477"/>
      <c r="R583" s="477"/>
      <c r="S583" s="477"/>
      <c r="T583" s="477"/>
      <c r="U583" s="477"/>
      <c r="V583" s="477"/>
      <c r="W583" s="477"/>
      <c r="X583" s="477"/>
      <c r="Y583" s="477"/>
      <c r="Z583" s="477"/>
    </row>
    <row r="584" spans="1:26" ht="15" customHeight="1" x14ac:dyDescent="0.35">
      <c r="A584" s="477"/>
      <c r="B584" s="477"/>
      <c r="C584" s="477"/>
      <c r="D584" s="477"/>
      <c r="E584" s="477"/>
      <c r="F584" s="477"/>
      <c r="G584" s="477"/>
      <c r="H584" s="477"/>
      <c r="I584" s="477"/>
      <c r="J584" s="477"/>
      <c r="K584" s="477"/>
      <c r="L584" s="477"/>
      <c r="M584" s="477"/>
      <c r="N584" s="477"/>
      <c r="O584" s="477"/>
      <c r="P584" s="477"/>
      <c r="Q584" s="477"/>
      <c r="R584" s="477"/>
      <c r="S584" s="477"/>
      <c r="T584" s="477"/>
      <c r="U584" s="477"/>
      <c r="V584" s="477"/>
      <c r="W584" s="477"/>
      <c r="X584" s="477"/>
      <c r="Y584" s="477"/>
      <c r="Z584" s="477"/>
    </row>
    <row r="585" spans="1:26" ht="15" customHeight="1" x14ac:dyDescent="0.35">
      <c r="A585" s="477"/>
      <c r="B585" s="477"/>
      <c r="C585" s="477"/>
      <c r="D585" s="477"/>
      <c r="E585" s="477"/>
      <c r="F585" s="477"/>
      <c r="G585" s="477"/>
      <c r="H585" s="477"/>
      <c r="I585" s="477"/>
      <c r="J585" s="477"/>
      <c r="K585" s="477"/>
      <c r="L585" s="477"/>
      <c r="M585" s="477"/>
      <c r="N585" s="477"/>
      <c r="O585" s="477"/>
      <c r="P585" s="477"/>
      <c r="Q585" s="477"/>
      <c r="R585" s="477"/>
      <c r="S585" s="477"/>
      <c r="T585" s="477"/>
      <c r="U585" s="477"/>
      <c r="V585" s="477"/>
      <c r="W585" s="477"/>
      <c r="X585" s="477"/>
      <c r="Y585" s="477"/>
      <c r="Z585" s="477"/>
    </row>
    <row r="586" spans="1:26" ht="15" customHeight="1" x14ac:dyDescent="0.35">
      <c r="A586" s="477"/>
      <c r="B586" s="477"/>
      <c r="C586" s="477"/>
      <c r="D586" s="477"/>
      <c r="E586" s="477"/>
      <c r="F586" s="477"/>
      <c r="G586" s="477"/>
      <c r="H586" s="477"/>
      <c r="I586" s="477"/>
      <c r="J586" s="477"/>
      <c r="K586" s="477"/>
      <c r="L586" s="477"/>
      <c r="M586" s="477"/>
      <c r="N586" s="477"/>
      <c r="O586" s="477"/>
      <c r="P586" s="477"/>
      <c r="Q586" s="477"/>
      <c r="R586" s="477"/>
      <c r="S586" s="477"/>
      <c r="T586" s="477"/>
      <c r="U586" s="477"/>
      <c r="V586" s="477"/>
      <c r="W586" s="477"/>
      <c r="X586" s="477"/>
      <c r="Y586" s="477"/>
      <c r="Z586" s="477"/>
    </row>
    <row r="587" spans="1:26" ht="15" customHeight="1" x14ac:dyDescent="0.35">
      <c r="A587" s="477"/>
      <c r="B587" s="477"/>
      <c r="C587" s="477"/>
      <c r="D587" s="477"/>
      <c r="E587" s="477"/>
      <c r="F587" s="477"/>
      <c r="G587" s="477"/>
      <c r="H587" s="477"/>
      <c r="I587" s="477"/>
      <c r="J587" s="477"/>
      <c r="K587" s="477"/>
      <c r="L587" s="477"/>
      <c r="M587" s="477"/>
      <c r="N587" s="477"/>
      <c r="O587" s="477"/>
      <c r="P587" s="477"/>
      <c r="Q587" s="477"/>
      <c r="R587" s="477"/>
      <c r="S587" s="477"/>
      <c r="T587" s="477"/>
      <c r="U587" s="477"/>
      <c r="V587" s="477"/>
      <c r="W587" s="477"/>
      <c r="X587" s="477"/>
      <c r="Y587" s="477"/>
      <c r="Z587" s="477"/>
    </row>
    <row r="588" spans="1:26" ht="15" customHeight="1" x14ac:dyDescent="0.35">
      <c r="A588" s="477"/>
      <c r="B588" s="477"/>
      <c r="C588" s="477"/>
      <c r="D588" s="477"/>
      <c r="E588" s="477"/>
      <c r="F588" s="477"/>
      <c r="G588" s="477"/>
      <c r="H588" s="477"/>
      <c r="I588" s="477"/>
      <c r="J588" s="477"/>
      <c r="K588" s="477"/>
      <c r="L588" s="477"/>
      <c r="M588" s="477"/>
      <c r="N588" s="477"/>
      <c r="O588" s="477"/>
      <c r="P588" s="477"/>
      <c r="Q588" s="477"/>
      <c r="R588" s="477"/>
      <c r="S588" s="477"/>
      <c r="T588" s="477"/>
      <c r="U588" s="477"/>
      <c r="V588" s="477"/>
      <c r="W588" s="477"/>
      <c r="X588" s="477"/>
      <c r="Y588" s="477"/>
      <c r="Z588" s="477"/>
    </row>
    <row r="589" spans="1:26" ht="15" customHeight="1" x14ac:dyDescent="0.35">
      <c r="A589" s="477"/>
      <c r="B589" s="477"/>
      <c r="C589" s="477"/>
      <c r="D589" s="477"/>
      <c r="E589" s="477"/>
      <c r="F589" s="477"/>
      <c r="G589" s="477"/>
      <c r="H589" s="477"/>
      <c r="I589" s="477"/>
      <c r="J589" s="477"/>
      <c r="K589" s="477"/>
      <c r="L589" s="477"/>
      <c r="M589" s="477"/>
      <c r="N589" s="477"/>
      <c r="O589" s="477"/>
      <c r="P589" s="477"/>
      <c r="Q589" s="477"/>
      <c r="R589" s="477"/>
      <c r="S589" s="477"/>
      <c r="T589" s="477"/>
      <c r="U589" s="477"/>
      <c r="V589" s="477"/>
      <c r="W589" s="477"/>
      <c r="X589" s="477"/>
      <c r="Y589" s="477"/>
      <c r="Z589" s="477"/>
    </row>
    <row r="590" spans="1:26" ht="15" customHeight="1" x14ac:dyDescent="0.35">
      <c r="A590" s="477"/>
      <c r="B590" s="477"/>
      <c r="C590" s="477"/>
      <c r="D590" s="477"/>
      <c r="E590" s="477"/>
      <c r="F590" s="477"/>
      <c r="G590" s="477"/>
      <c r="H590" s="477"/>
      <c r="I590" s="477"/>
      <c r="J590" s="477"/>
      <c r="K590" s="477"/>
      <c r="L590" s="477"/>
      <c r="M590" s="477"/>
      <c r="N590" s="477"/>
      <c r="O590" s="477"/>
      <c r="P590" s="477"/>
      <c r="Q590" s="477"/>
      <c r="R590" s="477"/>
      <c r="S590" s="477"/>
      <c r="T590" s="477"/>
      <c r="U590" s="477"/>
      <c r="V590" s="477"/>
      <c r="W590" s="477"/>
      <c r="X590" s="477"/>
      <c r="Y590" s="477"/>
      <c r="Z590" s="477"/>
    </row>
    <row r="591" spans="1:26" ht="15" customHeight="1" x14ac:dyDescent="0.35">
      <c r="A591" s="477"/>
      <c r="B591" s="477"/>
      <c r="C591" s="477"/>
      <c r="D591" s="477"/>
      <c r="E591" s="477"/>
      <c r="F591" s="477"/>
      <c r="G591" s="477"/>
      <c r="H591" s="477"/>
      <c r="I591" s="477"/>
      <c r="J591" s="477"/>
      <c r="K591" s="477"/>
      <c r="L591" s="477"/>
      <c r="M591" s="477"/>
      <c r="N591" s="477"/>
      <c r="O591" s="477"/>
      <c r="P591" s="477"/>
      <c r="Q591" s="477"/>
      <c r="R591" s="477"/>
      <c r="S591" s="477"/>
      <c r="T591" s="477"/>
      <c r="U591" s="477"/>
      <c r="V591" s="477"/>
      <c r="W591" s="477"/>
      <c r="X591" s="477"/>
      <c r="Y591" s="477"/>
      <c r="Z591" s="477"/>
    </row>
    <row r="592" spans="1:26" ht="15" customHeight="1" x14ac:dyDescent="0.35">
      <c r="A592" s="477"/>
      <c r="B592" s="477"/>
      <c r="C592" s="477"/>
      <c r="D592" s="477"/>
      <c r="E592" s="477"/>
      <c r="F592" s="477"/>
      <c r="G592" s="477"/>
      <c r="H592" s="477"/>
      <c r="I592" s="477"/>
      <c r="J592" s="477"/>
      <c r="K592" s="477"/>
      <c r="L592" s="477"/>
      <c r="M592" s="477"/>
      <c r="N592" s="477"/>
      <c r="O592" s="477"/>
      <c r="P592" s="477"/>
      <c r="Q592" s="477"/>
      <c r="R592" s="477"/>
      <c r="S592" s="477"/>
      <c r="T592" s="477"/>
      <c r="U592" s="477"/>
      <c r="V592" s="477"/>
      <c r="W592" s="477"/>
      <c r="X592" s="477"/>
      <c r="Y592" s="477"/>
      <c r="Z592" s="477"/>
    </row>
    <row r="593" spans="1:26" ht="15" customHeight="1" x14ac:dyDescent="0.35">
      <c r="A593" s="477"/>
      <c r="B593" s="477"/>
      <c r="C593" s="477"/>
      <c r="D593" s="477"/>
      <c r="E593" s="477"/>
      <c r="F593" s="477"/>
      <c r="G593" s="477"/>
      <c r="H593" s="477"/>
      <c r="I593" s="477"/>
      <c r="J593" s="477"/>
      <c r="K593" s="477"/>
      <c r="L593" s="477"/>
      <c r="M593" s="477"/>
      <c r="N593" s="477"/>
      <c r="O593" s="477"/>
      <c r="P593" s="477"/>
      <c r="Q593" s="477"/>
      <c r="R593" s="477"/>
      <c r="S593" s="477"/>
      <c r="T593" s="477"/>
      <c r="U593" s="477"/>
      <c r="V593" s="477"/>
      <c r="W593" s="477"/>
      <c r="X593" s="477"/>
      <c r="Y593" s="477"/>
      <c r="Z593" s="477"/>
    </row>
    <row r="594" spans="1:26" ht="15" customHeight="1" x14ac:dyDescent="0.35">
      <c r="A594" s="477"/>
      <c r="B594" s="477"/>
      <c r="C594" s="477"/>
      <c r="D594" s="477"/>
      <c r="E594" s="477"/>
      <c r="F594" s="477"/>
      <c r="G594" s="477"/>
      <c r="H594" s="477"/>
      <c r="I594" s="477"/>
      <c r="J594" s="477"/>
      <c r="K594" s="477"/>
      <c r="L594" s="477"/>
      <c r="M594" s="477"/>
      <c r="N594" s="477"/>
      <c r="O594" s="477"/>
      <c r="P594" s="477"/>
      <c r="Q594" s="477"/>
      <c r="R594" s="477"/>
      <c r="S594" s="477"/>
      <c r="T594" s="477"/>
      <c r="U594" s="477"/>
      <c r="V594" s="477"/>
      <c r="W594" s="477"/>
      <c r="X594" s="477"/>
      <c r="Y594" s="477"/>
      <c r="Z594" s="477"/>
    </row>
    <row r="595" spans="1:26" ht="15" customHeight="1" x14ac:dyDescent="0.35">
      <c r="A595" s="477"/>
      <c r="B595" s="477"/>
      <c r="C595" s="477"/>
      <c r="D595" s="477"/>
      <c r="E595" s="477"/>
      <c r="F595" s="477"/>
      <c r="G595" s="477"/>
      <c r="H595" s="477"/>
      <c r="I595" s="477"/>
      <c r="J595" s="477"/>
      <c r="K595" s="477"/>
      <c r="L595" s="477"/>
      <c r="M595" s="477"/>
      <c r="N595" s="477"/>
      <c r="O595" s="477"/>
      <c r="P595" s="477"/>
      <c r="Q595" s="477"/>
      <c r="R595" s="477"/>
      <c r="S595" s="477"/>
      <c r="T595" s="477"/>
      <c r="U595" s="477"/>
      <c r="V595" s="477"/>
      <c r="W595" s="477"/>
      <c r="X595" s="477"/>
      <c r="Y595" s="477"/>
      <c r="Z595" s="477"/>
    </row>
    <row r="596" spans="1:26" ht="15" customHeight="1" x14ac:dyDescent="0.35">
      <c r="A596" s="477"/>
      <c r="B596" s="477"/>
      <c r="C596" s="477"/>
      <c r="D596" s="477"/>
      <c r="E596" s="477"/>
      <c r="F596" s="477"/>
      <c r="G596" s="477"/>
      <c r="H596" s="477"/>
      <c r="I596" s="477"/>
      <c r="J596" s="477"/>
      <c r="K596" s="477"/>
      <c r="L596" s="477"/>
      <c r="M596" s="477"/>
      <c r="N596" s="477"/>
      <c r="O596" s="477"/>
      <c r="P596" s="477"/>
      <c r="Q596" s="477"/>
      <c r="R596" s="477"/>
      <c r="S596" s="477"/>
      <c r="T596" s="477"/>
      <c r="U596" s="477"/>
      <c r="V596" s="477"/>
      <c r="W596" s="477"/>
      <c r="X596" s="477"/>
      <c r="Y596" s="477"/>
      <c r="Z596" s="477"/>
    </row>
    <row r="597" spans="1:26" ht="15" customHeight="1" x14ac:dyDescent="0.35">
      <c r="A597" s="477"/>
      <c r="B597" s="477"/>
      <c r="C597" s="477"/>
      <c r="D597" s="477"/>
      <c r="E597" s="477"/>
      <c r="F597" s="477"/>
      <c r="G597" s="477"/>
      <c r="H597" s="477"/>
      <c r="I597" s="477"/>
      <c r="J597" s="477"/>
      <c r="K597" s="477"/>
      <c r="L597" s="477"/>
      <c r="M597" s="477"/>
      <c r="N597" s="477"/>
      <c r="O597" s="477"/>
      <c r="P597" s="477"/>
      <c r="Q597" s="477"/>
      <c r="R597" s="477"/>
      <c r="S597" s="477"/>
      <c r="T597" s="477"/>
      <c r="U597" s="477"/>
      <c r="V597" s="477"/>
      <c r="W597" s="477"/>
      <c r="X597" s="477"/>
      <c r="Y597" s="477"/>
      <c r="Z597" s="477"/>
    </row>
    <row r="598" spans="1:26" ht="15" customHeight="1" x14ac:dyDescent="0.35">
      <c r="A598" s="477"/>
      <c r="B598" s="477"/>
      <c r="C598" s="477"/>
      <c r="D598" s="477"/>
      <c r="E598" s="477"/>
      <c r="F598" s="477"/>
      <c r="G598" s="477"/>
      <c r="H598" s="477"/>
      <c r="I598" s="477"/>
      <c r="J598" s="477"/>
      <c r="K598" s="477"/>
      <c r="L598" s="477"/>
      <c r="M598" s="477"/>
      <c r="N598" s="477"/>
      <c r="O598" s="477"/>
      <c r="P598" s="477"/>
      <c r="Q598" s="477"/>
      <c r="R598" s="477"/>
      <c r="S598" s="477"/>
      <c r="T598" s="477"/>
      <c r="U598" s="477"/>
      <c r="V598" s="477"/>
      <c r="W598" s="477"/>
      <c r="X598" s="477"/>
      <c r="Y598" s="477"/>
      <c r="Z598" s="477"/>
    </row>
    <row r="599" spans="1:26" ht="15" customHeight="1" x14ac:dyDescent="0.35">
      <c r="A599" s="477"/>
      <c r="B599" s="477"/>
      <c r="C599" s="477"/>
      <c r="D599" s="477"/>
      <c r="E599" s="477"/>
      <c r="F599" s="477"/>
      <c r="G599" s="477"/>
      <c r="H599" s="477"/>
      <c r="I599" s="477"/>
      <c r="J599" s="477"/>
      <c r="K599" s="477"/>
      <c r="L599" s="477"/>
      <c r="M599" s="477"/>
      <c r="N599" s="477"/>
      <c r="O599" s="477"/>
      <c r="P599" s="477"/>
      <c r="Q599" s="477"/>
      <c r="R599" s="477"/>
      <c r="S599" s="477"/>
      <c r="T599" s="477"/>
      <c r="U599" s="477"/>
      <c r="V599" s="477"/>
      <c r="W599" s="477"/>
      <c r="X599" s="477"/>
      <c r="Y599" s="477"/>
      <c r="Z599" s="477"/>
    </row>
    <row r="600" spans="1:26" ht="15" customHeight="1" x14ac:dyDescent="0.35">
      <c r="A600" s="477"/>
      <c r="B600" s="477"/>
      <c r="C600" s="477"/>
      <c r="D600" s="477"/>
      <c r="E600" s="477"/>
      <c r="F600" s="477"/>
      <c r="G600" s="477"/>
      <c r="H600" s="477"/>
      <c r="I600" s="477"/>
      <c r="J600" s="477"/>
      <c r="K600" s="477"/>
      <c r="L600" s="477"/>
      <c r="M600" s="477"/>
      <c r="N600" s="477"/>
      <c r="O600" s="477"/>
      <c r="P600" s="477"/>
      <c r="Q600" s="477"/>
      <c r="R600" s="477"/>
      <c r="S600" s="477"/>
      <c r="T600" s="477"/>
      <c r="U600" s="477"/>
      <c r="V600" s="477"/>
      <c r="W600" s="477"/>
      <c r="X600" s="477"/>
      <c r="Y600" s="477"/>
      <c r="Z600" s="477"/>
    </row>
    <row r="601" spans="1:26" ht="15" customHeight="1" x14ac:dyDescent="0.35">
      <c r="A601" s="477"/>
      <c r="B601" s="477"/>
      <c r="C601" s="477"/>
      <c r="D601" s="477"/>
      <c r="E601" s="477"/>
      <c r="F601" s="477"/>
      <c r="G601" s="477"/>
      <c r="H601" s="477"/>
      <c r="I601" s="477"/>
      <c r="J601" s="477"/>
      <c r="K601" s="477"/>
      <c r="L601" s="477"/>
      <c r="M601" s="477"/>
      <c r="N601" s="477"/>
      <c r="O601" s="477"/>
      <c r="P601" s="477"/>
      <c r="Q601" s="477"/>
      <c r="R601" s="477"/>
      <c r="S601" s="477"/>
      <c r="T601" s="477"/>
      <c r="U601" s="477"/>
      <c r="V601" s="477"/>
      <c r="W601" s="477"/>
      <c r="X601" s="477"/>
      <c r="Y601" s="477"/>
      <c r="Z601" s="477"/>
    </row>
    <row r="602" spans="1:26" ht="15" customHeight="1" x14ac:dyDescent="0.35">
      <c r="A602" s="477"/>
      <c r="B602" s="477"/>
      <c r="C602" s="477"/>
      <c r="D602" s="477"/>
      <c r="E602" s="477"/>
      <c r="F602" s="477"/>
      <c r="G602" s="477"/>
      <c r="H602" s="477"/>
      <c r="I602" s="477"/>
      <c r="J602" s="477"/>
      <c r="K602" s="477"/>
      <c r="L602" s="477"/>
      <c r="M602" s="477"/>
      <c r="N602" s="477"/>
      <c r="O602" s="477"/>
      <c r="P602" s="477"/>
      <c r="Q602" s="477"/>
      <c r="R602" s="477"/>
      <c r="S602" s="477"/>
      <c r="T602" s="477"/>
      <c r="U602" s="477"/>
      <c r="V602" s="477"/>
      <c r="W602" s="477"/>
      <c r="X602" s="477"/>
      <c r="Y602" s="477"/>
      <c r="Z602" s="477"/>
    </row>
    <row r="603" spans="1:26" ht="15" customHeight="1" x14ac:dyDescent="0.35">
      <c r="A603" s="477"/>
      <c r="B603" s="477"/>
      <c r="C603" s="477"/>
      <c r="D603" s="477"/>
      <c r="E603" s="477"/>
      <c r="F603" s="477"/>
      <c r="G603" s="477"/>
      <c r="H603" s="477"/>
      <c r="I603" s="477"/>
      <c r="J603" s="477"/>
      <c r="K603" s="477"/>
      <c r="L603" s="477"/>
      <c r="M603" s="477"/>
      <c r="N603" s="477"/>
      <c r="O603" s="477"/>
      <c r="P603" s="477"/>
      <c r="Q603" s="477"/>
      <c r="R603" s="477"/>
      <c r="S603" s="477"/>
      <c r="T603" s="477"/>
      <c r="U603" s="477"/>
      <c r="V603" s="477"/>
      <c r="W603" s="477"/>
      <c r="X603" s="477"/>
      <c r="Y603" s="477"/>
      <c r="Z603" s="477"/>
    </row>
    <row r="604" spans="1:26" ht="15" customHeight="1" x14ac:dyDescent="0.35">
      <c r="A604" s="477"/>
      <c r="B604" s="477"/>
      <c r="C604" s="477"/>
      <c r="D604" s="477"/>
      <c r="E604" s="477"/>
      <c r="F604" s="477"/>
      <c r="G604" s="477"/>
      <c r="H604" s="477"/>
      <c r="I604" s="477"/>
      <c r="J604" s="477"/>
      <c r="K604" s="477"/>
      <c r="L604" s="477"/>
      <c r="M604" s="477"/>
      <c r="N604" s="477"/>
      <c r="O604" s="477"/>
      <c r="P604" s="477"/>
      <c r="Q604" s="477"/>
      <c r="R604" s="477"/>
      <c r="S604" s="477"/>
      <c r="T604" s="477"/>
      <c r="U604" s="477"/>
      <c r="V604" s="477"/>
      <c r="W604" s="477"/>
      <c r="X604" s="477"/>
      <c r="Y604" s="477"/>
      <c r="Z604" s="477"/>
    </row>
    <row r="605" spans="1:26" ht="15" customHeight="1" x14ac:dyDescent="0.35">
      <c r="A605" s="477"/>
      <c r="B605" s="477"/>
      <c r="C605" s="477"/>
      <c r="D605" s="477"/>
      <c r="E605" s="477"/>
      <c r="F605" s="477"/>
      <c r="G605" s="477"/>
      <c r="H605" s="477"/>
      <c r="I605" s="477"/>
      <c r="J605" s="477"/>
      <c r="K605" s="477"/>
      <c r="L605" s="477"/>
      <c r="M605" s="477"/>
      <c r="N605" s="477"/>
      <c r="O605" s="477"/>
      <c r="P605" s="477"/>
      <c r="Q605" s="477"/>
      <c r="R605" s="477"/>
      <c r="S605" s="477"/>
      <c r="T605" s="477"/>
      <c r="U605" s="477"/>
      <c r="V605" s="477"/>
      <c r="W605" s="477"/>
      <c r="X605" s="477"/>
      <c r="Y605" s="477"/>
      <c r="Z605" s="477"/>
    </row>
    <row r="606" spans="1:26" ht="15" customHeight="1" x14ac:dyDescent="0.35">
      <c r="A606" s="477"/>
      <c r="B606" s="477"/>
      <c r="C606" s="477"/>
      <c r="D606" s="477"/>
      <c r="E606" s="477"/>
      <c r="F606" s="477"/>
      <c r="G606" s="477"/>
      <c r="H606" s="477"/>
      <c r="I606" s="477"/>
      <c r="J606" s="477"/>
      <c r="K606" s="477"/>
      <c r="L606" s="477"/>
      <c r="M606" s="477"/>
      <c r="N606" s="477"/>
      <c r="O606" s="477"/>
      <c r="P606" s="477"/>
      <c r="Q606" s="477"/>
      <c r="R606" s="477"/>
      <c r="S606" s="477"/>
      <c r="T606" s="477"/>
      <c r="U606" s="477"/>
      <c r="V606" s="477"/>
      <c r="W606" s="477"/>
      <c r="X606" s="477"/>
      <c r="Y606" s="477"/>
      <c r="Z606" s="477"/>
    </row>
    <row r="607" spans="1:26" ht="15" customHeight="1" x14ac:dyDescent="0.35">
      <c r="A607" s="477"/>
      <c r="B607" s="477"/>
      <c r="C607" s="477"/>
      <c r="D607" s="477"/>
      <c r="E607" s="477"/>
      <c r="F607" s="477"/>
      <c r="G607" s="477"/>
      <c r="H607" s="477"/>
      <c r="I607" s="477"/>
      <c r="J607" s="477"/>
      <c r="K607" s="477"/>
      <c r="L607" s="477"/>
      <c r="M607" s="477"/>
      <c r="N607" s="477"/>
      <c r="O607" s="477"/>
      <c r="P607" s="477"/>
      <c r="Q607" s="477"/>
      <c r="R607" s="477"/>
      <c r="S607" s="477"/>
      <c r="T607" s="477"/>
      <c r="U607" s="477"/>
      <c r="V607" s="477"/>
      <c r="W607" s="477"/>
      <c r="X607" s="477"/>
      <c r="Y607" s="477"/>
      <c r="Z607" s="477"/>
    </row>
    <row r="608" spans="1:26" ht="15" customHeight="1" x14ac:dyDescent="0.35">
      <c r="A608" s="477"/>
      <c r="B608" s="477"/>
      <c r="C608" s="477"/>
      <c r="D608" s="477"/>
      <c r="E608" s="477"/>
      <c r="F608" s="477"/>
      <c r="G608" s="477"/>
      <c r="H608" s="477"/>
      <c r="I608" s="477"/>
      <c r="J608" s="477"/>
      <c r="K608" s="477"/>
      <c r="L608" s="477"/>
      <c r="M608" s="477"/>
      <c r="N608" s="477"/>
      <c r="O608" s="477"/>
      <c r="P608" s="477"/>
      <c r="Q608" s="477"/>
      <c r="R608" s="477"/>
      <c r="S608" s="477"/>
      <c r="T608" s="477"/>
      <c r="U608" s="477"/>
      <c r="V608" s="477"/>
      <c r="W608" s="477"/>
      <c r="X608" s="477"/>
      <c r="Y608" s="477"/>
      <c r="Z608" s="477"/>
    </row>
    <row r="609" spans="1:26" ht="15" customHeight="1" x14ac:dyDescent="0.35">
      <c r="A609" s="477"/>
      <c r="B609" s="477"/>
      <c r="C609" s="477"/>
      <c r="D609" s="477"/>
      <c r="E609" s="477"/>
      <c r="F609" s="477"/>
      <c r="G609" s="477"/>
      <c r="H609" s="477"/>
      <c r="I609" s="477"/>
      <c r="J609" s="477"/>
      <c r="K609" s="477"/>
      <c r="L609" s="477"/>
      <c r="M609" s="477"/>
      <c r="N609" s="477"/>
      <c r="O609" s="477"/>
      <c r="P609" s="477"/>
      <c r="Q609" s="477"/>
      <c r="R609" s="477"/>
      <c r="S609" s="477"/>
      <c r="T609" s="477"/>
      <c r="U609" s="477"/>
      <c r="V609" s="477"/>
      <c r="W609" s="477"/>
      <c r="X609" s="477"/>
      <c r="Y609" s="477"/>
      <c r="Z609" s="477"/>
    </row>
    <row r="610" spans="1:26" ht="15" customHeight="1" x14ac:dyDescent="0.35">
      <c r="A610" s="477"/>
      <c r="B610" s="477"/>
      <c r="C610" s="477"/>
      <c r="D610" s="477"/>
      <c r="E610" s="477"/>
      <c r="F610" s="477"/>
      <c r="G610" s="477"/>
      <c r="H610" s="477"/>
      <c r="I610" s="477"/>
      <c r="J610" s="477"/>
      <c r="K610" s="477"/>
      <c r="L610" s="477"/>
      <c r="M610" s="477"/>
      <c r="N610" s="477"/>
      <c r="O610" s="477"/>
      <c r="P610" s="477"/>
      <c r="Q610" s="477"/>
      <c r="R610" s="477"/>
      <c r="S610" s="477"/>
      <c r="T610" s="477"/>
      <c r="U610" s="477"/>
      <c r="V610" s="477"/>
      <c r="W610" s="477"/>
      <c r="X610" s="477"/>
      <c r="Y610" s="477"/>
      <c r="Z610" s="477"/>
    </row>
    <row r="611" spans="1:26" ht="15" customHeight="1" x14ac:dyDescent="0.35">
      <c r="A611" s="477"/>
      <c r="B611" s="477"/>
      <c r="C611" s="477"/>
      <c r="D611" s="477"/>
      <c r="E611" s="477"/>
      <c r="F611" s="477"/>
      <c r="G611" s="477"/>
      <c r="H611" s="477"/>
      <c r="I611" s="477"/>
      <c r="J611" s="477"/>
      <c r="K611" s="477"/>
      <c r="L611" s="477"/>
      <c r="M611" s="477"/>
      <c r="N611" s="477"/>
      <c r="O611" s="477"/>
      <c r="P611" s="477"/>
      <c r="Q611" s="477"/>
      <c r="R611" s="477"/>
      <c r="S611" s="477"/>
      <c r="T611" s="477"/>
      <c r="U611" s="477"/>
      <c r="V611" s="477"/>
      <c r="W611" s="477"/>
      <c r="X611" s="477"/>
      <c r="Y611" s="477"/>
      <c r="Z611" s="477"/>
    </row>
    <row r="612" spans="1:26" ht="15" customHeight="1" x14ac:dyDescent="0.35">
      <c r="A612" s="477"/>
      <c r="B612" s="477"/>
      <c r="C612" s="477"/>
      <c r="D612" s="477"/>
      <c r="E612" s="477"/>
      <c r="F612" s="477"/>
      <c r="G612" s="477"/>
      <c r="H612" s="477"/>
      <c r="I612" s="477"/>
      <c r="J612" s="477"/>
      <c r="K612" s="477"/>
      <c r="L612" s="477"/>
      <c r="M612" s="477"/>
      <c r="N612" s="477"/>
      <c r="O612" s="477"/>
      <c r="P612" s="477"/>
      <c r="Q612" s="477"/>
      <c r="R612" s="477"/>
      <c r="S612" s="477"/>
      <c r="T612" s="477"/>
      <c r="U612" s="477"/>
      <c r="V612" s="477"/>
      <c r="W612" s="477"/>
      <c r="X612" s="477"/>
      <c r="Y612" s="477"/>
      <c r="Z612" s="477"/>
    </row>
    <row r="613" spans="1:26" ht="15" customHeight="1" x14ac:dyDescent="0.35">
      <c r="A613" s="477"/>
      <c r="B613" s="477"/>
      <c r="C613" s="477"/>
      <c r="D613" s="477"/>
      <c r="E613" s="477"/>
      <c r="F613" s="477"/>
      <c r="G613" s="477"/>
      <c r="H613" s="477"/>
      <c r="I613" s="477"/>
      <c r="J613" s="477"/>
      <c r="K613" s="477"/>
      <c r="L613" s="477"/>
      <c r="M613" s="477"/>
      <c r="N613" s="477"/>
      <c r="O613" s="477"/>
      <c r="P613" s="477"/>
      <c r="Q613" s="477"/>
      <c r="R613" s="477"/>
      <c r="S613" s="477"/>
      <c r="T613" s="477"/>
      <c r="U613" s="477"/>
      <c r="V613" s="477"/>
      <c r="W613" s="477"/>
      <c r="X613" s="477"/>
      <c r="Y613" s="477"/>
      <c r="Z613" s="477"/>
    </row>
    <row r="614" spans="1:26" ht="15" customHeight="1" x14ac:dyDescent="0.35">
      <c r="A614" s="477"/>
      <c r="B614" s="477"/>
      <c r="C614" s="477"/>
      <c r="D614" s="477"/>
      <c r="E614" s="477"/>
      <c r="F614" s="477"/>
      <c r="G614" s="477"/>
      <c r="H614" s="477"/>
      <c r="I614" s="477"/>
      <c r="J614" s="477"/>
      <c r="K614" s="477"/>
      <c r="L614" s="477"/>
      <c r="M614" s="477"/>
      <c r="N614" s="477"/>
      <c r="O614" s="477"/>
      <c r="P614" s="477"/>
      <c r="Q614" s="477"/>
      <c r="R614" s="477"/>
      <c r="S614" s="477"/>
      <c r="T614" s="477"/>
      <c r="U614" s="477"/>
      <c r="V614" s="477"/>
      <c r="W614" s="477"/>
      <c r="X614" s="477"/>
      <c r="Y614" s="477"/>
      <c r="Z614" s="477"/>
    </row>
    <row r="615" spans="1:26" ht="15" customHeight="1" x14ac:dyDescent="0.35">
      <c r="A615" s="477"/>
      <c r="B615" s="477"/>
      <c r="C615" s="477"/>
      <c r="D615" s="477"/>
      <c r="E615" s="477"/>
      <c r="F615" s="477"/>
      <c r="G615" s="477"/>
      <c r="H615" s="477"/>
      <c r="I615" s="477"/>
      <c r="J615" s="477"/>
      <c r="K615" s="477"/>
      <c r="L615" s="477"/>
      <c r="M615" s="477"/>
      <c r="N615" s="477"/>
      <c r="O615" s="477"/>
      <c r="P615" s="477"/>
      <c r="Q615" s="477"/>
      <c r="R615" s="477"/>
      <c r="S615" s="477"/>
      <c r="T615" s="477"/>
      <c r="U615" s="477"/>
      <c r="V615" s="477"/>
      <c r="W615" s="477"/>
      <c r="X615" s="477"/>
      <c r="Y615" s="477"/>
      <c r="Z615" s="477"/>
    </row>
    <row r="616" spans="1:26" ht="15" customHeight="1" x14ac:dyDescent="0.35">
      <c r="A616" s="477"/>
      <c r="B616" s="477"/>
      <c r="C616" s="477"/>
      <c r="D616" s="477"/>
      <c r="E616" s="477"/>
      <c r="F616" s="477"/>
      <c r="G616" s="477"/>
      <c r="H616" s="477"/>
      <c r="I616" s="477"/>
      <c r="J616" s="477"/>
      <c r="K616" s="477"/>
      <c r="L616" s="477"/>
      <c r="M616" s="477"/>
      <c r="N616" s="477"/>
      <c r="O616" s="477"/>
      <c r="P616" s="477"/>
      <c r="Q616" s="477"/>
      <c r="R616" s="477"/>
      <c r="S616" s="477"/>
      <c r="T616" s="477"/>
      <c r="U616" s="477"/>
      <c r="V616" s="477"/>
      <c r="W616" s="477"/>
      <c r="X616" s="477"/>
      <c r="Y616" s="477"/>
      <c r="Z616" s="477"/>
    </row>
    <row r="617" spans="1:26" ht="15" customHeight="1" x14ac:dyDescent="0.35">
      <c r="A617" s="477"/>
      <c r="B617" s="477"/>
      <c r="C617" s="477"/>
      <c r="D617" s="477"/>
      <c r="E617" s="477"/>
      <c r="F617" s="477"/>
      <c r="G617" s="477"/>
      <c r="H617" s="477"/>
      <c r="I617" s="477"/>
      <c r="J617" s="477"/>
      <c r="K617" s="477"/>
      <c r="L617" s="477"/>
      <c r="M617" s="477"/>
      <c r="N617" s="477"/>
      <c r="O617" s="477"/>
      <c r="P617" s="477"/>
      <c r="Q617" s="477"/>
      <c r="R617" s="477"/>
      <c r="S617" s="477"/>
      <c r="T617" s="477"/>
      <c r="U617" s="477"/>
      <c r="V617" s="477"/>
      <c r="W617" s="477"/>
      <c r="X617" s="477"/>
      <c r="Y617" s="477"/>
      <c r="Z617" s="477"/>
    </row>
    <row r="618" spans="1:26" ht="15" customHeight="1" x14ac:dyDescent="0.35">
      <c r="A618" s="477"/>
      <c r="B618" s="477"/>
      <c r="C618" s="477"/>
      <c r="D618" s="477"/>
      <c r="E618" s="477"/>
      <c r="F618" s="477"/>
      <c r="G618" s="477"/>
      <c r="H618" s="477"/>
      <c r="I618" s="477"/>
      <c r="J618" s="477"/>
      <c r="K618" s="477"/>
      <c r="L618" s="477"/>
      <c r="M618" s="477"/>
      <c r="N618" s="477"/>
      <c r="O618" s="477"/>
      <c r="P618" s="477"/>
      <c r="Q618" s="477"/>
      <c r="R618" s="477"/>
      <c r="S618" s="477"/>
      <c r="T618" s="477"/>
      <c r="U618" s="477"/>
      <c r="V618" s="477"/>
      <c r="W618" s="477"/>
      <c r="X618" s="477"/>
      <c r="Y618" s="477"/>
      <c r="Z618" s="477"/>
    </row>
    <row r="619" spans="1:26" ht="15" customHeight="1" x14ac:dyDescent="0.35">
      <c r="A619" s="477"/>
      <c r="B619" s="477"/>
      <c r="C619" s="477"/>
      <c r="D619" s="477"/>
      <c r="E619" s="477"/>
      <c r="F619" s="477"/>
      <c r="G619" s="477"/>
      <c r="H619" s="477"/>
      <c r="I619" s="477"/>
      <c r="J619" s="477"/>
      <c r="K619" s="477"/>
      <c r="L619" s="477"/>
      <c r="M619" s="477"/>
      <c r="N619" s="477"/>
      <c r="O619" s="477"/>
      <c r="P619" s="477"/>
      <c r="Q619" s="477"/>
      <c r="R619" s="477"/>
      <c r="S619" s="477"/>
      <c r="T619" s="477"/>
      <c r="U619" s="477"/>
      <c r="V619" s="477"/>
      <c r="W619" s="477"/>
      <c r="X619" s="477"/>
      <c r="Y619" s="477"/>
      <c r="Z619" s="477"/>
    </row>
    <row r="620" spans="1:26" ht="15" customHeight="1" x14ac:dyDescent="0.35">
      <c r="A620" s="477"/>
      <c r="B620" s="477"/>
      <c r="C620" s="477"/>
      <c r="D620" s="477"/>
      <c r="E620" s="477"/>
      <c r="F620" s="477"/>
      <c r="G620" s="477"/>
      <c r="H620" s="477"/>
      <c r="I620" s="477"/>
      <c r="J620" s="477"/>
      <c r="K620" s="477"/>
      <c r="L620" s="477"/>
      <c r="M620" s="477"/>
      <c r="N620" s="477"/>
      <c r="O620" s="477"/>
      <c r="P620" s="477"/>
      <c r="Q620" s="477"/>
      <c r="R620" s="477"/>
      <c r="S620" s="477"/>
      <c r="T620" s="477"/>
      <c r="U620" s="477"/>
      <c r="V620" s="477"/>
      <c r="W620" s="477"/>
      <c r="X620" s="477"/>
      <c r="Y620" s="477"/>
      <c r="Z620" s="477"/>
    </row>
    <row r="621" spans="1:26" ht="15" customHeight="1" x14ac:dyDescent="0.35">
      <c r="A621" s="477"/>
      <c r="B621" s="477"/>
      <c r="C621" s="477"/>
      <c r="D621" s="477"/>
      <c r="E621" s="477"/>
      <c r="F621" s="477"/>
      <c r="G621" s="477"/>
      <c r="H621" s="477"/>
      <c r="I621" s="477"/>
      <c r="J621" s="477"/>
      <c r="K621" s="477"/>
      <c r="L621" s="477"/>
      <c r="M621" s="477"/>
      <c r="N621" s="477"/>
      <c r="O621" s="477"/>
      <c r="P621" s="477"/>
      <c r="Q621" s="477"/>
      <c r="R621" s="477"/>
      <c r="S621" s="477"/>
      <c r="T621" s="477"/>
      <c r="U621" s="477"/>
      <c r="V621" s="477"/>
      <c r="W621" s="477"/>
      <c r="X621" s="477"/>
      <c r="Y621" s="477"/>
      <c r="Z621" s="477"/>
    </row>
    <row r="622" spans="1:26" ht="15" customHeight="1" x14ac:dyDescent="0.35">
      <c r="A622" s="477"/>
      <c r="B622" s="477"/>
      <c r="C622" s="477"/>
      <c r="D622" s="477"/>
      <c r="E622" s="477"/>
      <c r="F622" s="477"/>
      <c r="G622" s="477"/>
      <c r="H622" s="477"/>
      <c r="I622" s="477"/>
      <c r="J622" s="477"/>
      <c r="K622" s="477"/>
      <c r="L622" s="477"/>
      <c r="M622" s="477"/>
      <c r="N622" s="477"/>
      <c r="O622" s="477"/>
      <c r="P622" s="477"/>
      <c r="Q622" s="477"/>
      <c r="R622" s="477"/>
      <c r="S622" s="477"/>
      <c r="T622" s="477"/>
      <c r="U622" s="477"/>
      <c r="V622" s="477"/>
      <c r="W622" s="477"/>
      <c r="X622" s="477"/>
      <c r="Y622" s="477"/>
      <c r="Z622" s="477"/>
    </row>
    <row r="623" spans="1:26" ht="15" customHeight="1" x14ac:dyDescent="0.35">
      <c r="A623" s="477"/>
      <c r="B623" s="477"/>
      <c r="C623" s="477"/>
      <c r="D623" s="477"/>
      <c r="E623" s="477"/>
      <c r="F623" s="477"/>
      <c r="G623" s="477"/>
      <c r="H623" s="477"/>
      <c r="I623" s="477"/>
      <c r="J623" s="477"/>
      <c r="K623" s="477"/>
      <c r="L623" s="477"/>
      <c r="M623" s="477"/>
      <c r="N623" s="477"/>
      <c r="O623" s="477"/>
      <c r="P623" s="477"/>
      <c r="Q623" s="477"/>
      <c r="R623" s="477"/>
      <c r="S623" s="477"/>
      <c r="T623" s="477"/>
      <c r="U623" s="477"/>
      <c r="V623" s="477"/>
      <c r="W623" s="477"/>
      <c r="X623" s="477"/>
      <c r="Y623" s="477"/>
      <c r="Z623" s="477"/>
    </row>
    <row r="624" spans="1:26" ht="15" customHeight="1" x14ac:dyDescent="0.35">
      <c r="A624" s="477"/>
      <c r="B624" s="477"/>
      <c r="C624" s="477"/>
      <c r="D624" s="477"/>
      <c r="E624" s="477"/>
      <c r="F624" s="477"/>
      <c r="G624" s="477"/>
      <c r="H624" s="477"/>
      <c r="I624" s="477"/>
      <c r="J624" s="477"/>
      <c r="K624" s="477"/>
      <c r="L624" s="477"/>
      <c r="M624" s="477"/>
      <c r="N624" s="477"/>
      <c r="O624" s="477"/>
      <c r="P624" s="477"/>
      <c r="Q624" s="477"/>
      <c r="R624" s="477"/>
      <c r="S624" s="477"/>
      <c r="T624" s="477"/>
      <c r="U624" s="477"/>
      <c r="V624" s="477"/>
      <c r="W624" s="477"/>
      <c r="X624" s="477"/>
      <c r="Y624" s="477"/>
      <c r="Z624" s="477"/>
    </row>
    <row r="625" spans="1:26" ht="15" customHeight="1" x14ac:dyDescent="0.35">
      <c r="A625" s="477"/>
      <c r="B625" s="477"/>
      <c r="C625" s="477"/>
      <c r="D625" s="477"/>
      <c r="E625" s="477"/>
      <c r="F625" s="477"/>
      <c r="G625" s="477"/>
      <c r="H625" s="477"/>
      <c r="I625" s="477"/>
      <c r="J625" s="477"/>
      <c r="K625" s="477"/>
      <c r="L625" s="477"/>
      <c r="M625" s="477"/>
      <c r="N625" s="477"/>
      <c r="O625" s="477"/>
      <c r="P625" s="477"/>
      <c r="Q625" s="477"/>
      <c r="R625" s="477"/>
      <c r="S625" s="477"/>
      <c r="T625" s="477"/>
      <c r="U625" s="477"/>
      <c r="V625" s="477"/>
      <c r="W625" s="477"/>
      <c r="X625" s="477"/>
      <c r="Y625" s="477"/>
      <c r="Z625" s="477"/>
    </row>
    <row r="626" spans="1:26" ht="15" customHeight="1" x14ac:dyDescent="0.35">
      <c r="A626" s="477"/>
      <c r="B626" s="477"/>
      <c r="C626" s="477"/>
      <c r="D626" s="477"/>
      <c r="E626" s="477"/>
      <c r="F626" s="477"/>
      <c r="G626" s="477"/>
      <c r="H626" s="477"/>
      <c r="I626" s="477"/>
      <c r="J626" s="477"/>
      <c r="K626" s="477"/>
      <c r="L626" s="477"/>
      <c r="M626" s="477"/>
      <c r="N626" s="477"/>
      <c r="O626" s="477"/>
      <c r="P626" s="477"/>
      <c r="Q626" s="477"/>
      <c r="R626" s="477"/>
      <c r="S626" s="477"/>
      <c r="T626" s="477"/>
      <c r="U626" s="477"/>
      <c r="V626" s="477"/>
      <c r="W626" s="477"/>
      <c r="X626" s="477"/>
      <c r="Y626" s="477"/>
      <c r="Z626" s="477"/>
    </row>
    <row r="627" spans="1:26" ht="15" customHeight="1" x14ac:dyDescent="0.35">
      <c r="A627" s="477"/>
      <c r="B627" s="477"/>
      <c r="C627" s="477"/>
      <c r="D627" s="477"/>
      <c r="E627" s="477"/>
      <c r="F627" s="477"/>
      <c r="G627" s="477"/>
      <c r="H627" s="477"/>
      <c r="I627" s="477"/>
      <c r="J627" s="477"/>
      <c r="K627" s="477"/>
      <c r="L627" s="477"/>
      <c r="M627" s="477"/>
      <c r="N627" s="477"/>
      <c r="O627" s="477"/>
      <c r="P627" s="477"/>
      <c r="Q627" s="477"/>
      <c r="R627" s="477"/>
      <c r="S627" s="477"/>
      <c r="T627" s="477"/>
      <c r="U627" s="477"/>
      <c r="V627" s="477"/>
      <c r="W627" s="477"/>
      <c r="X627" s="477"/>
      <c r="Y627" s="477"/>
      <c r="Z627" s="477"/>
    </row>
    <row r="628" spans="1:26" ht="15" customHeight="1" x14ac:dyDescent="0.35">
      <c r="A628" s="477"/>
      <c r="B628" s="477"/>
      <c r="C628" s="477"/>
      <c r="D628" s="477"/>
      <c r="E628" s="477"/>
      <c r="F628" s="477"/>
      <c r="G628" s="477"/>
      <c r="H628" s="477"/>
      <c r="I628" s="477"/>
      <c r="J628" s="477"/>
      <c r="K628" s="477"/>
      <c r="L628" s="477"/>
      <c r="M628" s="477"/>
      <c r="N628" s="477"/>
      <c r="O628" s="477"/>
      <c r="P628" s="477"/>
      <c r="Q628" s="477"/>
      <c r="R628" s="477"/>
      <c r="S628" s="477"/>
      <c r="T628" s="477"/>
      <c r="U628" s="477"/>
      <c r="V628" s="477"/>
      <c r="W628" s="477"/>
      <c r="X628" s="477"/>
      <c r="Y628" s="477"/>
      <c r="Z628" s="477"/>
    </row>
    <row r="629" spans="1:26" ht="15" customHeight="1" x14ac:dyDescent="0.35">
      <c r="A629" s="477"/>
      <c r="B629" s="477"/>
      <c r="C629" s="477"/>
      <c r="D629" s="477"/>
      <c r="E629" s="477"/>
      <c r="F629" s="477"/>
      <c r="G629" s="477"/>
      <c r="H629" s="477"/>
      <c r="I629" s="477"/>
      <c r="J629" s="477"/>
      <c r="K629" s="477"/>
      <c r="L629" s="477"/>
      <c r="M629" s="477"/>
      <c r="N629" s="477"/>
      <c r="O629" s="477"/>
      <c r="P629" s="477"/>
      <c r="Q629" s="477"/>
      <c r="R629" s="477"/>
      <c r="S629" s="477"/>
      <c r="T629" s="477"/>
      <c r="U629" s="477"/>
      <c r="V629" s="477"/>
      <c r="W629" s="477"/>
      <c r="X629" s="477"/>
      <c r="Y629" s="477"/>
      <c r="Z629" s="477"/>
    </row>
    <row r="630" spans="1:26" ht="15" customHeight="1" x14ac:dyDescent="0.35">
      <c r="A630" s="477"/>
      <c r="B630" s="477"/>
      <c r="C630" s="477"/>
      <c r="D630" s="477"/>
      <c r="E630" s="477"/>
      <c r="F630" s="477"/>
      <c r="G630" s="477"/>
      <c r="H630" s="477"/>
      <c r="I630" s="477"/>
      <c r="J630" s="477"/>
      <c r="K630" s="477"/>
      <c r="L630" s="477"/>
      <c r="M630" s="477"/>
      <c r="N630" s="477"/>
      <c r="O630" s="477"/>
      <c r="P630" s="477"/>
      <c r="Q630" s="477"/>
      <c r="R630" s="477"/>
      <c r="S630" s="477"/>
      <c r="T630" s="477"/>
      <c r="U630" s="477"/>
      <c r="V630" s="477"/>
      <c r="W630" s="477"/>
      <c r="X630" s="477"/>
      <c r="Y630" s="477"/>
      <c r="Z630" s="477"/>
    </row>
    <row r="631" spans="1:26" ht="15" customHeight="1" x14ac:dyDescent="0.35">
      <c r="A631" s="477"/>
      <c r="B631" s="477"/>
      <c r="C631" s="477"/>
      <c r="D631" s="477"/>
      <c r="E631" s="477"/>
      <c r="F631" s="477"/>
      <c r="G631" s="477"/>
      <c r="H631" s="477"/>
      <c r="I631" s="477"/>
      <c r="J631" s="477"/>
      <c r="K631" s="477"/>
      <c r="L631" s="477"/>
      <c r="M631" s="477"/>
      <c r="N631" s="477"/>
      <c r="O631" s="477"/>
      <c r="P631" s="477"/>
      <c r="Q631" s="477"/>
      <c r="R631" s="477"/>
      <c r="S631" s="477"/>
      <c r="T631" s="477"/>
      <c r="U631" s="477"/>
      <c r="V631" s="477"/>
      <c r="W631" s="477"/>
      <c r="X631" s="477"/>
      <c r="Y631" s="477"/>
      <c r="Z631" s="477"/>
    </row>
    <row r="632" spans="1:26" ht="15" customHeight="1" x14ac:dyDescent="0.35">
      <c r="A632" s="477"/>
      <c r="B632" s="477"/>
      <c r="C632" s="477"/>
      <c r="D632" s="477"/>
      <c r="E632" s="477"/>
      <c r="F632" s="477"/>
      <c r="G632" s="477"/>
      <c r="H632" s="477"/>
      <c r="I632" s="477"/>
      <c r="J632" s="477"/>
      <c r="K632" s="477"/>
      <c r="L632" s="477"/>
      <c r="M632" s="477"/>
      <c r="N632" s="477"/>
      <c r="O632" s="477"/>
      <c r="P632" s="477"/>
      <c r="Q632" s="477"/>
      <c r="R632" s="477"/>
      <c r="S632" s="477"/>
      <c r="T632" s="477"/>
      <c r="U632" s="477"/>
      <c r="V632" s="477"/>
      <c r="W632" s="477"/>
      <c r="X632" s="477"/>
      <c r="Y632" s="477"/>
      <c r="Z632" s="477"/>
    </row>
    <row r="633" spans="1:26" ht="15" customHeight="1" x14ac:dyDescent="0.35">
      <c r="A633" s="477"/>
      <c r="B633" s="477"/>
      <c r="C633" s="477"/>
      <c r="D633" s="477"/>
      <c r="E633" s="477"/>
      <c r="F633" s="477"/>
      <c r="G633" s="477"/>
      <c r="H633" s="477"/>
      <c r="I633" s="477"/>
      <c r="J633" s="477"/>
      <c r="K633" s="477"/>
      <c r="L633" s="477"/>
      <c r="M633" s="477"/>
      <c r="N633" s="477"/>
      <c r="O633" s="477"/>
      <c r="P633" s="477"/>
      <c r="Q633" s="477"/>
      <c r="R633" s="477"/>
      <c r="S633" s="477"/>
      <c r="T633" s="477"/>
      <c r="U633" s="477"/>
      <c r="V633" s="477"/>
      <c r="W633" s="477"/>
      <c r="X633" s="477"/>
      <c r="Y633" s="477"/>
      <c r="Z633" s="477"/>
    </row>
    <row r="634" spans="1:26" ht="15" customHeight="1" x14ac:dyDescent="0.35">
      <c r="A634" s="477"/>
      <c r="B634" s="477"/>
      <c r="C634" s="477"/>
      <c r="D634" s="477"/>
      <c r="E634" s="477"/>
      <c r="F634" s="477"/>
      <c r="G634" s="477"/>
      <c r="H634" s="477"/>
      <c r="I634" s="477"/>
      <c r="J634" s="477"/>
      <c r="K634" s="477"/>
      <c r="L634" s="477"/>
      <c r="M634" s="477"/>
      <c r="N634" s="477"/>
      <c r="O634" s="477"/>
      <c r="P634" s="477"/>
      <c r="Q634" s="477"/>
      <c r="R634" s="477"/>
      <c r="S634" s="477"/>
      <c r="T634" s="477"/>
      <c r="U634" s="477"/>
      <c r="V634" s="477"/>
      <c r="W634" s="477"/>
      <c r="X634" s="477"/>
      <c r="Y634" s="477"/>
      <c r="Z634" s="477"/>
    </row>
    <row r="635" spans="1:26" ht="15" customHeight="1" x14ac:dyDescent="0.35">
      <c r="A635" s="477"/>
      <c r="B635" s="477"/>
      <c r="C635" s="477"/>
      <c r="D635" s="477"/>
      <c r="E635" s="477"/>
      <c r="F635" s="477"/>
      <c r="G635" s="477"/>
      <c r="H635" s="477"/>
      <c r="I635" s="477"/>
      <c r="J635" s="477"/>
      <c r="K635" s="477"/>
      <c r="L635" s="477"/>
      <c r="M635" s="477"/>
      <c r="N635" s="477"/>
      <c r="O635" s="477"/>
      <c r="P635" s="477"/>
      <c r="Q635" s="477"/>
      <c r="R635" s="477"/>
      <c r="S635" s="477"/>
      <c r="T635" s="477"/>
      <c r="U635" s="477"/>
      <c r="V635" s="477"/>
      <c r="W635" s="477"/>
      <c r="X635" s="477"/>
      <c r="Y635" s="477"/>
      <c r="Z635" s="477"/>
    </row>
    <row r="636" spans="1:26" ht="15" customHeight="1" x14ac:dyDescent="0.35">
      <c r="A636" s="477"/>
      <c r="B636" s="477"/>
      <c r="C636" s="477"/>
      <c r="D636" s="477"/>
      <c r="E636" s="477"/>
      <c r="F636" s="477"/>
      <c r="G636" s="477"/>
      <c r="H636" s="477"/>
      <c r="I636" s="477"/>
      <c r="J636" s="477"/>
      <c r="K636" s="477"/>
      <c r="L636" s="477"/>
      <c r="M636" s="477"/>
      <c r="N636" s="477"/>
      <c r="O636" s="477"/>
      <c r="P636" s="477"/>
      <c r="Q636" s="477"/>
      <c r="R636" s="477"/>
      <c r="S636" s="477"/>
      <c r="T636" s="477"/>
      <c r="U636" s="477"/>
      <c r="V636" s="477"/>
      <c r="W636" s="477"/>
      <c r="X636" s="477"/>
      <c r="Y636" s="477"/>
      <c r="Z636" s="477"/>
    </row>
    <row r="637" spans="1:26" ht="15" customHeight="1" x14ac:dyDescent="0.35">
      <c r="A637" s="477"/>
      <c r="B637" s="477"/>
      <c r="C637" s="477"/>
      <c r="D637" s="477"/>
      <c r="E637" s="477"/>
      <c r="F637" s="477"/>
      <c r="G637" s="477"/>
      <c r="H637" s="477"/>
      <c r="I637" s="477"/>
      <c r="J637" s="477"/>
      <c r="K637" s="477"/>
      <c r="L637" s="477"/>
      <c r="M637" s="477"/>
      <c r="N637" s="477"/>
      <c r="O637" s="477"/>
      <c r="P637" s="477"/>
      <c r="Q637" s="477"/>
      <c r="R637" s="477"/>
      <c r="S637" s="477"/>
      <c r="T637" s="477"/>
      <c r="U637" s="477"/>
      <c r="V637" s="477"/>
      <c r="W637" s="477"/>
      <c r="X637" s="477"/>
      <c r="Y637" s="477"/>
      <c r="Z637" s="477"/>
    </row>
    <row r="638" spans="1:26" ht="15" customHeight="1" x14ac:dyDescent="0.35">
      <c r="A638" s="477"/>
      <c r="B638" s="477"/>
      <c r="C638" s="477"/>
      <c r="D638" s="477"/>
      <c r="E638" s="477"/>
      <c r="F638" s="477"/>
      <c r="G638" s="477"/>
      <c r="H638" s="477"/>
      <c r="I638" s="477"/>
      <c r="J638" s="477"/>
      <c r="K638" s="477"/>
      <c r="L638" s="477"/>
      <c r="M638" s="477"/>
      <c r="N638" s="477"/>
      <c r="O638" s="477"/>
      <c r="P638" s="477"/>
      <c r="Q638" s="477"/>
      <c r="R638" s="477"/>
      <c r="S638" s="477"/>
      <c r="T638" s="477"/>
      <c r="U638" s="477"/>
      <c r="V638" s="477"/>
      <c r="W638" s="477"/>
      <c r="X638" s="477"/>
      <c r="Y638" s="477"/>
      <c r="Z638" s="477"/>
    </row>
    <row r="639" spans="1:26" ht="15" customHeight="1" x14ac:dyDescent="0.35">
      <c r="A639" s="477"/>
      <c r="B639" s="477"/>
      <c r="C639" s="477"/>
      <c r="D639" s="477"/>
      <c r="E639" s="477"/>
      <c r="F639" s="477"/>
      <c r="G639" s="477"/>
      <c r="H639" s="477"/>
      <c r="I639" s="477"/>
      <c r="J639" s="477"/>
      <c r="K639" s="477"/>
      <c r="L639" s="477"/>
      <c r="M639" s="477"/>
      <c r="N639" s="477"/>
      <c r="O639" s="477"/>
      <c r="P639" s="477"/>
      <c r="Q639" s="477"/>
      <c r="R639" s="477"/>
      <c r="S639" s="477"/>
      <c r="T639" s="477"/>
      <c r="U639" s="477"/>
      <c r="V639" s="477"/>
      <c r="W639" s="477"/>
      <c r="X639" s="477"/>
      <c r="Y639" s="477"/>
      <c r="Z639" s="477"/>
    </row>
    <row r="640" spans="1:26" ht="15" customHeight="1" x14ac:dyDescent="0.35">
      <c r="A640" s="477"/>
      <c r="B640" s="477"/>
      <c r="C640" s="477"/>
      <c r="D640" s="477"/>
      <c r="E640" s="477"/>
      <c r="F640" s="477"/>
      <c r="G640" s="477"/>
      <c r="H640" s="477"/>
      <c r="I640" s="477"/>
      <c r="J640" s="477"/>
      <c r="K640" s="477"/>
      <c r="L640" s="477"/>
      <c r="M640" s="477"/>
      <c r="N640" s="477"/>
      <c r="O640" s="477"/>
      <c r="P640" s="477"/>
      <c r="Q640" s="477"/>
      <c r="R640" s="477"/>
      <c r="S640" s="477"/>
      <c r="T640" s="477"/>
      <c r="U640" s="477"/>
      <c r="V640" s="477"/>
      <c r="W640" s="477"/>
      <c r="X640" s="477"/>
      <c r="Y640" s="477"/>
      <c r="Z640" s="477"/>
    </row>
    <row r="641" spans="1:26" ht="15" customHeight="1" x14ac:dyDescent="0.35">
      <c r="A641" s="477"/>
      <c r="B641" s="477"/>
      <c r="C641" s="477"/>
      <c r="D641" s="477"/>
      <c r="E641" s="477"/>
      <c r="F641" s="477"/>
      <c r="G641" s="477"/>
      <c r="H641" s="477"/>
      <c r="I641" s="477"/>
      <c r="J641" s="477"/>
      <c r="K641" s="477"/>
      <c r="L641" s="477"/>
      <c r="M641" s="477"/>
      <c r="N641" s="477"/>
      <c r="O641" s="477"/>
      <c r="P641" s="477"/>
      <c r="Q641" s="477"/>
      <c r="R641" s="477"/>
      <c r="S641" s="477"/>
      <c r="T641" s="477"/>
      <c r="U641" s="477"/>
      <c r="V641" s="477"/>
      <c r="W641" s="477"/>
      <c r="X641" s="477"/>
      <c r="Y641" s="477"/>
      <c r="Z641" s="477"/>
    </row>
    <row r="642" spans="1:26" ht="15" customHeight="1" x14ac:dyDescent="0.35">
      <c r="A642" s="477"/>
      <c r="B642" s="477"/>
      <c r="C642" s="477"/>
      <c r="D642" s="477"/>
      <c r="E642" s="477"/>
      <c r="F642" s="477"/>
      <c r="G642" s="477"/>
      <c r="H642" s="477"/>
      <c r="I642" s="477"/>
      <c r="J642" s="477"/>
      <c r="K642" s="477"/>
      <c r="L642" s="477"/>
      <c r="M642" s="477"/>
      <c r="N642" s="477"/>
      <c r="O642" s="477"/>
      <c r="P642" s="477"/>
      <c r="Q642" s="477"/>
      <c r="R642" s="477"/>
      <c r="S642" s="477"/>
      <c r="T642" s="477"/>
      <c r="U642" s="477"/>
      <c r="V642" s="477"/>
      <c r="W642" s="477"/>
      <c r="X642" s="477"/>
      <c r="Y642" s="477"/>
      <c r="Z642" s="477"/>
    </row>
    <row r="643" spans="1:26" ht="15" customHeight="1" x14ac:dyDescent="0.35">
      <c r="A643" s="477"/>
      <c r="B643" s="477"/>
      <c r="C643" s="477"/>
      <c r="D643" s="477"/>
      <c r="E643" s="477"/>
      <c r="F643" s="477"/>
      <c r="G643" s="477"/>
      <c r="H643" s="477"/>
      <c r="I643" s="477"/>
      <c r="J643" s="477"/>
      <c r="K643" s="477"/>
      <c r="L643" s="477"/>
      <c r="M643" s="477"/>
      <c r="N643" s="477"/>
      <c r="O643" s="477"/>
      <c r="P643" s="477"/>
      <c r="Q643" s="477"/>
      <c r="R643" s="477"/>
      <c r="S643" s="477"/>
      <c r="T643" s="477"/>
      <c r="U643" s="477"/>
      <c r="V643" s="477"/>
      <c r="W643" s="477"/>
      <c r="X643" s="477"/>
      <c r="Y643" s="477"/>
      <c r="Z643" s="477"/>
    </row>
    <row r="644" spans="1:26" ht="15" customHeight="1" x14ac:dyDescent="0.35">
      <c r="A644" s="477"/>
      <c r="B644" s="477"/>
      <c r="C644" s="477"/>
      <c r="D644" s="477"/>
      <c r="E644" s="477"/>
      <c r="F644" s="477"/>
      <c r="G644" s="477"/>
      <c r="H644" s="477"/>
      <c r="I644" s="477"/>
      <c r="J644" s="477"/>
      <c r="K644" s="477"/>
      <c r="L644" s="477"/>
      <c r="M644" s="477"/>
      <c r="N644" s="477"/>
      <c r="O644" s="477"/>
      <c r="P644" s="477"/>
      <c r="Q644" s="477"/>
      <c r="R644" s="477"/>
      <c r="S644" s="477"/>
      <c r="T644" s="477"/>
      <c r="U644" s="477"/>
      <c r="V644" s="477"/>
      <c r="W644" s="477"/>
      <c r="X644" s="477"/>
      <c r="Y644" s="477"/>
      <c r="Z644" s="477"/>
    </row>
    <row r="645" spans="1:26" ht="15" customHeight="1" x14ac:dyDescent="0.35">
      <c r="A645" s="477"/>
      <c r="B645" s="477"/>
      <c r="C645" s="477"/>
      <c r="D645" s="477"/>
      <c r="E645" s="477"/>
      <c r="F645" s="477"/>
      <c r="G645" s="477"/>
      <c r="H645" s="477"/>
      <c r="I645" s="477"/>
      <c r="J645" s="477"/>
      <c r="K645" s="477"/>
      <c r="L645" s="477"/>
      <c r="M645" s="477"/>
      <c r="N645" s="477"/>
      <c r="O645" s="477"/>
      <c r="P645" s="477"/>
      <c r="Q645" s="477"/>
      <c r="R645" s="477"/>
      <c r="S645" s="477"/>
      <c r="T645" s="477"/>
      <c r="U645" s="477"/>
      <c r="V645" s="477"/>
      <c r="W645" s="477"/>
      <c r="X645" s="477"/>
      <c r="Y645" s="477"/>
      <c r="Z645" s="477"/>
    </row>
    <row r="646" spans="1:26" ht="15" customHeight="1" x14ac:dyDescent="0.35">
      <c r="A646" s="477"/>
      <c r="B646" s="477"/>
      <c r="C646" s="477"/>
      <c r="D646" s="477"/>
      <c r="E646" s="477"/>
      <c r="F646" s="477"/>
      <c r="G646" s="477"/>
      <c r="H646" s="477"/>
      <c r="I646" s="477"/>
      <c r="J646" s="477"/>
      <c r="K646" s="477"/>
      <c r="L646" s="477"/>
      <c r="M646" s="477"/>
      <c r="N646" s="477"/>
      <c r="O646" s="477"/>
      <c r="P646" s="477"/>
      <c r="Q646" s="477"/>
      <c r="R646" s="477"/>
      <c r="S646" s="477"/>
      <c r="T646" s="477"/>
      <c r="U646" s="477"/>
      <c r="V646" s="477"/>
      <c r="W646" s="477"/>
      <c r="X646" s="477"/>
      <c r="Y646" s="477"/>
      <c r="Z646" s="477"/>
    </row>
    <row r="647" spans="1:26" ht="15" customHeight="1" x14ac:dyDescent="0.35">
      <c r="A647" s="477"/>
      <c r="B647" s="477"/>
      <c r="C647" s="477"/>
      <c r="D647" s="477"/>
      <c r="E647" s="477"/>
      <c r="F647" s="477"/>
      <c r="G647" s="477"/>
      <c r="H647" s="477"/>
      <c r="I647" s="477"/>
      <c r="J647" s="477"/>
      <c r="K647" s="477"/>
      <c r="L647" s="477"/>
      <c r="M647" s="477"/>
      <c r="N647" s="477"/>
      <c r="O647" s="477"/>
      <c r="P647" s="477"/>
      <c r="Q647" s="477"/>
      <c r="R647" s="477"/>
      <c r="S647" s="477"/>
      <c r="T647" s="477"/>
      <c r="U647" s="477"/>
      <c r="V647" s="477"/>
      <c r="W647" s="477"/>
      <c r="X647" s="477"/>
      <c r="Y647" s="477"/>
      <c r="Z647" s="477"/>
    </row>
    <row r="648" spans="1:26" ht="15" customHeight="1" x14ac:dyDescent="0.35">
      <c r="A648" s="477"/>
      <c r="B648" s="477"/>
      <c r="C648" s="477"/>
      <c r="D648" s="477"/>
      <c r="E648" s="477"/>
      <c r="F648" s="477"/>
      <c r="G648" s="477"/>
      <c r="H648" s="477"/>
      <c r="I648" s="477"/>
      <c r="J648" s="477"/>
      <c r="K648" s="477"/>
      <c r="L648" s="477"/>
      <c r="M648" s="477"/>
      <c r="N648" s="477"/>
      <c r="O648" s="477"/>
      <c r="P648" s="477"/>
      <c r="Q648" s="477"/>
      <c r="R648" s="477"/>
      <c r="S648" s="477"/>
      <c r="T648" s="477"/>
      <c r="U648" s="477"/>
      <c r="V648" s="477"/>
      <c r="W648" s="477"/>
      <c r="X648" s="477"/>
      <c r="Y648" s="477"/>
      <c r="Z648" s="477"/>
    </row>
    <row r="649" spans="1:26" ht="15" customHeight="1" x14ac:dyDescent="0.35">
      <c r="A649" s="477"/>
      <c r="B649" s="477"/>
      <c r="C649" s="477"/>
      <c r="D649" s="477"/>
      <c r="E649" s="477"/>
      <c r="F649" s="477"/>
      <c r="G649" s="477"/>
      <c r="H649" s="477"/>
      <c r="I649" s="477"/>
      <c r="J649" s="477"/>
      <c r="K649" s="477"/>
      <c r="L649" s="477"/>
      <c r="M649" s="477"/>
      <c r="N649" s="477"/>
      <c r="O649" s="477"/>
      <c r="P649" s="477"/>
      <c r="Q649" s="477"/>
      <c r="R649" s="477"/>
      <c r="S649" s="477"/>
      <c r="T649" s="477"/>
      <c r="U649" s="477"/>
      <c r="V649" s="477"/>
      <c r="W649" s="477"/>
      <c r="X649" s="477"/>
      <c r="Y649" s="477"/>
      <c r="Z649" s="477"/>
    </row>
    <row r="650" spans="1:26" ht="15" customHeight="1" x14ac:dyDescent="0.35">
      <c r="A650" s="477"/>
      <c r="B650" s="477"/>
      <c r="C650" s="477"/>
      <c r="D650" s="477"/>
      <c r="E650" s="477"/>
      <c r="F650" s="477"/>
      <c r="G650" s="477"/>
      <c r="H650" s="477"/>
      <c r="I650" s="477"/>
      <c r="J650" s="477"/>
      <c r="K650" s="477"/>
      <c r="L650" s="477"/>
      <c r="M650" s="477"/>
      <c r="N650" s="477"/>
      <c r="O650" s="477"/>
      <c r="P650" s="477"/>
      <c r="Q650" s="477"/>
      <c r="R650" s="477"/>
      <c r="S650" s="477"/>
      <c r="T650" s="477"/>
      <c r="U650" s="477"/>
      <c r="V650" s="477"/>
      <c r="W650" s="477"/>
      <c r="X650" s="477"/>
      <c r="Y650" s="477"/>
      <c r="Z650" s="477"/>
    </row>
    <row r="651" spans="1:26" ht="15" customHeight="1" x14ac:dyDescent="0.35">
      <c r="A651" s="477"/>
      <c r="B651" s="477"/>
      <c r="C651" s="477"/>
      <c r="D651" s="477"/>
      <c r="E651" s="477"/>
      <c r="F651" s="477"/>
      <c r="G651" s="477"/>
      <c r="H651" s="477"/>
      <c r="I651" s="477"/>
      <c r="J651" s="477"/>
      <c r="K651" s="477"/>
      <c r="L651" s="477"/>
      <c r="M651" s="477"/>
      <c r="N651" s="477"/>
      <c r="O651" s="477"/>
      <c r="P651" s="477"/>
      <c r="Q651" s="477"/>
      <c r="R651" s="477"/>
      <c r="S651" s="477"/>
      <c r="T651" s="477"/>
      <c r="U651" s="477"/>
      <c r="V651" s="477"/>
      <c r="W651" s="477"/>
      <c r="X651" s="477"/>
      <c r="Y651" s="477"/>
      <c r="Z651" s="477"/>
    </row>
    <row r="652" spans="1:26" ht="15" customHeight="1" x14ac:dyDescent="0.35">
      <c r="A652" s="477"/>
      <c r="B652" s="477"/>
      <c r="C652" s="477"/>
      <c r="D652" s="477"/>
      <c r="E652" s="477"/>
      <c r="F652" s="477"/>
      <c r="G652" s="477"/>
      <c r="H652" s="477"/>
      <c r="I652" s="477"/>
      <c r="J652" s="477"/>
      <c r="K652" s="477"/>
      <c r="L652" s="477"/>
      <c r="M652" s="477"/>
      <c r="N652" s="477"/>
      <c r="O652" s="477"/>
      <c r="P652" s="477"/>
      <c r="Q652" s="477"/>
      <c r="R652" s="477"/>
      <c r="S652" s="477"/>
      <c r="T652" s="477"/>
      <c r="U652" s="477"/>
      <c r="V652" s="477"/>
      <c r="W652" s="477"/>
      <c r="X652" s="477"/>
      <c r="Y652" s="477"/>
      <c r="Z652" s="477"/>
    </row>
    <row r="653" spans="1:26" ht="15" customHeight="1" x14ac:dyDescent="0.35">
      <c r="A653" s="477"/>
      <c r="B653" s="477"/>
      <c r="C653" s="477"/>
      <c r="D653" s="477"/>
      <c r="E653" s="477"/>
      <c r="F653" s="477"/>
      <c r="G653" s="477"/>
      <c r="H653" s="477"/>
      <c r="I653" s="477"/>
      <c r="J653" s="477"/>
      <c r="K653" s="477"/>
      <c r="L653" s="477"/>
      <c r="M653" s="477"/>
      <c r="N653" s="477"/>
      <c r="O653" s="477"/>
      <c r="P653" s="477"/>
      <c r="Q653" s="477"/>
      <c r="R653" s="477"/>
      <c r="S653" s="477"/>
      <c r="T653" s="477"/>
      <c r="U653" s="477"/>
      <c r="V653" s="477"/>
      <c r="W653" s="477"/>
      <c r="X653" s="477"/>
      <c r="Y653" s="477"/>
      <c r="Z653" s="477"/>
    </row>
    <row r="654" spans="1:26" ht="15" customHeight="1" x14ac:dyDescent="0.35">
      <c r="A654" s="477"/>
      <c r="B654" s="477"/>
      <c r="C654" s="477"/>
      <c r="D654" s="477"/>
      <c r="E654" s="477"/>
      <c r="F654" s="477"/>
      <c r="G654" s="477"/>
      <c r="H654" s="477"/>
      <c r="I654" s="477"/>
      <c r="J654" s="477"/>
      <c r="K654" s="477"/>
      <c r="L654" s="477"/>
      <c r="M654" s="477"/>
      <c r="N654" s="477"/>
      <c r="O654" s="477"/>
      <c r="P654" s="477"/>
      <c r="Q654" s="477"/>
      <c r="R654" s="477"/>
      <c r="S654" s="477"/>
      <c r="T654" s="477"/>
      <c r="U654" s="477"/>
      <c r="V654" s="477"/>
      <c r="W654" s="477"/>
      <c r="X654" s="477"/>
      <c r="Y654" s="477"/>
      <c r="Z654" s="477"/>
    </row>
    <row r="655" spans="1:26" ht="15" customHeight="1" x14ac:dyDescent="0.35">
      <c r="A655" s="477"/>
      <c r="B655" s="477"/>
      <c r="C655" s="477"/>
      <c r="D655" s="477"/>
      <c r="E655" s="477"/>
      <c r="F655" s="477"/>
      <c r="G655" s="477"/>
      <c r="H655" s="477"/>
      <c r="I655" s="477"/>
      <c r="J655" s="477"/>
      <c r="K655" s="477"/>
      <c r="L655" s="477"/>
      <c r="M655" s="477"/>
      <c r="N655" s="477"/>
      <c r="O655" s="477"/>
      <c r="P655" s="477"/>
      <c r="Q655" s="477"/>
      <c r="R655" s="477"/>
      <c r="S655" s="477"/>
      <c r="T655" s="477"/>
      <c r="U655" s="477"/>
      <c r="V655" s="477"/>
      <c r="W655" s="477"/>
      <c r="X655" s="477"/>
      <c r="Y655" s="477"/>
      <c r="Z655" s="477"/>
    </row>
    <row r="656" spans="1:26" ht="15" customHeight="1" x14ac:dyDescent="0.35">
      <c r="A656" s="477"/>
      <c r="B656" s="477"/>
      <c r="C656" s="477"/>
      <c r="D656" s="477"/>
      <c r="E656" s="477"/>
      <c r="F656" s="477"/>
      <c r="G656" s="477"/>
      <c r="H656" s="477"/>
      <c r="I656" s="477"/>
      <c r="J656" s="477"/>
      <c r="K656" s="477"/>
      <c r="L656" s="477"/>
      <c r="M656" s="477"/>
      <c r="N656" s="477"/>
      <c r="O656" s="477"/>
      <c r="P656" s="477"/>
      <c r="Q656" s="477"/>
      <c r="R656" s="477"/>
      <c r="S656" s="477"/>
      <c r="T656" s="477"/>
      <c r="U656" s="477"/>
      <c r="V656" s="477"/>
      <c r="W656" s="477"/>
      <c r="X656" s="477"/>
      <c r="Y656" s="477"/>
      <c r="Z656" s="477"/>
    </row>
    <row r="657" spans="1:26" ht="15" customHeight="1" x14ac:dyDescent="0.35">
      <c r="A657" s="477"/>
      <c r="B657" s="477"/>
      <c r="C657" s="477"/>
      <c r="D657" s="477"/>
      <c r="E657" s="477"/>
      <c r="F657" s="477"/>
      <c r="G657" s="477"/>
      <c r="H657" s="477"/>
      <c r="I657" s="477"/>
      <c r="J657" s="477"/>
      <c r="K657" s="477"/>
      <c r="L657" s="477"/>
      <c r="M657" s="477"/>
      <c r="N657" s="477"/>
      <c r="O657" s="477"/>
      <c r="P657" s="477"/>
      <c r="Q657" s="477"/>
      <c r="R657" s="477"/>
      <c r="S657" s="477"/>
      <c r="T657" s="477"/>
      <c r="U657" s="477"/>
      <c r="V657" s="477"/>
      <c r="W657" s="477"/>
      <c r="X657" s="477"/>
      <c r="Y657" s="477"/>
      <c r="Z657" s="477"/>
    </row>
    <row r="658" spans="1:26" ht="15" customHeight="1" x14ac:dyDescent="0.35">
      <c r="A658" s="477"/>
      <c r="B658" s="477"/>
      <c r="C658" s="477"/>
      <c r="D658" s="477"/>
      <c r="E658" s="477"/>
      <c r="F658" s="477"/>
      <c r="G658" s="477"/>
      <c r="H658" s="477"/>
      <c r="I658" s="477"/>
      <c r="J658" s="477"/>
      <c r="K658" s="477"/>
      <c r="L658" s="477"/>
      <c r="M658" s="477"/>
      <c r="N658" s="477"/>
      <c r="O658" s="477"/>
      <c r="P658" s="477"/>
      <c r="Q658" s="477"/>
      <c r="R658" s="477"/>
      <c r="S658" s="477"/>
      <c r="T658" s="477"/>
      <c r="U658" s="477"/>
      <c r="V658" s="477"/>
      <c r="W658" s="477"/>
      <c r="X658" s="477"/>
      <c r="Y658" s="477"/>
      <c r="Z658" s="477"/>
    </row>
    <row r="659" spans="1:26" ht="15" customHeight="1" x14ac:dyDescent="0.35">
      <c r="A659" s="477"/>
      <c r="B659" s="477"/>
      <c r="C659" s="477"/>
      <c r="D659" s="477"/>
      <c r="E659" s="477"/>
      <c r="F659" s="477"/>
      <c r="G659" s="477"/>
      <c r="H659" s="477"/>
      <c r="I659" s="477"/>
      <c r="J659" s="477"/>
      <c r="K659" s="477"/>
      <c r="L659" s="477"/>
      <c r="M659" s="477"/>
      <c r="N659" s="477"/>
      <c r="O659" s="477"/>
      <c r="P659" s="477"/>
      <c r="Q659" s="477"/>
      <c r="R659" s="477"/>
      <c r="S659" s="477"/>
      <c r="T659" s="477"/>
      <c r="U659" s="477"/>
      <c r="V659" s="477"/>
      <c r="W659" s="477"/>
      <c r="X659" s="477"/>
      <c r="Y659" s="477"/>
      <c r="Z659" s="477"/>
    </row>
    <row r="660" spans="1:26" ht="15" customHeight="1" x14ac:dyDescent="0.35">
      <c r="A660" s="477"/>
      <c r="B660" s="477"/>
      <c r="C660" s="477"/>
      <c r="D660" s="477"/>
      <c r="E660" s="477"/>
      <c r="F660" s="477"/>
      <c r="G660" s="477"/>
      <c r="H660" s="477"/>
      <c r="I660" s="477"/>
      <c r="J660" s="477"/>
      <c r="K660" s="477"/>
      <c r="L660" s="477"/>
      <c r="M660" s="477"/>
      <c r="N660" s="477"/>
      <c r="O660" s="477"/>
      <c r="P660" s="477"/>
      <c r="Q660" s="477"/>
      <c r="R660" s="477"/>
      <c r="S660" s="477"/>
      <c r="T660" s="477"/>
      <c r="U660" s="477"/>
      <c r="V660" s="477"/>
      <c r="W660" s="477"/>
      <c r="X660" s="477"/>
      <c r="Y660" s="477"/>
      <c r="Z660" s="477"/>
    </row>
    <row r="661" spans="1:26" ht="15" customHeight="1" x14ac:dyDescent="0.35">
      <c r="A661" s="477"/>
      <c r="B661" s="477"/>
      <c r="C661" s="477"/>
      <c r="D661" s="477"/>
      <c r="E661" s="477"/>
      <c r="F661" s="477"/>
      <c r="G661" s="477"/>
      <c r="H661" s="477"/>
      <c r="I661" s="477"/>
      <c r="J661" s="477"/>
      <c r="K661" s="477"/>
      <c r="L661" s="477"/>
      <c r="M661" s="477"/>
      <c r="N661" s="477"/>
      <c r="O661" s="477"/>
      <c r="P661" s="477"/>
      <c r="Q661" s="477"/>
      <c r="R661" s="477"/>
      <c r="S661" s="477"/>
      <c r="T661" s="477"/>
      <c r="U661" s="477"/>
      <c r="V661" s="477"/>
      <c r="W661" s="477"/>
      <c r="X661" s="477"/>
      <c r="Y661" s="477"/>
      <c r="Z661" s="477"/>
    </row>
    <row r="662" spans="1:26" ht="15" customHeight="1" x14ac:dyDescent="0.35">
      <c r="A662" s="477"/>
      <c r="B662" s="477"/>
      <c r="C662" s="477"/>
      <c r="D662" s="477"/>
      <c r="E662" s="477"/>
      <c r="F662" s="477"/>
      <c r="G662" s="477"/>
      <c r="H662" s="477"/>
      <c r="I662" s="477"/>
      <c r="J662" s="477"/>
      <c r="K662" s="477"/>
      <c r="L662" s="477"/>
      <c r="M662" s="477"/>
      <c r="N662" s="477"/>
      <c r="O662" s="477"/>
      <c r="P662" s="477"/>
      <c r="Q662" s="477"/>
      <c r="R662" s="477"/>
      <c r="S662" s="477"/>
      <c r="T662" s="477"/>
      <c r="U662" s="477"/>
      <c r="V662" s="477"/>
      <c r="W662" s="477"/>
      <c r="X662" s="477"/>
      <c r="Y662" s="477"/>
      <c r="Z662" s="477"/>
    </row>
    <row r="663" spans="1:26" ht="15" customHeight="1" x14ac:dyDescent="0.35">
      <c r="A663" s="477"/>
      <c r="B663" s="477"/>
      <c r="C663" s="477"/>
      <c r="D663" s="477"/>
      <c r="E663" s="477"/>
      <c r="F663" s="477"/>
      <c r="G663" s="477"/>
      <c r="H663" s="477"/>
      <c r="I663" s="477"/>
      <c r="J663" s="477"/>
      <c r="K663" s="477"/>
      <c r="L663" s="477"/>
      <c r="M663" s="477"/>
      <c r="N663" s="477"/>
      <c r="O663" s="477"/>
      <c r="P663" s="477"/>
      <c r="Q663" s="477"/>
      <c r="R663" s="477"/>
      <c r="S663" s="477"/>
      <c r="T663" s="477"/>
      <c r="U663" s="477"/>
      <c r="V663" s="477"/>
      <c r="W663" s="477"/>
      <c r="X663" s="477"/>
      <c r="Y663" s="477"/>
      <c r="Z663" s="477"/>
    </row>
    <row r="664" spans="1:26" ht="15" customHeight="1" x14ac:dyDescent="0.35">
      <c r="A664" s="477"/>
      <c r="B664" s="477"/>
      <c r="C664" s="477"/>
      <c r="D664" s="477"/>
      <c r="E664" s="477"/>
      <c r="F664" s="477"/>
      <c r="G664" s="477"/>
      <c r="H664" s="477"/>
      <c r="I664" s="477"/>
      <c r="J664" s="477"/>
      <c r="K664" s="477"/>
      <c r="L664" s="477"/>
      <c r="M664" s="477"/>
      <c r="N664" s="477"/>
      <c r="O664" s="477"/>
      <c r="P664" s="477"/>
      <c r="Q664" s="477"/>
      <c r="R664" s="477"/>
      <c r="S664" s="477"/>
      <c r="T664" s="477"/>
      <c r="U664" s="477"/>
      <c r="V664" s="477"/>
      <c r="W664" s="477"/>
      <c r="X664" s="477"/>
      <c r="Y664" s="477"/>
      <c r="Z664" s="477"/>
    </row>
    <row r="665" spans="1:26" ht="15" customHeight="1" x14ac:dyDescent="0.35">
      <c r="A665" s="477"/>
      <c r="B665" s="477"/>
      <c r="C665" s="477"/>
      <c r="D665" s="477"/>
      <c r="E665" s="477"/>
      <c r="F665" s="477"/>
      <c r="G665" s="477"/>
      <c r="H665" s="477"/>
      <c r="I665" s="477"/>
      <c r="J665" s="477"/>
      <c r="K665" s="477"/>
      <c r="L665" s="477"/>
      <c r="M665" s="477"/>
      <c r="N665" s="477"/>
      <c r="O665" s="477"/>
      <c r="P665" s="477"/>
      <c r="Q665" s="477"/>
      <c r="R665" s="477"/>
      <c r="S665" s="477"/>
      <c r="T665" s="477"/>
      <c r="U665" s="477"/>
      <c r="V665" s="477"/>
      <c r="W665" s="477"/>
      <c r="X665" s="477"/>
      <c r="Y665" s="477"/>
      <c r="Z665" s="477"/>
    </row>
    <row r="666" spans="1:26" ht="15" customHeight="1" x14ac:dyDescent="0.35">
      <c r="A666" s="477"/>
      <c r="B666" s="477"/>
      <c r="C666" s="477"/>
      <c r="D666" s="477"/>
      <c r="E666" s="477"/>
      <c r="F666" s="477"/>
      <c r="G666" s="477"/>
      <c r="H666" s="477"/>
      <c r="I666" s="477"/>
      <c r="J666" s="477"/>
      <c r="K666" s="477"/>
      <c r="L666" s="477"/>
      <c r="M666" s="477"/>
      <c r="N666" s="477"/>
      <c r="O666" s="477"/>
      <c r="P666" s="477"/>
      <c r="Q666" s="477"/>
      <c r="R666" s="477"/>
      <c r="S666" s="477"/>
      <c r="T666" s="477"/>
      <c r="U666" s="477"/>
      <c r="V666" s="477"/>
      <c r="W666" s="477"/>
      <c r="X666" s="477"/>
      <c r="Y666" s="477"/>
      <c r="Z666" s="477"/>
    </row>
    <row r="667" spans="1:26" ht="15" customHeight="1" x14ac:dyDescent="0.35">
      <c r="A667" s="477"/>
      <c r="B667" s="477"/>
      <c r="C667" s="477"/>
      <c r="D667" s="477"/>
      <c r="E667" s="477"/>
      <c r="F667" s="477"/>
      <c r="G667" s="477"/>
      <c r="H667" s="477"/>
      <c r="I667" s="477"/>
      <c r="J667" s="477"/>
      <c r="K667" s="477"/>
      <c r="L667" s="477"/>
      <c r="M667" s="477"/>
      <c r="N667" s="477"/>
      <c r="O667" s="477"/>
      <c r="P667" s="477"/>
      <c r="Q667" s="477"/>
      <c r="R667" s="477"/>
      <c r="S667" s="477"/>
      <c r="T667" s="477"/>
      <c r="U667" s="477"/>
      <c r="V667" s="477"/>
      <c r="W667" s="477"/>
      <c r="X667" s="477"/>
      <c r="Y667" s="477"/>
      <c r="Z667" s="477"/>
    </row>
    <row r="668" spans="1:26" ht="15" customHeight="1" x14ac:dyDescent="0.35">
      <c r="A668" s="477"/>
      <c r="B668" s="477"/>
      <c r="C668" s="477"/>
      <c r="D668" s="477"/>
      <c r="E668" s="477"/>
      <c r="F668" s="477"/>
      <c r="G668" s="477"/>
      <c r="H668" s="477"/>
      <c r="I668" s="477"/>
      <c r="J668" s="477"/>
      <c r="K668" s="477"/>
      <c r="L668" s="477"/>
      <c r="M668" s="477"/>
      <c r="N668" s="477"/>
      <c r="O668" s="477"/>
      <c r="P668" s="477"/>
      <c r="Q668" s="477"/>
      <c r="R668" s="477"/>
      <c r="S668" s="477"/>
      <c r="T668" s="477"/>
      <c r="U668" s="477"/>
      <c r="V668" s="477"/>
      <c r="W668" s="477"/>
      <c r="X668" s="477"/>
      <c r="Y668" s="477"/>
      <c r="Z668" s="477"/>
    </row>
    <row r="669" spans="1:26" ht="15" customHeight="1" x14ac:dyDescent="0.35">
      <c r="A669" s="477"/>
      <c r="B669" s="477"/>
      <c r="C669" s="477"/>
      <c r="D669" s="477"/>
      <c r="E669" s="477"/>
      <c r="F669" s="477"/>
      <c r="G669" s="477"/>
      <c r="H669" s="477"/>
      <c r="I669" s="477"/>
      <c r="J669" s="477"/>
      <c r="K669" s="477"/>
      <c r="L669" s="477"/>
      <c r="M669" s="477"/>
      <c r="N669" s="477"/>
      <c r="O669" s="477"/>
      <c r="P669" s="477"/>
      <c r="Q669" s="477"/>
      <c r="R669" s="477"/>
      <c r="S669" s="477"/>
      <c r="T669" s="477"/>
      <c r="U669" s="477"/>
      <c r="V669" s="477"/>
      <c r="W669" s="477"/>
      <c r="X669" s="477"/>
      <c r="Y669" s="477"/>
      <c r="Z669" s="477"/>
    </row>
    <row r="670" spans="1:26" ht="15" customHeight="1" x14ac:dyDescent="0.35">
      <c r="A670" s="477"/>
      <c r="B670" s="477"/>
      <c r="C670" s="477"/>
      <c r="D670" s="477"/>
      <c r="E670" s="477"/>
      <c r="F670" s="477"/>
      <c r="G670" s="477"/>
      <c r="H670" s="477"/>
      <c r="I670" s="477"/>
      <c r="J670" s="477"/>
      <c r="K670" s="477"/>
      <c r="L670" s="477"/>
      <c r="M670" s="477"/>
      <c r="N670" s="477"/>
      <c r="O670" s="477"/>
      <c r="P670" s="477"/>
      <c r="Q670" s="477"/>
      <c r="R670" s="477"/>
      <c r="S670" s="477"/>
      <c r="T670" s="477"/>
      <c r="U670" s="477"/>
      <c r="V670" s="477"/>
      <c r="W670" s="477"/>
      <c r="X670" s="477"/>
      <c r="Y670" s="477"/>
      <c r="Z670" s="477"/>
    </row>
    <row r="671" spans="1:26" ht="15" customHeight="1" x14ac:dyDescent="0.35">
      <c r="A671" s="477"/>
      <c r="B671" s="477"/>
      <c r="C671" s="477"/>
      <c r="D671" s="477"/>
      <c r="E671" s="477"/>
      <c r="F671" s="477"/>
      <c r="G671" s="477"/>
      <c r="H671" s="477"/>
      <c r="I671" s="477"/>
      <c r="J671" s="477"/>
      <c r="K671" s="477"/>
      <c r="L671" s="477"/>
      <c r="M671" s="477"/>
      <c r="N671" s="477"/>
      <c r="O671" s="477"/>
      <c r="P671" s="477"/>
      <c r="Q671" s="477"/>
      <c r="R671" s="477"/>
      <c r="S671" s="477"/>
      <c r="T671" s="477"/>
      <c r="U671" s="477"/>
      <c r="V671" s="477"/>
      <c r="W671" s="477"/>
      <c r="X671" s="477"/>
      <c r="Y671" s="477"/>
      <c r="Z671" s="477"/>
    </row>
    <row r="672" spans="1:26" ht="15" customHeight="1" x14ac:dyDescent="0.35">
      <c r="A672" s="477"/>
      <c r="B672" s="477"/>
      <c r="C672" s="477"/>
      <c r="D672" s="477"/>
      <c r="E672" s="477"/>
      <c r="F672" s="477"/>
      <c r="G672" s="477"/>
      <c r="H672" s="477"/>
      <c r="I672" s="477"/>
      <c r="J672" s="477"/>
      <c r="K672" s="477"/>
      <c r="L672" s="477"/>
      <c r="M672" s="477"/>
      <c r="N672" s="477"/>
      <c r="O672" s="477"/>
      <c r="P672" s="477"/>
      <c r="Q672" s="477"/>
      <c r="R672" s="477"/>
      <c r="S672" s="477"/>
      <c r="T672" s="477"/>
      <c r="U672" s="477"/>
      <c r="V672" s="477"/>
      <c r="W672" s="477"/>
      <c r="X672" s="477"/>
      <c r="Y672" s="477"/>
      <c r="Z672" s="477"/>
    </row>
    <row r="673" spans="1:26" ht="15" customHeight="1" x14ac:dyDescent="0.35">
      <c r="A673" s="477"/>
      <c r="B673" s="477"/>
      <c r="C673" s="477"/>
      <c r="D673" s="477"/>
      <c r="E673" s="477"/>
      <c r="F673" s="477"/>
      <c r="G673" s="477"/>
      <c r="H673" s="477"/>
      <c r="I673" s="477"/>
      <c r="J673" s="477"/>
      <c r="K673" s="477"/>
      <c r="L673" s="477"/>
      <c r="M673" s="477"/>
      <c r="N673" s="477"/>
      <c r="O673" s="477"/>
      <c r="P673" s="477"/>
      <c r="Q673" s="477"/>
      <c r="R673" s="477"/>
      <c r="S673" s="477"/>
      <c r="T673" s="477"/>
      <c r="U673" s="477"/>
      <c r="V673" s="477"/>
      <c r="W673" s="477"/>
      <c r="X673" s="477"/>
      <c r="Y673" s="477"/>
      <c r="Z673" s="477"/>
    </row>
    <row r="674" spans="1:26" ht="15" customHeight="1" x14ac:dyDescent="0.35">
      <c r="A674" s="477"/>
      <c r="B674" s="477"/>
      <c r="C674" s="477"/>
      <c r="D674" s="477"/>
      <c r="E674" s="477"/>
      <c r="F674" s="477"/>
      <c r="G674" s="477"/>
      <c r="H674" s="477"/>
      <c r="I674" s="477"/>
      <c r="J674" s="477"/>
      <c r="K674" s="477"/>
      <c r="L674" s="477"/>
      <c r="M674" s="477"/>
      <c r="N674" s="477"/>
      <c r="O674" s="477"/>
      <c r="P674" s="477"/>
      <c r="Q674" s="477"/>
      <c r="R674" s="477"/>
      <c r="S674" s="477"/>
      <c r="T674" s="477"/>
      <c r="U674" s="477"/>
      <c r="V674" s="477"/>
      <c r="W674" s="477"/>
      <c r="X674" s="477"/>
      <c r="Y674" s="477"/>
      <c r="Z674" s="477"/>
    </row>
    <row r="675" spans="1:26" ht="15" customHeight="1" x14ac:dyDescent="0.35">
      <c r="A675" s="477"/>
      <c r="B675" s="477"/>
      <c r="C675" s="477"/>
      <c r="D675" s="477"/>
      <c r="E675" s="477"/>
      <c r="F675" s="477"/>
      <c r="G675" s="477"/>
      <c r="H675" s="477"/>
      <c r="I675" s="477"/>
      <c r="J675" s="477"/>
      <c r="K675" s="477"/>
      <c r="L675" s="477"/>
      <c r="M675" s="477"/>
      <c r="N675" s="477"/>
      <c r="O675" s="477"/>
      <c r="P675" s="477"/>
      <c r="Q675" s="477"/>
      <c r="R675" s="477"/>
      <c r="S675" s="477"/>
      <c r="T675" s="477"/>
      <c r="U675" s="477"/>
      <c r="V675" s="477"/>
      <c r="W675" s="477"/>
      <c r="X675" s="477"/>
      <c r="Y675" s="477"/>
      <c r="Z675" s="477"/>
    </row>
    <row r="676" spans="1:26" ht="15" customHeight="1" x14ac:dyDescent="0.35">
      <c r="A676" s="477"/>
      <c r="B676" s="477"/>
      <c r="C676" s="477"/>
      <c r="D676" s="477"/>
      <c r="E676" s="477"/>
      <c r="F676" s="477"/>
      <c r="G676" s="477"/>
      <c r="H676" s="477"/>
      <c r="I676" s="477"/>
      <c r="J676" s="477"/>
      <c r="K676" s="477"/>
      <c r="L676" s="477"/>
      <c r="M676" s="477"/>
      <c r="N676" s="477"/>
      <c r="O676" s="477"/>
      <c r="P676" s="477"/>
      <c r="Q676" s="477"/>
      <c r="R676" s="477"/>
      <c r="S676" s="477"/>
      <c r="T676" s="477"/>
      <c r="U676" s="477"/>
      <c r="V676" s="477"/>
      <c r="W676" s="477"/>
      <c r="X676" s="477"/>
      <c r="Y676" s="477"/>
      <c r="Z676" s="477"/>
    </row>
    <row r="677" spans="1:26" ht="15" customHeight="1" x14ac:dyDescent="0.35">
      <c r="A677" s="477"/>
      <c r="B677" s="477"/>
      <c r="C677" s="477"/>
      <c r="D677" s="477"/>
      <c r="E677" s="477"/>
      <c r="F677" s="477"/>
      <c r="G677" s="477"/>
      <c r="H677" s="477"/>
      <c r="I677" s="477"/>
      <c r="J677" s="477"/>
      <c r="K677" s="477"/>
      <c r="L677" s="477"/>
      <c r="M677" s="477"/>
      <c r="N677" s="477"/>
      <c r="O677" s="477"/>
      <c r="P677" s="477"/>
      <c r="Q677" s="477"/>
      <c r="R677" s="477"/>
      <c r="S677" s="477"/>
      <c r="T677" s="477"/>
      <c r="U677" s="477"/>
      <c r="V677" s="477"/>
      <c r="W677" s="477"/>
      <c r="X677" s="477"/>
      <c r="Y677" s="477"/>
      <c r="Z677" s="477"/>
    </row>
    <row r="678" spans="1:26" ht="15" customHeight="1" x14ac:dyDescent="0.35">
      <c r="A678" s="477"/>
      <c r="B678" s="477"/>
      <c r="C678" s="477"/>
      <c r="D678" s="477"/>
      <c r="E678" s="477"/>
      <c r="F678" s="477"/>
      <c r="G678" s="477"/>
      <c r="H678" s="477"/>
      <c r="I678" s="477"/>
      <c r="J678" s="477"/>
      <c r="K678" s="477"/>
      <c r="L678" s="477"/>
      <c r="M678" s="477"/>
      <c r="N678" s="477"/>
      <c r="O678" s="477"/>
      <c r="P678" s="477"/>
      <c r="Q678" s="477"/>
      <c r="R678" s="477"/>
      <c r="S678" s="477"/>
      <c r="T678" s="477"/>
      <c r="U678" s="477"/>
      <c r="V678" s="477"/>
      <c r="W678" s="477"/>
      <c r="X678" s="477"/>
      <c r="Y678" s="477"/>
      <c r="Z678" s="477"/>
    </row>
    <row r="679" spans="1:26" ht="15" customHeight="1" x14ac:dyDescent="0.35">
      <c r="A679" s="477"/>
      <c r="B679" s="477"/>
      <c r="C679" s="477"/>
      <c r="D679" s="477"/>
      <c r="E679" s="477"/>
      <c r="F679" s="477"/>
      <c r="G679" s="477"/>
      <c r="H679" s="477"/>
      <c r="I679" s="477"/>
      <c r="J679" s="477"/>
      <c r="K679" s="477"/>
      <c r="L679" s="477"/>
      <c r="M679" s="477"/>
      <c r="N679" s="477"/>
      <c r="O679" s="477"/>
      <c r="P679" s="477"/>
      <c r="Q679" s="477"/>
      <c r="R679" s="477"/>
      <c r="S679" s="477"/>
      <c r="T679" s="477"/>
      <c r="U679" s="477"/>
      <c r="V679" s="477"/>
      <c r="W679" s="477"/>
      <c r="X679" s="477"/>
      <c r="Y679" s="477"/>
      <c r="Z679" s="477"/>
    </row>
    <row r="680" spans="1:26" ht="15" customHeight="1" x14ac:dyDescent="0.35">
      <c r="A680" s="477"/>
      <c r="B680" s="477"/>
      <c r="C680" s="477"/>
      <c r="D680" s="477"/>
      <c r="E680" s="477"/>
      <c r="F680" s="477"/>
      <c r="G680" s="477"/>
      <c r="H680" s="477"/>
      <c r="I680" s="477"/>
      <c r="J680" s="477"/>
      <c r="K680" s="477"/>
      <c r="L680" s="477"/>
      <c r="M680" s="477"/>
      <c r="N680" s="477"/>
      <c r="O680" s="477"/>
      <c r="P680" s="477"/>
      <c r="Q680" s="477"/>
      <c r="R680" s="477"/>
      <c r="S680" s="477"/>
      <c r="T680" s="477"/>
      <c r="U680" s="477"/>
      <c r="V680" s="477"/>
      <c r="W680" s="477"/>
      <c r="X680" s="477"/>
      <c r="Y680" s="477"/>
      <c r="Z680" s="477"/>
    </row>
    <row r="681" spans="1:26" ht="15" customHeight="1" x14ac:dyDescent="0.35">
      <c r="A681" s="477"/>
      <c r="B681" s="477"/>
      <c r="C681" s="477"/>
      <c r="D681" s="477"/>
      <c r="E681" s="477"/>
      <c r="F681" s="477"/>
      <c r="G681" s="477"/>
      <c r="H681" s="477"/>
      <c r="I681" s="477"/>
      <c r="J681" s="477"/>
      <c r="K681" s="477"/>
      <c r="L681" s="477"/>
      <c r="M681" s="477"/>
      <c r="N681" s="477"/>
      <c r="O681" s="477"/>
      <c r="P681" s="477"/>
      <c r="Q681" s="477"/>
      <c r="R681" s="477"/>
      <c r="S681" s="477"/>
      <c r="T681" s="477"/>
      <c r="U681" s="477"/>
      <c r="V681" s="477"/>
      <c r="W681" s="477"/>
      <c r="X681" s="477"/>
      <c r="Y681" s="477"/>
      <c r="Z681" s="477"/>
    </row>
    <row r="682" spans="1:26" ht="15" customHeight="1" x14ac:dyDescent="0.35">
      <c r="A682" s="477"/>
      <c r="B682" s="477"/>
      <c r="C682" s="477"/>
      <c r="D682" s="477"/>
      <c r="E682" s="477"/>
      <c r="F682" s="477"/>
      <c r="G682" s="477"/>
      <c r="H682" s="477"/>
      <c r="I682" s="477"/>
      <c r="J682" s="477"/>
      <c r="K682" s="477"/>
      <c r="L682" s="477"/>
      <c r="M682" s="477"/>
      <c r="N682" s="477"/>
      <c r="O682" s="477"/>
      <c r="P682" s="477"/>
      <c r="Q682" s="477"/>
      <c r="R682" s="477"/>
      <c r="S682" s="477"/>
      <c r="T682" s="477"/>
      <c r="U682" s="477"/>
      <c r="V682" s="477"/>
      <c r="W682" s="477"/>
      <c r="X682" s="477"/>
      <c r="Y682" s="477"/>
      <c r="Z682" s="477"/>
    </row>
    <row r="683" spans="1:26" ht="15" customHeight="1" x14ac:dyDescent="0.35">
      <c r="A683" s="477"/>
      <c r="B683" s="477"/>
      <c r="C683" s="477"/>
      <c r="D683" s="477"/>
      <c r="E683" s="477"/>
      <c r="F683" s="477"/>
      <c r="G683" s="477"/>
      <c r="H683" s="477"/>
      <c r="I683" s="477"/>
      <c r="J683" s="477"/>
      <c r="K683" s="477"/>
      <c r="L683" s="477"/>
      <c r="M683" s="477"/>
      <c r="N683" s="477"/>
      <c r="O683" s="477"/>
      <c r="P683" s="477"/>
      <c r="Q683" s="477"/>
      <c r="R683" s="477"/>
      <c r="S683" s="477"/>
      <c r="T683" s="477"/>
      <c r="U683" s="477"/>
      <c r="V683" s="477"/>
      <c r="W683" s="477"/>
      <c r="X683" s="477"/>
      <c r="Y683" s="477"/>
      <c r="Z683" s="477"/>
    </row>
    <row r="684" spans="1:26" ht="15" customHeight="1" x14ac:dyDescent="0.35">
      <c r="A684" s="477"/>
      <c r="B684" s="477"/>
      <c r="C684" s="477"/>
      <c r="D684" s="477"/>
      <c r="E684" s="477"/>
      <c r="F684" s="477"/>
      <c r="G684" s="477"/>
      <c r="H684" s="477"/>
      <c r="I684" s="477"/>
      <c r="J684" s="477"/>
      <c r="K684" s="477"/>
      <c r="L684" s="477"/>
      <c r="M684" s="477"/>
      <c r="N684" s="477"/>
      <c r="O684" s="477"/>
      <c r="P684" s="477"/>
      <c r="Q684" s="477"/>
      <c r="R684" s="477"/>
      <c r="S684" s="477"/>
      <c r="T684" s="477"/>
      <c r="U684" s="477"/>
      <c r="V684" s="477"/>
      <c r="W684" s="477"/>
      <c r="X684" s="477"/>
      <c r="Y684" s="477"/>
      <c r="Z684" s="477"/>
    </row>
    <row r="685" spans="1:26" ht="15" customHeight="1" x14ac:dyDescent="0.35">
      <c r="A685" s="477"/>
      <c r="B685" s="477"/>
      <c r="C685" s="477"/>
      <c r="D685" s="477"/>
      <c r="E685" s="477"/>
      <c r="F685" s="477"/>
      <c r="G685" s="477"/>
      <c r="H685" s="477"/>
      <c r="I685" s="477"/>
      <c r="J685" s="477"/>
      <c r="K685" s="477"/>
      <c r="L685" s="477"/>
      <c r="M685" s="477"/>
      <c r="N685" s="477"/>
      <c r="O685" s="477"/>
      <c r="P685" s="477"/>
      <c r="Q685" s="477"/>
      <c r="R685" s="477"/>
      <c r="S685" s="477"/>
      <c r="T685" s="477"/>
      <c r="U685" s="477"/>
      <c r="V685" s="477"/>
      <c r="W685" s="477"/>
      <c r="X685" s="477"/>
      <c r="Y685" s="477"/>
      <c r="Z685" s="477"/>
    </row>
    <row r="686" spans="1:26" ht="15" customHeight="1" x14ac:dyDescent="0.35">
      <c r="A686" s="477"/>
      <c r="B686" s="477"/>
      <c r="C686" s="477"/>
      <c r="D686" s="477"/>
      <c r="E686" s="477"/>
      <c r="F686" s="477"/>
      <c r="G686" s="477"/>
      <c r="H686" s="477"/>
      <c r="I686" s="477"/>
      <c r="J686" s="477"/>
      <c r="K686" s="477"/>
      <c r="L686" s="477"/>
      <c r="M686" s="477"/>
      <c r="N686" s="477"/>
      <c r="O686" s="477"/>
      <c r="P686" s="477"/>
      <c r="Q686" s="477"/>
      <c r="R686" s="477"/>
      <c r="S686" s="477"/>
      <c r="T686" s="477"/>
      <c r="U686" s="477"/>
      <c r="V686" s="477"/>
      <c r="W686" s="477"/>
      <c r="X686" s="477"/>
      <c r="Y686" s="477"/>
      <c r="Z686" s="477"/>
    </row>
    <row r="687" spans="1:26" ht="15" customHeight="1" x14ac:dyDescent="0.35">
      <c r="A687" s="477"/>
      <c r="B687" s="477"/>
      <c r="C687" s="477"/>
      <c r="D687" s="477"/>
      <c r="E687" s="477"/>
      <c r="F687" s="477"/>
      <c r="G687" s="477"/>
      <c r="H687" s="477"/>
      <c r="I687" s="477"/>
      <c r="J687" s="477"/>
      <c r="K687" s="477"/>
      <c r="L687" s="477"/>
      <c r="M687" s="477"/>
      <c r="N687" s="477"/>
      <c r="O687" s="477"/>
      <c r="P687" s="477"/>
      <c r="Q687" s="477"/>
      <c r="R687" s="477"/>
      <c r="S687" s="477"/>
      <c r="T687" s="477"/>
      <c r="U687" s="477"/>
      <c r="V687" s="477"/>
      <c r="W687" s="477"/>
      <c r="X687" s="477"/>
      <c r="Y687" s="477"/>
      <c r="Z687" s="477"/>
    </row>
    <row r="688" spans="1:26" ht="15" customHeight="1" x14ac:dyDescent="0.35">
      <c r="A688" s="477"/>
      <c r="B688" s="477"/>
      <c r="C688" s="477"/>
      <c r="D688" s="477"/>
      <c r="E688" s="477"/>
      <c r="F688" s="477"/>
      <c r="G688" s="477"/>
      <c r="H688" s="477"/>
      <c r="I688" s="477"/>
      <c r="J688" s="477"/>
      <c r="K688" s="477"/>
      <c r="L688" s="477"/>
      <c r="M688" s="477"/>
      <c r="N688" s="477"/>
      <c r="O688" s="477"/>
      <c r="P688" s="477"/>
      <c r="Q688" s="477"/>
      <c r="R688" s="477"/>
      <c r="S688" s="477"/>
      <c r="T688" s="477"/>
      <c r="U688" s="477"/>
      <c r="V688" s="477"/>
      <c r="W688" s="477"/>
      <c r="X688" s="477"/>
      <c r="Y688" s="477"/>
      <c r="Z688" s="477"/>
    </row>
    <row r="689" spans="1:26" ht="15" customHeight="1" x14ac:dyDescent="0.35">
      <c r="A689" s="477"/>
      <c r="B689" s="477"/>
      <c r="C689" s="477"/>
      <c r="D689" s="477"/>
      <c r="E689" s="477"/>
      <c r="F689" s="477"/>
      <c r="G689" s="477"/>
      <c r="H689" s="477"/>
      <c r="I689" s="477"/>
      <c r="J689" s="477"/>
      <c r="K689" s="477"/>
      <c r="L689" s="477"/>
      <c r="M689" s="477"/>
      <c r="N689" s="477"/>
      <c r="O689" s="477"/>
      <c r="P689" s="477"/>
      <c r="Q689" s="477"/>
      <c r="R689" s="477"/>
      <c r="S689" s="477"/>
      <c r="T689" s="477"/>
      <c r="U689" s="477"/>
      <c r="V689" s="477"/>
      <c r="W689" s="477"/>
      <c r="X689" s="477"/>
      <c r="Y689" s="477"/>
      <c r="Z689" s="477"/>
    </row>
    <row r="690" spans="1:26" ht="15" customHeight="1" x14ac:dyDescent="0.35">
      <c r="A690" s="477"/>
      <c r="B690" s="477"/>
      <c r="C690" s="477"/>
      <c r="D690" s="477"/>
      <c r="E690" s="477"/>
      <c r="F690" s="477"/>
      <c r="G690" s="477"/>
      <c r="H690" s="477"/>
      <c r="I690" s="477"/>
      <c r="J690" s="477"/>
      <c r="K690" s="477"/>
      <c r="L690" s="477"/>
      <c r="M690" s="477"/>
      <c r="N690" s="477"/>
      <c r="O690" s="477"/>
      <c r="P690" s="477"/>
      <c r="Q690" s="477"/>
      <c r="R690" s="477"/>
      <c r="S690" s="477"/>
      <c r="T690" s="477"/>
      <c r="U690" s="477"/>
      <c r="V690" s="477"/>
      <c r="W690" s="477"/>
      <c r="X690" s="477"/>
      <c r="Y690" s="477"/>
      <c r="Z690" s="477"/>
    </row>
    <row r="691" spans="1:26" ht="15" customHeight="1" x14ac:dyDescent="0.35">
      <c r="A691" s="477"/>
      <c r="B691" s="477"/>
      <c r="C691" s="477"/>
      <c r="D691" s="477"/>
      <c r="E691" s="477"/>
      <c r="F691" s="477"/>
      <c r="G691" s="477"/>
      <c r="H691" s="477"/>
      <c r="I691" s="477"/>
      <c r="J691" s="477"/>
      <c r="K691" s="477"/>
      <c r="L691" s="477"/>
      <c r="M691" s="477"/>
      <c r="N691" s="477"/>
      <c r="O691" s="477"/>
      <c r="P691" s="477"/>
      <c r="Q691" s="477"/>
      <c r="R691" s="477"/>
      <c r="S691" s="477"/>
      <c r="T691" s="477"/>
      <c r="U691" s="477"/>
      <c r="V691" s="477"/>
      <c r="W691" s="477"/>
      <c r="X691" s="477"/>
      <c r="Y691" s="477"/>
      <c r="Z691" s="477"/>
    </row>
    <row r="692" spans="1:26" ht="15" customHeight="1" x14ac:dyDescent="0.35">
      <c r="A692" s="477"/>
      <c r="B692" s="477"/>
      <c r="C692" s="477"/>
      <c r="D692" s="477"/>
      <c r="E692" s="477"/>
      <c r="F692" s="477"/>
      <c r="G692" s="477"/>
      <c r="H692" s="477"/>
      <c r="I692" s="477"/>
      <c r="J692" s="477"/>
      <c r="K692" s="477"/>
      <c r="L692" s="477"/>
      <c r="M692" s="477"/>
      <c r="N692" s="477"/>
      <c r="O692" s="477"/>
      <c r="P692" s="477"/>
      <c r="Q692" s="477"/>
      <c r="R692" s="477"/>
      <c r="S692" s="477"/>
      <c r="T692" s="477"/>
      <c r="U692" s="477"/>
      <c r="V692" s="477"/>
      <c r="W692" s="477"/>
      <c r="X692" s="477"/>
      <c r="Y692" s="477"/>
      <c r="Z692" s="477"/>
    </row>
    <row r="693" spans="1:26" ht="15" customHeight="1" x14ac:dyDescent="0.35">
      <c r="A693" s="477"/>
      <c r="B693" s="477"/>
      <c r="C693" s="477"/>
      <c r="D693" s="477"/>
      <c r="E693" s="477"/>
      <c r="F693" s="477"/>
      <c r="G693" s="477"/>
      <c r="H693" s="477"/>
      <c r="I693" s="477"/>
      <c r="J693" s="477"/>
      <c r="K693" s="477"/>
      <c r="L693" s="477"/>
      <c r="M693" s="477"/>
      <c r="N693" s="477"/>
      <c r="O693" s="477"/>
      <c r="P693" s="477"/>
      <c r="Q693" s="477"/>
      <c r="R693" s="477"/>
      <c r="S693" s="477"/>
      <c r="T693" s="477"/>
      <c r="U693" s="477"/>
      <c r="V693" s="477"/>
      <c r="W693" s="477"/>
      <c r="X693" s="477"/>
      <c r="Y693" s="477"/>
      <c r="Z693" s="477"/>
    </row>
    <row r="694" spans="1:26" ht="15" customHeight="1" x14ac:dyDescent="0.35">
      <c r="A694" s="477"/>
      <c r="B694" s="477"/>
      <c r="C694" s="477"/>
      <c r="D694" s="477"/>
      <c r="E694" s="477"/>
      <c r="F694" s="477"/>
      <c r="G694" s="477"/>
      <c r="H694" s="477"/>
      <c r="I694" s="477"/>
      <c r="J694" s="477"/>
      <c r="K694" s="477"/>
      <c r="L694" s="477"/>
      <c r="M694" s="477"/>
      <c r="N694" s="477"/>
      <c r="O694" s="477"/>
      <c r="P694" s="477"/>
      <c r="Q694" s="477"/>
      <c r="R694" s="477"/>
      <c r="S694" s="477"/>
      <c r="T694" s="477"/>
      <c r="U694" s="477"/>
      <c r="V694" s="477"/>
      <c r="W694" s="477"/>
      <c r="X694" s="477"/>
      <c r="Y694" s="477"/>
      <c r="Z694" s="477"/>
    </row>
    <row r="695" spans="1:26" ht="15" customHeight="1" x14ac:dyDescent="0.35">
      <c r="A695" s="477"/>
      <c r="B695" s="477"/>
      <c r="C695" s="477"/>
      <c r="D695" s="477"/>
      <c r="E695" s="477"/>
      <c r="F695" s="477"/>
      <c r="G695" s="477"/>
      <c r="H695" s="477"/>
      <c r="I695" s="477"/>
      <c r="J695" s="477"/>
      <c r="K695" s="477"/>
      <c r="L695" s="477"/>
      <c r="M695" s="477"/>
      <c r="N695" s="477"/>
      <c r="O695" s="477"/>
      <c r="P695" s="477"/>
      <c r="Q695" s="477"/>
      <c r="R695" s="477"/>
      <c r="S695" s="477"/>
      <c r="T695" s="477"/>
      <c r="U695" s="477"/>
      <c r="V695" s="477"/>
      <c r="W695" s="477"/>
      <c r="X695" s="477"/>
      <c r="Y695" s="477"/>
      <c r="Z695" s="477"/>
    </row>
    <row r="696" spans="1:26" ht="15" customHeight="1" x14ac:dyDescent="0.35">
      <c r="A696" s="477"/>
      <c r="B696" s="477"/>
      <c r="C696" s="477"/>
      <c r="D696" s="477"/>
      <c r="E696" s="477"/>
      <c r="F696" s="477"/>
      <c r="G696" s="477"/>
      <c r="H696" s="477"/>
      <c r="I696" s="477"/>
      <c r="J696" s="477"/>
      <c r="K696" s="477"/>
      <c r="L696" s="477"/>
      <c r="M696" s="477"/>
      <c r="N696" s="477"/>
      <c r="O696" s="477"/>
      <c r="P696" s="477"/>
      <c r="Q696" s="477"/>
      <c r="R696" s="477"/>
      <c r="S696" s="477"/>
      <c r="T696" s="477"/>
      <c r="U696" s="477"/>
      <c r="V696" s="477"/>
      <c r="W696" s="477"/>
      <c r="X696" s="477"/>
      <c r="Y696" s="477"/>
      <c r="Z696" s="477"/>
    </row>
    <row r="697" spans="1:26" ht="15" customHeight="1" x14ac:dyDescent="0.35">
      <c r="A697" s="477"/>
      <c r="B697" s="477"/>
      <c r="C697" s="477"/>
      <c r="D697" s="477"/>
      <c r="E697" s="477"/>
      <c r="F697" s="477"/>
      <c r="G697" s="477"/>
      <c r="H697" s="477"/>
      <c r="I697" s="477"/>
      <c r="J697" s="477"/>
      <c r="K697" s="477"/>
      <c r="L697" s="477"/>
      <c r="M697" s="477"/>
      <c r="N697" s="477"/>
      <c r="O697" s="477"/>
      <c r="P697" s="477"/>
      <c r="Q697" s="477"/>
      <c r="R697" s="477"/>
      <c r="S697" s="477"/>
      <c r="T697" s="477"/>
      <c r="U697" s="477"/>
      <c r="V697" s="477"/>
      <c r="W697" s="477"/>
      <c r="X697" s="477"/>
      <c r="Y697" s="477"/>
      <c r="Z697" s="477"/>
    </row>
    <row r="698" spans="1:26" ht="15" customHeight="1" x14ac:dyDescent="0.35">
      <c r="A698" s="477"/>
      <c r="B698" s="477"/>
      <c r="C698" s="477"/>
      <c r="D698" s="477"/>
      <c r="E698" s="477"/>
      <c r="F698" s="477"/>
      <c r="G698" s="477"/>
      <c r="H698" s="477"/>
      <c r="I698" s="477"/>
      <c r="J698" s="477"/>
      <c r="K698" s="477"/>
      <c r="L698" s="477"/>
      <c r="M698" s="477"/>
      <c r="N698" s="477"/>
      <c r="O698" s="477"/>
      <c r="P698" s="477"/>
      <c r="Q698" s="477"/>
      <c r="R698" s="477"/>
      <c r="S698" s="477"/>
      <c r="T698" s="477"/>
      <c r="U698" s="477"/>
      <c r="V698" s="477"/>
      <c r="W698" s="477"/>
      <c r="X698" s="477"/>
      <c r="Y698" s="477"/>
      <c r="Z698" s="477"/>
    </row>
    <row r="699" spans="1:26" ht="15" customHeight="1" x14ac:dyDescent="0.35">
      <c r="A699" s="477"/>
      <c r="B699" s="477"/>
      <c r="C699" s="477"/>
      <c r="D699" s="477"/>
      <c r="E699" s="477"/>
      <c r="F699" s="477"/>
      <c r="G699" s="477"/>
      <c r="H699" s="477"/>
      <c r="I699" s="477"/>
      <c r="J699" s="477"/>
      <c r="K699" s="477"/>
      <c r="L699" s="477"/>
      <c r="M699" s="477"/>
      <c r="N699" s="477"/>
      <c r="O699" s="477"/>
      <c r="P699" s="477"/>
      <c r="Q699" s="477"/>
      <c r="R699" s="477"/>
      <c r="S699" s="477"/>
      <c r="T699" s="477"/>
      <c r="U699" s="477"/>
      <c r="V699" s="477"/>
      <c r="W699" s="477"/>
      <c r="X699" s="477"/>
      <c r="Y699" s="477"/>
      <c r="Z699" s="477"/>
    </row>
    <row r="700" spans="1:26" ht="15" customHeight="1" x14ac:dyDescent="0.35">
      <c r="A700" s="477"/>
      <c r="B700" s="477"/>
      <c r="C700" s="477"/>
      <c r="D700" s="477"/>
      <c r="E700" s="477"/>
      <c r="F700" s="477"/>
      <c r="G700" s="477"/>
      <c r="H700" s="477"/>
      <c r="I700" s="477"/>
      <c r="J700" s="477"/>
      <c r="K700" s="477"/>
      <c r="L700" s="477"/>
      <c r="M700" s="477"/>
      <c r="N700" s="477"/>
      <c r="O700" s="477"/>
      <c r="P700" s="477"/>
      <c r="Q700" s="477"/>
      <c r="R700" s="477"/>
      <c r="S700" s="477"/>
      <c r="T700" s="477"/>
      <c r="U700" s="477"/>
      <c r="V700" s="477"/>
      <c r="W700" s="477"/>
      <c r="X700" s="477"/>
      <c r="Y700" s="477"/>
      <c r="Z700" s="477"/>
    </row>
    <row r="701" spans="1:26" ht="15" customHeight="1" x14ac:dyDescent="0.35">
      <c r="A701" s="477"/>
      <c r="B701" s="477"/>
      <c r="C701" s="477"/>
      <c r="D701" s="477"/>
      <c r="E701" s="477"/>
      <c r="F701" s="477"/>
      <c r="G701" s="477"/>
      <c r="H701" s="477"/>
      <c r="I701" s="477"/>
      <c r="J701" s="477"/>
      <c r="K701" s="477"/>
      <c r="L701" s="477"/>
      <c r="M701" s="477"/>
      <c r="N701" s="477"/>
      <c r="O701" s="477"/>
      <c r="P701" s="477"/>
      <c r="Q701" s="477"/>
      <c r="R701" s="477"/>
      <c r="S701" s="477"/>
      <c r="T701" s="477"/>
      <c r="U701" s="477"/>
      <c r="V701" s="477"/>
      <c r="W701" s="477"/>
      <c r="X701" s="477"/>
      <c r="Y701" s="477"/>
      <c r="Z701" s="477"/>
    </row>
    <row r="702" spans="1:26" ht="15" customHeight="1" x14ac:dyDescent="0.35">
      <c r="A702" s="477"/>
      <c r="B702" s="477"/>
      <c r="C702" s="477"/>
      <c r="D702" s="477"/>
      <c r="E702" s="477"/>
      <c r="F702" s="477"/>
      <c r="G702" s="477"/>
      <c r="H702" s="477"/>
      <c r="I702" s="477"/>
      <c r="J702" s="477"/>
      <c r="K702" s="477"/>
      <c r="L702" s="477"/>
      <c r="M702" s="477"/>
      <c r="N702" s="477"/>
      <c r="O702" s="477"/>
      <c r="P702" s="477"/>
      <c r="Q702" s="477"/>
      <c r="R702" s="477"/>
      <c r="S702" s="477"/>
      <c r="T702" s="477"/>
      <c r="U702" s="477"/>
      <c r="V702" s="477"/>
      <c r="W702" s="477"/>
      <c r="X702" s="477"/>
      <c r="Y702" s="477"/>
      <c r="Z702" s="477"/>
    </row>
    <row r="703" spans="1:26" ht="15" customHeight="1" x14ac:dyDescent="0.35">
      <c r="A703" s="477"/>
      <c r="B703" s="477"/>
      <c r="C703" s="477"/>
      <c r="D703" s="477"/>
      <c r="E703" s="477"/>
      <c r="F703" s="477"/>
      <c r="G703" s="477"/>
      <c r="H703" s="477"/>
      <c r="I703" s="477"/>
      <c r="J703" s="477"/>
      <c r="K703" s="477"/>
      <c r="L703" s="477"/>
      <c r="M703" s="477"/>
      <c r="N703" s="477"/>
      <c r="O703" s="477"/>
      <c r="P703" s="477"/>
      <c r="Q703" s="477"/>
      <c r="R703" s="477"/>
      <c r="S703" s="477"/>
      <c r="T703" s="477"/>
      <c r="U703" s="477"/>
      <c r="V703" s="477"/>
      <c r="W703" s="477"/>
      <c r="X703" s="477"/>
      <c r="Y703" s="477"/>
      <c r="Z703" s="477"/>
    </row>
    <row r="704" spans="1:26" ht="15" customHeight="1" x14ac:dyDescent="0.35">
      <c r="A704" s="477"/>
      <c r="B704" s="477"/>
      <c r="C704" s="477"/>
      <c r="D704" s="477"/>
      <c r="E704" s="477"/>
      <c r="F704" s="477"/>
      <c r="G704" s="477"/>
      <c r="H704" s="477"/>
      <c r="I704" s="477"/>
      <c r="J704" s="477"/>
      <c r="K704" s="477"/>
      <c r="L704" s="477"/>
      <c r="M704" s="477"/>
      <c r="N704" s="477"/>
      <c r="O704" s="477"/>
      <c r="P704" s="477"/>
      <c r="Q704" s="477"/>
      <c r="R704" s="477"/>
      <c r="S704" s="477"/>
      <c r="T704" s="477"/>
      <c r="U704" s="477"/>
      <c r="V704" s="477"/>
      <c r="W704" s="477"/>
      <c r="X704" s="477"/>
      <c r="Y704" s="477"/>
      <c r="Z704" s="477"/>
    </row>
    <row r="705" spans="1:26" ht="15" customHeight="1" x14ac:dyDescent="0.35">
      <c r="A705" s="477"/>
      <c r="B705" s="477"/>
      <c r="C705" s="477"/>
      <c r="D705" s="477"/>
      <c r="E705" s="477"/>
      <c r="F705" s="477"/>
      <c r="G705" s="477"/>
      <c r="H705" s="477"/>
      <c r="I705" s="477"/>
      <c r="J705" s="477"/>
      <c r="K705" s="477"/>
      <c r="L705" s="477"/>
      <c r="M705" s="477"/>
      <c r="N705" s="477"/>
      <c r="O705" s="477"/>
      <c r="P705" s="477"/>
      <c r="Q705" s="477"/>
      <c r="R705" s="477"/>
      <c r="S705" s="477"/>
      <c r="T705" s="477"/>
      <c r="U705" s="477"/>
      <c r="V705" s="477"/>
      <c r="W705" s="477"/>
      <c r="X705" s="477"/>
      <c r="Y705" s="477"/>
      <c r="Z705" s="477"/>
    </row>
    <row r="706" spans="1:26" ht="15" customHeight="1" x14ac:dyDescent="0.35">
      <c r="A706" s="477"/>
      <c r="B706" s="477"/>
      <c r="C706" s="477"/>
      <c r="D706" s="477"/>
      <c r="E706" s="477"/>
      <c r="F706" s="477"/>
      <c r="G706" s="477"/>
      <c r="H706" s="477"/>
      <c r="I706" s="477"/>
      <c r="J706" s="477"/>
      <c r="K706" s="477"/>
      <c r="L706" s="477"/>
      <c r="M706" s="477"/>
      <c r="N706" s="477"/>
      <c r="O706" s="477"/>
      <c r="P706" s="477"/>
      <c r="Q706" s="477"/>
      <c r="R706" s="477"/>
      <c r="S706" s="477"/>
      <c r="T706" s="477"/>
      <c r="U706" s="477"/>
      <c r="V706" s="477"/>
      <c r="W706" s="477"/>
      <c r="X706" s="477"/>
      <c r="Y706" s="477"/>
      <c r="Z706" s="477"/>
    </row>
    <row r="707" spans="1:26" ht="15" customHeight="1" x14ac:dyDescent="0.35">
      <c r="A707" s="477"/>
      <c r="B707" s="477"/>
      <c r="C707" s="477"/>
      <c r="D707" s="477"/>
      <c r="E707" s="477"/>
      <c r="F707" s="477"/>
      <c r="G707" s="477"/>
      <c r="H707" s="477"/>
      <c r="I707" s="477"/>
      <c r="J707" s="477"/>
      <c r="K707" s="477"/>
      <c r="L707" s="477"/>
      <c r="M707" s="477"/>
      <c r="N707" s="477"/>
      <c r="O707" s="477"/>
      <c r="P707" s="477"/>
      <c r="Q707" s="477"/>
      <c r="R707" s="477"/>
      <c r="S707" s="477"/>
      <c r="T707" s="477"/>
      <c r="U707" s="477"/>
      <c r="V707" s="477"/>
      <c r="W707" s="477"/>
      <c r="X707" s="477"/>
      <c r="Y707" s="477"/>
      <c r="Z707" s="477"/>
    </row>
    <row r="708" spans="1:26" ht="15" customHeight="1" x14ac:dyDescent="0.35">
      <c r="A708" s="477"/>
      <c r="B708" s="477"/>
      <c r="C708" s="477"/>
      <c r="D708" s="477"/>
      <c r="E708" s="477"/>
      <c r="F708" s="477"/>
      <c r="G708" s="477"/>
      <c r="H708" s="477"/>
      <c r="I708" s="477"/>
      <c r="J708" s="477"/>
      <c r="K708" s="477"/>
      <c r="L708" s="477"/>
      <c r="M708" s="477"/>
      <c r="N708" s="477"/>
      <c r="O708" s="477"/>
      <c r="P708" s="477"/>
      <c r="Q708" s="477"/>
      <c r="R708" s="477"/>
      <c r="S708" s="477"/>
      <c r="T708" s="477"/>
      <c r="U708" s="477"/>
      <c r="V708" s="477"/>
      <c r="W708" s="477"/>
      <c r="X708" s="477"/>
      <c r="Y708" s="477"/>
      <c r="Z708" s="477"/>
    </row>
    <row r="709" spans="1:26" ht="15" customHeight="1" x14ac:dyDescent="0.35">
      <c r="A709" s="477"/>
      <c r="B709" s="477"/>
      <c r="C709" s="477"/>
      <c r="D709" s="477"/>
      <c r="E709" s="477"/>
      <c r="F709" s="477"/>
      <c r="G709" s="477"/>
      <c r="H709" s="477"/>
      <c r="I709" s="477"/>
      <c r="J709" s="477"/>
      <c r="K709" s="477"/>
      <c r="L709" s="477"/>
      <c r="M709" s="477"/>
      <c r="N709" s="477"/>
      <c r="O709" s="477"/>
      <c r="P709" s="477"/>
      <c r="Q709" s="477"/>
      <c r="R709" s="477"/>
      <c r="S709" s="477"/>
      <c r="T709" s="477"/>
      <c r="U709" s="477"/>
      <c r="V709" s="477"/>
      <c r="W709" s="477"/>
      <c r="X709" s="477"/>
      <c r="Y709" s="477"/>
      <c r="Z709" s="477"/>
    </row>
    <row r="710" spans="1:26" ht="15" customHeight="1" x14ac:dyDescent="0.35">
      <c r="A710" s="477"/>
      <c r="B710" s="477"/>
      <c r="C710" s="477"/>
      <c r="D710" s="477"/>
      <c r="E710" s="477"/>
      <c r="F710" s="477"/>
      <c r="G710" s="477"/>
      <c r="H710" s="477"/>
      <c r="I710" s="477"/>
      <c r="J710" s="477"/>
      <c r="K710" s="477"/>
      <c r="L710" s="477"/>
      <c r="M710" s="477"/>
      <c r="N710" s="477"/>
      <c r="O710" s="477"/>
      <c r="P710" s="477"/>
      <c r="Q710" s="477"/>
      <c r="R710" s="477"/>
      <c r="S710" s="477"/>
      <c r="T710" s="477"/>
      <c r="U710" s="477"/>
      <c r="V710" s="477"/>
      <c r="W710" s="477"/>
      <c r="X710" s="477"/>
      <c r="Y710" s="477"/>
      <c r="Z710" s="477"/>
    </row>
    <row r="711" spans="1:26" ht="15" customHeight="1" x14ac:dyDescent="0.35">
      <c r="A711" s="477"/>
      <c r="B711" s="477"/>
      <c r="C711" s="477"/>
      <c r="D711" s="477"/>
      <c r="E711" s="477"/>
      <c r="F711" s="477"/>
      <c r="G711" s="477"/>
      <c r="H711" s="477"/>
      <c r="I711" s="477"/>
      <c r="J711" s="477"/>
      <c r="K711" s="477"/>
      <c r="L711" s="477"/>
      <c r="M711" s="477"/>
      <c r="N711" s="477"/>
      <c r="O711" s="477"/>
      <c r="P711" s="477"/>
      <c r="Q711" s="477"/>
      <c r="R711" s="477"/>
      <c r="S711" s="477"/>
      <c r="T711" s="477"/>
      <c r="U711" s="477"/>
      <c r="V711" s="477"/>
      <c r="W711" s="477"/>
      <c r="X711" s="477"/>
      <c r="Y711" s="477"/>
      <c r="Z711" s="477"/>
    </row>
    <row r="712" spans="1:26" ht="15" customHeight="1" x14ac:dyDescent="0.35">
      <c r="A712" s="477"/>
      <c r="B712" s="477"/>
      <c r="C712" s="477"/>
      <c r="D712" s="477"/>
      <c r="E712" s="477"/>
      <c r="F712" s="477"/>
      <c r="G712" s="477"/>
      <c r="H712" s="477"/>
      <c r="I712" s="477"/>
      <c r="J712" s="477"/>
      <c r="K712" s="477"/>
      <c r="L712" s="477"/>
      <c r="M712" s="477"/>
      <c r="N712" s="477"/>
      <c r="O712" s="477"/>
      <c r="P712" s="477"/>
      <c r="Q712" s="477"/>
      <c r="R712" s="477"/>
      <c r="S712" s="477"/>
      <c r="T712" s="477"/>
      <c r="U712" s="477"/>
      <c r="V712" s="477"/>
      <c r="W712" s="477"/>
      <c r="X712" s="477"/>
      <c r="Y712" s="477"/>
      <c r="Z712" s="477"/>
    </row>
    <row r="713" spans="1:26" ht="15" customHeight="1" x14ac:dyDescent="0.35">
      <c r="A713" s="477"/>
      <c r="B713" s="477"/>
      <c r="C713" s="477"/>
      <c r="D713" s="477"/>
      <c r="E713" s="477"/>
      <c r="F713" s="477"/>
      <c r="G713" s="477"/>
      <c r="H713" s="477"/>
      <c r="I713" s="477"/>
      <c r="J713" s="477"/>
      <c r="K713" s="477"/>
      <c r="L713" s="477"/>
      <c r="M713" s="477"/>
      <c r="N713" s="477"/>
      <c r="O713" s="477"/>
      <c r="P713" s="477"/>
      <c r="Q713" s="477"/>
      <c r="R713" s="477"/>
      <c r="S713" s="477"/>
      <c r="T713" s="477"/>
      <c r="U713" s="477"/>
      <c r="V713" s="477"/>
      <c r="W713" s="477"/>
      <c r="X713" s="477"/>
      <c r="Y713" s="477"/>
      <c r="Z713" s="477"/>
    </row>
    <row r="714" spans="1:26" ht="15" customHeight="1" x14ac:dyDescent="0.35">
      <c r="A714" s="477"/>
      <c r="B714" s="477"/>
      <c r="C714" s="477"/>
      <c r="D714" s="477"/>
      <c r="E714" s="477"/>
      <c r="F714" s="477"/>
      <c r="G714" s="477"/>
      <c r="H714" s="477"/>
      <c r="I714" s="477"/>
      <c r="J714" s="477"/>
      <c r="K714" s="477"/>
      <c r="L714" s="477"/>
      <c r="M714" s="477"/>
      <c r="N714" s="477"/>
      <c r="O714" s="477"/>
      <c r="P714" s="477"/>
      <c r="Q714" s="477"/>
      <c r="R714" s="477"/>
      <c r="S714" s="477"/>
      <c r="T714" s="477"/>
      <c r="U714" s="477"/>
      <c r="V714" s="477"/>
      <c r="W714" s="477"/>
      <c r="X714" s="477"/>
      <c r="Y714" s="477"/>
      <c r="Z714" s="477"/>
    </row>
    <row r="715" spans="1:26" ht="15" customHeight="1" x14ac:dyDescent="0.35">
      <c r="A715" s="477"/>
      <c r="B715" s="477"/>
      <c r="C715" s="477"/>
      <c r="D715" s="477"/>
      <c r="E715" s="477"/>
      <c r="F715" s="477"/>
      <c r="G715" s="477"/>
      <c r="H715" s="477"/>
      <c r="I715" s="477"/>
      <c r="J715" s="477"/>
      <c r="K715" s="477"/>
      <c r="L715" s="477"/>
      <c r="M715" s="477"/>
      <c r="N715" s="477"/>
      <c r="O715" s="477"/>
      <c r="P715" s="477"/>
      <c r="Q715" s="477"/>
      <c r="R715" s="477"/>
      <c r="S715" s="477"/>
      <c r="T715" s="477"/>
      <c r="U715" s="477"/>
      <c r="V715" s="477"/>
      <c r="W715" s="477"/>
      <c r="X715" s="477"/>
      <c r="Y715" s="477"/>
      <c r="Z715" s="477"/>
    </row>
    <row r="716" spans="1:26" ht="15" customHeight="1" x14ac:dyDescent="0.35">
      <c r="A716" s="477"/>
      <c r="B716" s="477"/>
      <c r="C716" s="477"/>
      <c r="D716" s="477"/>
      <c r="E716" s="477"/>
      <c r="F716" s="477"/>
      <c r="G716" s="477"/>
      <c r="H716" s="477"/>
      <c r="I716" s="477"/>
      <c r="J716" s="477"/>
      <c r="K716" s="477"/>
      <c r="L716" s="477"/>
      <c r="M716" s="477"/>
      <c r="N716" s="477"/>
      <c r="O716" s="477"/>
      <c r="P716" s="477"/>
      <c r="Q716" s="477"/>
      <c r="R716" s="477"/>
      <c r="S716" s="477"/>
      <c r="T716" s="477"/>
      <c r="U716" s="477"/>
      <c r="V716" s="477"/>
      <c r="W716" s="477"/>
      <c r="X716" s="477"/>
      <c r="Y716" s="477"/>
      <c r="Z716" s="477"/>
    </row>
    <row r="717" spans="1:26" ht="15" customHeight="1" x14ac:dyDescent="0.35">
      <c r="A717" s="477"/>
      <c r="B717" s="477"/>
      <c r="C717" s="477"/>
      <c r="D717" s="477"/>
      <c r="E717" s="477"/>
      <c r="F717" s="477"/>
      <c r="G717" s="477"/>
      <c r="H717" s="477"/>
      <c r="I717" s="477"/>
      <c r="J717" s="477"/>
      <c r="K717" s="477"/>
      <c r="L717" s="477"/>
      <c r="M717" s="477"/>
      <c r="N717" s="477"/>
      <c r="O717" s="477"/>
      <c r="P717" s="477"/>
      <c r="Q717" s="477"/>
      <c r="R717" s="477"/>
      <c r="S717" s="477"/>
      <c r="T717" s="477"/>
      <c r="U717" s="477"/>
      <c r="V717" s="477"/>
      <c r="W717" s="477"/>
      <c r="X717" s="477"/>
      <c r="Y717" s="477"/>
      <c r="Z717" s="477"/>
    </row>
    <row r="718" spans="1:26" ht="15" customHeight="1" x14ac:dyDescent="0.35">
      <c r="A718" s="477"/>
      <c r="B718" s="477"/>
      <c r="C718" s="477"/>
      <c r="D718" s="477"/>
      <c r="E718" s="477"/>
      <c r="F718" s="477"/>
      <c r="G718" s="477"/>
      <c r="H718" s="477"/>
      <c r="I718" s="477"/>
      <c r="J718" s="477"/>
      <c r="K718" s="477"/>
      <c r="L718" s="477"/>
      <c r="M718" s="477"/>
      <c r="N718" s="477"/>
      <c r="O718" s="477"/>
      <c r="P718" s="477"/>
      <c r="Q718" s="477"/>
      <c r="R718" s="477"/>
      <c r="S718" s="477"/>
      <c r="T718" s="477"/>
      <c r="U718" s="477"/>
      <c r="V718" s="477"/>
      <c r="W718" s="477"/>
      <c r="X718" s="477"/>
      <c r="Y718" s="477"/>
      <c r="Z718" s="477"/>
    </row>
    <row r="719" spans="1:26" ht="15" customHeight="1" x14ac:dyDescent="0.35">
      <c r="A719" s="477"/>
      <c r="B719" s="477"/>
      <c r="C719" s="477"/>
      <c r="D719" s="477"/>
      <c r="E719" s="477"/>
      <c r="F719" s="477"/>
      <c r="G719" s="477"/>
      <c r="H719" s="477"/>
      <c r="I719" s="477"/>
      <c r="J719" s="477"/>
      <c r="K719" s="477"/>
      <c r="L719" s="477"/>
      <c r="M719" s="477"/>
      <c r="N719" s="477"/>
      <c r="O719" s="477"/>
      <c r="P719" s="477"/>
      <c r="Q719" s="477"/>
      <c r="R719" s="477"/>
      <c r="S719" s="477"/>
      <c r="T719" s="477"/>
      <c r="U719" s="477"/>
      <c r="V719" s="477"/>
      <c r="W719" s="477"/>
      <c r="X719" s="477"/>
      <c r="Y719" s="477"/>
      <c r="Z719" s="477"/>
    </row>
    <row r="720" spans="1:26" ht="15" customHeight="1" x14ac:dyDescent="0.35">
      <c r="A720" s="477"/>
      <c r="B720" s="477"/>
      <c r="C720" s="477"/>
      <c r="D720" s="477"/>
      <c r="E720" s="477"/>
      <c r="F720" s="477"/>
      <c r="G720" s="477"/>
      <c r="H720" s="477"/>
      <c r="I720" s="477"/>
      <c r="J720" s="477"/>
      <c r="K720" s="477"/>
      <c r="L720" s="477"/>
      <c r="M720" s="477"/>
      <c r="N720" s="477"/>
      <c r="O720" s="477"/>
      <c r="P720" s="477"/>
      <c r="Q720" s="477"/>
      <c r="R720" s="477"/>
      <c r="S720" s="477"/>
      <c r="T720" s="477"/>
      <c r="U720" s="477"/>
      <c r="V720" s="477"/>
      <c r="W720" s="477"/>
      <c r="X720" s="477"/>
      <c r="Y720" s="477"/>
      <c r="Z720" s="477"/>
    </row>
    <row r="721" spans="1:26" ht="15" customHeight="1" x14ac:dyDescent="0.35">
      <c r="A721" s="477"/>
      <c r="B721" s="477"/>
      <c r="C721" s="477"/>
      <c r="D721" s="477"/>
      <c r="E721" s="477"/>
      <c r="F721" s="477"/>
      <c r="G721" s="477"/>
      <c r="H721" s="477"/>
      <c r="I721" s="477"/>
      <c r="J721" s="477"/>
      <c r="K721" s="477"/>
      <c r="L721" s="477"/>
      <c r="M721" s="477"/>
      <c r="N721" s="477"/>
      <c r="O721" s="477"/>
      <c r="P721" s="477"/>
      <c r="Q721" s="477"/>
      <c r="R721" s="477"/>
      <c r="S721" s="477"/>
      <c r="T721" s="477"/>
      <c r="U721" s="477"/>
      <c r="V721" s="477"/>
      <c r="W721" s="477"/>
      <c r="X721" s="477"/>
      <c r="Y721" s="477"/>
      <c r="Z721" s="477"/>
    </row>
    <row r="722" spans="1:26" ht="15" customHeight="1" x14ac:dyDescent="0.35">
      <c r="A722" s="477"/>
      <c r="B722" s="477"/>
      <c r="C722" s="477"/>
      <c r="D722" s="477"/>
      <c r="E722" s="477"/>
      <c r="F722" s="477"/>
      <c r="G722" s="477"/>
      <c r="H722" s="477"/>
      <c r="I722" s="477"/>
      <c r="J722" s="477"/>
      <c r="K722" s="477"/>
      <c r="L722" s="477"/>
      <c r="M722" s="477"/>
      <c r="N722" s="477"/>
      <c r="O722" s="477"/>
      <c r="P722" s="477"/>
      <c r="Q722" s="477"/>
      <c r="R722" s="477"/>
      <c r="S722" s="477"/>
      <c r="T722" s="477"/>
      <c r="U722" s="477"/>
      <c r="V722" s="477"/>
      <c r="W722" s="477"/>
      <c r="X722" s="477"/>
      <c r="Y722" s="477"/>
      <c r="Z722" s="477"/>
    </row>
    <row r="723" spans="1:26" ht="15" customHeight="1" x14ac:dyDescent="0.35">
      <c r="A723" s="477"/>
      <c r="B723" s="477"/>
      <c r="C723" s="477"/>
      <c r="D723" s="477"/>
      <c r="E723" s="477"/>
      <c r="F723" s="477"/>
      <c r="G723" s="477"/>
      <c r="H723" s="477"/>
      <c r="I723" s="477"/>
      <c r="J723" s="477"/>
      <c r="K723" s="477"/>
      <c r="L723" s="477"/>
      <c r="M723" s="477"/>
      <c r="N723" s="477"/>
      <c r="O723" s="477"/>
      <c r="P723" s="477"/>
      <c r="Q723" s="477"/>
      <c r="R723" s="477"/>
      <c r="S723" s="477"/>
      <c r="T723" s="477"/>
      <c r="U723" s="477"/>
      <c r="V723" s="477"/>
      <c r="W723" s="477"/>
      <c r="X723" s="477"/>
      <c r="Y723" s="477"/>
      <c r="Z723" s="477"/>
    </row>
    <row r="724" spans="1:26" ht="15" customHeight="1" x14ac:dyDescent="0.35">
      <c r="A724" s="477"/>
      <c r="B724" s="477"/>
      <c r="C724" s="477"/>
      <c r="D724" s="477"/>
      <c r="E724" s="477"/>
      <c r="F724" s="477"/>
      <c r="G724" s="477"/>
      <c r="H724" s="477"/>
      <c r="I724" s="477"/>
      <c r="J724" s="477"/>
      <c r="K724" s="477"/>
      <c r="L724" s="477"/>
      <c r="M724" s="477"/>
      <c r="N724" s="477"/>
      <c r="O724" s="477"/>
      <c r="P724" s="477"/>
      <c r="Q724" s="477"/>
      <c r="R724" s="477"/>
      <c r="S724" s="477"/>
      <c r="T724" s="477"/>
      <c r="U724" s="477"/>
      <c r="V724" s="477"/>
      <c r="W724" s="477"/>
      <c r="X724" s="477"/>
      <c r="Y724" s="477"/>
      <c r="Z724" s="477"/>
    </row>
    <row r="725" spans="1:26" ht="15" customHeight="1" x14ac:dyDescent="0.35">
      <c r="A725" s="477"/>
      <c r="B725" s="477"/>
      <c r="C725" s="477"/>
      <c r="D725" s="477"/>
      <c r="E725" s="477"/>
      <c r="F725" s="477"/>
      <c r="G725" s="477"/>
      <c r="H725" s="477"/>
      <c r="I725" s="477"/>
      <c r="J725" s="477"/>
      <c r="K725" s="477"/>
      <c r="L725" s="477"/>
      <c r="M725" s="477"/>
      <c r="N725" s="477"/>
      <c r="O725" s="477"/>
      <c r="P725" s="477"/>
      <c r="Q725" s="477"/>
      <c r="R725" s="477"/>
      <c r="S725" s="477"/>
      <c r="T725" s="477"/>
      <c r="U725" s="477"/>
      <c r="V725" s="477"/>
      <c r="W725" s="477"/>
      <c r="X725" s="477"/>
      <c r="Y725" s="477"/>
      <c r="Z725" s="477"/>
    </row>
    <row r="726" spans="1:26" ht="15" customHeight="1" x14ac:dyDescent="0.35">
      <c r="A726" s="477"/>
      <c r="B726" s="477"/>
      <c r="C726" s="477"/>
      <c r="D726" s="477"/>
      <c r="E726" s="477"/>
      <c r="F726" s="477"/>
      <c r="G726" s="477"/>
      <c r="H726" s="477"/>
      <c r="I726" s="477"/>
      <c r="J726" s="477"/>
      <c r="K726" s="477"/>
      <c r="L726" s="477"/>
      <c r="M726" s="477"/>
      <c r="N726" s="477"/>
      <c r="O726" s="477"/>
      <c r="P726" s="477"/>
      <c r="Q726" s="477"/>
      <c r="R726" s="477"/>
      <c r="S726" s="477"/>
      <c r="T726" s="477"/>
      <c r="U726" s="477"/>
      <c r="V726" s="477"/>
      <c r="W726" s="477"/>
      <c r="X726" s="477"/>
      <c r="Y726" s="477"/>
      <c r="Z726" s="477"/>
    </row>
    <row r="727" spans="1:26" ht="15" customHeight="1" x14ac:dyDescent="0.35">
      <c r="A727" s="477"/>
      <c r="B727" s="477"/>
      <c r="C727" s="477"/>
      <c r="D727" s="477"/>
      <c r="E727" s="477"/>
      <c r="F727" s="477"/>
      <c r="G727" s="477"/>
      <c r="H727" s="477"/>
      <c r="I727" s="477"/>
      <c r="J727" s="477"/>
      <c r="K727" s="477"/>
      <c r="L727" s="477"/>
      <c r="M727" s="477"/>
      <c r="N727" s="477"/>
      <c r="O727" s="477"/>
      <c r="P727" s="477"/>
      <c r="Q727" s="477"/>
      <c r="R727" s="477"/>
      <c r="S727" s="477"/>
      <c r="T727" s="477"/>
      <c r="U727" s="477"/>
      <c r="V727" s="477"/>
      <c r="W727" s="477"/>
      <c r="X727" s="477"/>
      <c r="Y727" s="477"/>
      <c r="Z727" s="477"/>
    </row>
    <row r="728" spans="1:26" ht="15" customHeight="1" x14ac:dyDescent="0.35">
      <c r="A728" s="477"/>
      <c r="B728" s="477"/>
      <c r="C728" s="477"/>
      <c r="D728" s="477"/>
      <c r="E728" s="477"/>
      <c r="F728" s="477"/>
      <c r="G728" s="477"/>
      <c r="H728" s="477"/>
      <c r="I728" s="477"/>
      <c r="J728" s="477"/>
      <c r="K728" s="477"/>
      <c r="L728" s="477"/>
      <c r="M728" s="477"/>
      <c r="N728" s="477"/>
      <c r="O728" s="477"/>
      <c r="P728" s="477"/>
      <c r="Q728" s="477"/>
      <c r="R728" s="477"/>
      <c r="S728" s="477"/>
      <c r="T728" s="477"/>
      <c r="U728" s="477"/>
      <c r="V728" s="477"/>
      <c r="W728" s="477"/>
      <c r="X728" s="477"/>
      <c r="Y728" s="477"/>
      <c r="Z728" s="477"/>
    </row>
    <row r="729" spans="1:26" ht="15" customHeight="1" x14ac:dyDescent="0.35">
      <c r="A729" s="477"/>
      <c r="B729" s="477"/>
      <c r="C729" s="477"/>
      <c r="D729" s="477"/>
      <c r="E729" s="477"/>
      <c r="F729" s="477"/>
      <c r="G729" s="477"/>
      <c r="H729" s="477"/>
      <c r="I729" s="477"/>
      <c r="J729" s="477"/>
      <c r="K729" s="477"/>
      <c r="L729" s="477"/>
      <c r="M729" s="477"/>
      <c r="N729" s="477"/>
      <c r="O729" s="477"/>
      <c r="P729" s="477"/>
      <c r="Q729" s="477"/>
      <c r="R729" s="477"/>
      <c r="S729" s="477"/>
      <c r="T729" s="477"/>
      <c r="U729" s="477"/>
      <c r="V729" s="477"/>
      <c r="W729" s="477"/>
      <c r="X729" s="477"/>
      <c r="Y729" s="477"/>
      <c r="Z729" s="477"/>
    </row>
    <row r="730" spans="1:26" ht="15" customHeight="1" x14ac:dyDescent="0.35">
      <c r="A730" s="477"/>
      <c r="B730" s="477"/>
      <c r="C730" s="477"/>
      <c r="D730" s="477"/>
      <c r="E730" s="477"/>
      <c r="F730" s="477"/>
      <c r="G730" s="477"/>
      <c r="H730" s="477"/>
      <c r="I730" s="477"/>
      <c r="J730" s="477"/>
      <c r="K730" s="477"/>
      <c r="L730" s="477"/>
      <c r="M730" s="477"/>
      <c r="N730" s="477"/>
      <c r="O730" s="477"/>
      <c r="P730" s="477"/>
      <c r="Q730" s="477"/>
      <c r="R730" s="477"/>
      <c r="S730" s="477"/>
      <c r="T730" s="477"/>
      <c r="U730" s="477"/>
      <c r="V730" s="477"/>
      <c r="W730" s="477"/>
      <c r="X730" s="477"/>
      <c r="Y730" s="477"/>
      <c r="Z730" s="477"/>
    </row>
    <row r="731" spans="1:26" ht="15" customHeight="1" x14ac:dyDescent="0.35">
      <c r="A731" s="477"/>
      <c r="B731" s="477"/>
      <c r="C731" s="477"/>
      <c r="D731" s="477"/>
      <c r="E731" s="477"/>
      <c r="F731" s="477"/>
      <c r="G731" s="477"/>
      <c r="H731" s="477"/>
      <c r="I731" s="477"/>
      <c r="J731" s="477"/>
      <c r="K731" s="477"/>
      <c r="L731" s="477"/>
      <c r="M731" s="477"/>
      <c r="N731" s="477"/>
      <c r="O731" s="477"/>
      <c r="P731" s="477"/>
      <c r="Q731" s="477"/>
      <c r="R731" s="477"/>
      <c r="S731" s="477"/>
      <c r="T731" s="477"/>
      <c r="U731" s="477"/>
      <c r="V731" s="477"/>
      <c r="W731" s="477"/>
      <c r="X731" s="477"/>
      <c r="Y731" s="477"/>
      <c r="Z731" s="477"/>
    </row>
    <row r="732" spans="1:26" ht="15" customHeight="1" x14ac:dyDescent="0.35">
      <c r="A732" s="477"/>
      <c r="B732" s="477"/>
      <c r="C732" s="477"/>
      <c r="D732" s="477"/>
      <c r="E732" s="477"/>
      <c r="F732" s="477"/>
      <c r="G732" s="477"/>
      <c r="H732" s="477"/>
      <c r="I732" s="477"/>
      <c r="J732" s="477"/>
      <c r="K732" s="477"/>
      <c r="L732" s="477"/>
      <c r="M732" s="477"/>
      <c r="N732" s="477"/>
      <c r="O732" s="477"/>
      <c r="P732" s="477"/>
      <c r="Q732" s="477"/>
      <c r="R732" s="477"/>
      <c r="S732" s="477"/>
      <c r="T732" s="477"/>
      <c r="U732" s="477"/>
      <c r="V732" s="477"/>
      <c r="W732" s="477"/>
      <c r="X732" s="477"/>
      <c r="Y732" s="477"/>
      <c r="Z732" s="477"/>
    </row>
    <row r="733" spans="1:26" ht="15" customHeight="1" x14ac:dyDescent="0.35">
      <c r="A733" s="477"/>
      <c r="B733" s="477"/>
      <c r="C733" s="477"/>
      <c r="D733" s="477"/>
      <c r="E733" s="477"/>
      <c r="F733" s="477"/>
      <c r="G733" s="477"/>
      <c r="H733" s="477"/>
      <c r="I733" s="477"/>
      <c r="J733" s="477"/>
      <c r="K733" s="477"/>
      <c r="L733" s="477"/>
      <c r="M733" s="477"/>
      <c r="N733" s="477"/>
      <c r="O733" s="477"/>
      <c r="P733" s="477"/>
      <c r="Q733" s="477"/>
      <c r="R733" s="477"/>
      <c r="S733" s="477"/>
      <c r="T733" s="477"/>
      <c r="U733" s="477"/>
      <c r="V733" s="477"/>
      <c r="W733" s="477"/>
      <c r="X733" s="477"/>
      <c r="Y733" s="477"/>
      <c r="Z733" s="477"/>
    </row>
    <row r="734" spans="1:26" ht="15" customHeight="1" x14ac:dyDescent="0.35">
      <c r="A734" s="477"/>
      <c r="B734" s="477"/>
      <c r="C734" s="477"/>
      <c r="D734" s="477"/>
      <c r="E734" s="477"/>
      <c r="F734" s="477"/>
      <c r="G734" s="477"/>
      <c r="H734" s="477"/>
      <c r="I734" s="477"/>
      <c r="J734" s="477"/>
      <c r="K734" s="477"/>
      <c r="L734" s="477"/>
      <c r="M734" s="477"/>
      <c r="N734" s="477"/>
      <c r="O734" s="477"/>
      <c r="P734" s="477"/>
      <c r="Q734" s="477"/>
      <c r="R734" s="477"/>
      <c r="S734" s="477"/>
      <c r="T734" s="477"/>
      <c r="U734" s="477"/>
      <c r="V734" s="477"/>
      <c r="W734" s="477"/>
      <c r="X734" s="477"/>
      <c r="Y734" s="477"/>
      <c r="Z734" s="477"/>
    </row>
    <row r="735" spans="1:26" ht="15" customHeight="1" x14ac:dyDescent="0.35">
      <c r="A735" s="477"/>
      <c r="B735" s="477"/>
      <c r="C735" s="477"/>
      <c r="D735" s="477"/>
      <c r="E735" s="477"/>
      <c r="F735" s="477"/>
      <c r="G735" s="477"/>
      <c r="H735" s="477"/>
      <c r="I735" s="477"/>
      <c r="J735" s="477"/>
      <c r="K735" s="477"/>
      <c r="L735" s="477"/>
      <c r="M735" s="477"/>
      <c r="N735" s="477"/>
      <c r="O735" s="477"/>
      <c r="P735" s="477"/>
      <c r="Q735" s="477"/>
      <c r="R735" s="477"/>
      <c r="S735" s="477"/>
      <c r="T735" s="477"/>
      <c r="U735" s="477"/>
      <c r="V735" s="477"/>
      <c r="W735" s="477"/>
      <c r="X735" s="477"/>
      <c r="Y735" s="477"/>
      <c r="Z735" s="477"/>
    </row>
    <row r="736" spans="1:26" ht="15" customHeight="1" x14ac:dyDescent="0.35">
      <c r="A736" s="477"/>
      <c r="B736" s="477"/>
      <c r="C736" s="477"/>
      <c r="D736" s="477"/>
      <c r="E736" s="477"/>
      <c r="F736" s="477"/>
      <c r="G736" s="477"/>
      <c r="H736" s="477"/>
      <c r="I736" s="477"/>
      <c r="J736" s="477"/>
      <c r="K736" s="477"/>
      <c r="L736" s="477"/>
      <c r="M736" s="477"/>
      <c r="N736" s="477"/>
      <c r="O736" s="477"/>
      <c r="P736" s="477"/>
      <c r="Q736" s="477"/>
      <c r="R736" s="477"/>
      <c r="S736" s="477"/>
      <c r="T736" s="477"/>
      <c r="U736" s="477"/>
      <c r="V736" s="477"/>
      <c r="W736" s="477"/>
      <c r="X736" s="477"/>
      <c r="Y736" s="477"/>
      <c r="Z736" s="477"/>
    </row>
    <row r="737" spans="1:26" ht="15" customHeight="1" x14ac:dyDescent="0.35">
      <c r="A737" s="477"/>
      <c r="B737" s="477"/>
      <c r="C737" s="477"/>
      <c r="D737" s="477"/>
      <c r="E737" s="477"/>
      <c r="F737" s="477"/>
      <c r="G737" s="477"/>
      <c r="H737" s="477"/>
      <c r="I737" s="477"/>
      <c r="J737" s="477"/>
      <c r="K737" s="477"/>
      <c r="L737" s="477"/>
      <c r="M737" s="477"/>
      <c r="N737" s="477"/>
      <c r="O737" s="477"/>
      <c r="P737" s="477"/>
      <c r="Q737" s="477"/>
      <c r="R737" s="477"/>
      <c r="S737" s="477"/>
      <c r="T737" s="477"/>
      <c r="U737" s="477"/>
      <c r="V737" s="477"/>
      <c r="W737" s="477"/>
      <c r="X737" s="477"/>
      <c r="Y737" s="477"/>
      <c r="Z737" s="477"/>
    </row>
    <row r="738" spans="1:26" ht="15" customHeight="1" x14ac:dyDescent="0.35">
      <c r="A738" s="477"/>
      <c r="B738" s="477"/>
      <c r="C738" s="477"/>
      <c r="D738" s="477"/>
      <c r="E738" s="477"/>
      <c r="F738" s="477"/>
      <c r="G738" s="477"/>
      <c r="H738" s="477"/>
      <c r="I738" s="477"/>
      <c r="J738" s="477"/>
      <c r="K738" s="477"/>
      <c r="L738" s="477"/>
      <c r="M738" s="477"/>
      <c r="N738" s="477"/>
      <c r="O738" s="477"/>
      <c r="P738" s="477"/>
      <c r="Q738" s="477"/>
      <c r="R738" s="477"/>
      <c r="S738" s="477"/>
      <c r="T738" s="477"/>
      <c r="U738" s="477"/>
      <c r="V738" s="477"/>
      <c r="W738" s="477"/>
      <c r="X738" s="477"/>
      <c r="Y738" s="477"/>
      <c r="Z738" s="477"/>
    </row>
    <row r="739" spans="1:26" ht="15" customHeight="1" x14ac:dyDescent="0.35">
      <c r="A739" s="477"/>
      <c r="B739" s="477"/>
      <c r="C739" s="477"/>
      <c r="D739" s="477"/>
      <c r="E739" s="477"/>
      <c r="F739" s="477"/>
      <c r="G739" s="477"/>
      <c r="H739" s="477"/>
      <c r="I739" s="477"/>
      <c r="J739" s="477"/>
      <c r="K739" s="477"/>
      <c r="L739" s="477"/>
      <c r="M739" s="477"/>
      <c r="N739" s="477"/>
      <c r="O739" s="477"/>
      <c r="P739" s="477"/>
      <c r="Q739" s="477"/>
      <c r="R739" s="477"/>
      <c r="S739" s="477"/>
      <c r="T739" s="477"/>
      <c r="U739" s="477"/>
      <c r="V739" s="477"/>
      <c r="W739" s="477"/>
      <c r="X739" s="477"/>
      <c r="Y739" s="477"/>
      <c r="Z739" s="477"/>
    </row>
    <row r="740" spans="1:26" ht="15" customHeight="1" x14ac:dyDescent="0.35">
      <c r="A740" s="477"/>
      <c r="B740" s="477"/>
      <c r="C740" s="477"/>
      <c r="D740" s="477"/>
      <c r="E740" s="477"/>
      <c r="F740" s="477"/>
      <c r="G740" s="477"/>
      <c r="H740" s="477"/>
      <c r="I740" s="477"/>
      <c r="J740" s="477"/>
      <c r="K740" s="477"/>
      <c r="L740" s="477"/>
      <c r="M740" s="477"/>
      <c r="N740" s="477"/>
      <c r="O740" s="477"/>
      <c r="P740" s="477"/>
      <c r="Q740" s="477"/>
      <c r="R740" s="477"/>
      <c r="S740" s="477"/>
      <c r="T740" s="477"/>
      <c r="U740" s="477"/>
      <c r="V740" s="477"/>
      <c r="W740" s="477"/>
      <c r="X740" s="477"/>
      <c r="Y740" s="477"/>
      <c r="Z740" s="477"/>
    </row>
    <row r="741" spans="1:26" ht="15" customHeight="1" x14ac:dyDescent="0.35">
      <c r="A741" s="477"/>
      <c r="B741" s="477"/>
      <c r="C741" s="477"/>
      <c r="D741" s="477"/>
      <c r="E741" s="477"/>
      <c r="F741" s="477"/>
      <c r="G741" s="477"/>
      <c r="H741" s="477"/>
      <c r="I741" s="477"/>
      <c r="J741" s="477"/>
      <c r="K741" s="477"/>
      <c r="L741" s="477"/>
      <c r="M741" s="477"/>
      <c r="N741" s="477"/>
      <c r="O741" s="477"/>
      <c r="P741" s="477"/>
      <c r="Q741" s="477"/>
      <c r="R741" s="477"/>
      <c r="S741" s="477"/>
      <c r="T741" s="477"/>
      <c r="U741" s="477"/>
      <c r="V741" s="477"/>
      <c r="W741" s="477"/>
      <c r="X741" s="477"/>
      <c r="Y741" s="477"/>
      <c r="Z741" s="477"/>
    </row>
    <row r="742" spans="1:26" ht="15" customHeight="1" x14ac:dyDescent="0.35">
      <c r="A742" s="477"/>
      <c r="B742" s="477"/>
      <c r="C742" s="477"/>
      <c r="D742" s="477"/>
      <c r="E742" s="477"/>
      <c r="F742" s="477"/>
      <c r="G742" s="477"/>
      <c r="H742" s="477"/>
      <c r="I742" s="477"/>
      <c r="J742" s="477"/>
      <c r="K742" s="477"/>
      <c r="L742" s="477"/>
      <c r="M742" s="477"/>
      <c r="N742" s="477"/>
      <c r="O742" s="477"/>
      <c r="P742" s="477"/>
      <c r="Q742" s="477"/>
      <c r="R742" s="477"/>
      <c r="S742" s="477"/>
      <c r="T742" s="477"/>
      <c r="U742" s="477"/>
      <c r="V742" s="477"/>
      <c r="W742" s="477"/>
      <c r="X742" s="477"/>
      <c r="Y742" s="477"/>
      <c r="Z742" s="477"/>
    </row>
    <row r="743" spans="1:26" ht="15" customHeight="1" x14ac:dyDescent="0.35">
      <c r="A743" s="477"/>
      <c r="B743" s="477"/>
      <c r="C743" s="477"/>
      <c r="D743" s="477"/>
      <c r="E743" s="477"/>
      <c r="F743" s="477"/>
      <c r="G743" s="477"/>
      <c r="H743" s="477"/>
      <c r="I743" s="477"/>
      <c r="J743" s="477"/>
      <c r="K743" s="477"/>
      <c r="L743" s="477"/>
      <c r="M743" s="477"/>
      <c r="N743" s="477"/>
      <c r="O743" s="477"/>
      <c r="P743" s="477"/>
      <c r="Q743" s="477"/>
      <c r="R743" s="477"/>
      <c r="S743" s="477"/>
      <c r="T743" s="477"/>
      <c r="U743" s="477"/>
      <c r="V743" s="477"/>
      <c r="W743" s="477"/>
      <c r="X743" s="477"/>
      <c r="Y743" s="477"/>
      <c r="Z743" s="477"/>
    </row>
    <row r="744" spans="1:26" ht="15" customHeight="1" x14ac:dyDescent="0.35">
      <c r="A744" s="477"/>
      <c r="B744" s="477"/>
      <c r="C744" s="477"/>
      <c r="D744" s="477"/>
      <c r="E744" s="477"/>
      <c r="F744" s="477"/>
      <c r="G744" s="477"/>
      <c r="H744" s="477"/>
      <c r="I744" s="477"/>
      <c r="J744" s="477"/>
      <c r="K744" s="477"/>
      <c r="L744" s="477"/>
      <c r="M744" s="477"/>
      <c r="N744" s="477"/>
      <c r="O744" s="477"/>
      <c r="P744" s="477"/>
      <c r="Q744" s="477"/>
      <c r="R744" s="477"/>
      <c r="S744" s="477"/>
      <c r="T744" s="477"/>
      <c r="U744" s="477"/>
      <c r="V744" s="477"/>
      <c r="W744" s="477"/>
      <c r="X744" s="477"/>
      <c r="Y744" s="477"/>
      <c r="Z744" s="477"/>
    </row>
    <row r="745" spans="1:26" ht="15" customHeight="1" x14ac:dyDescent="0.35">
      <c r="A745" s="477"/>
      <c r="B745" s="477"/>
      <c r="C745" s="477"/>
      <c r="D745" s="477"/>
      <c r="E745" s="477"/>
      <c r="F745" s="477"/>
      <c r="G745" s="477"/>
      <c r="H745" s="477"/>
      <c r="I745" s="477"/>
      <c r="J745" s="477"/>
      <c r="K745" s="477"/>
      <c r="L745" s="477"/>
      <c r="M745" s="477"/>
      <c r="N745" s="477"/>
      <c r="O745" s="477"/>
      <c r="P745" s="477"/>
      <c r="Q745" s="477"/>
      <c r="R745" s="477"/>
      <c r="S745" s="477"/>
      <c r="T745" s="477"/>
      <c r="U745" s="477"/>
      <c r="V745" s="477"/>
      <c r="W745" s="477"/>
      <c r="X745" s="477"/>
      <c r="Y745" s="477"/>
      <c r="Z745" s="477"/>
    </row>
    <row r="746" spans="1:26" ht="15" customHeight="1" x14ac:dyDescent="0.35">
      <c r="A746" s="477"/>
      <c r="B746" s="477"/>
      <c r="C746" s="477"/>
      <c r="D746" s="477"/>
      <c r="E746" s="477"/>
      <c r="F746" s="477"/>
      <c r="G746" s="477"/>
      <c r="H746" s="477"/>
      <c r="I746" s="477"/>
      <c r="J746" s="477"/>
      <c r="K746" s="477"/>
      <c r="L746" s="477"/>
      <c r="M746" s="477"/>
      <c r="N746" s="477"/>
      <c r="O746" s="477"/>
      <c r="P746" s="477"/>
      <c r="Q746" s="477"/>
      <c r="R746" s="477"/>
      <c r="S746" s="477"/>
      <c r="T746" s="477"/>
      <c r="U746" s="477"/>
      <c r="V746" s="477"/>
      <c r="W746" s="477"/>
      <c r="X746" s="477"/>
      <c r="Y746" s="477"/>
      <c r="Z746" s="477"/>
    </row>
    <row r="747" spans="1:26" ht="15" customHeight="1" x14ac:dyDescent="0.35">
      <c r="A747" s="477"/>
      <c r="B747" s="477"/>
      <c r="C747" s="477"/>
      <c r="D747" s="477"/>
      <c r="E747" s="477"/>
      <c r="F747" s="477"/>
      <c r="G747" s="477"/>
      <c r="H747" s="477"/>
      <c r="I747" s="477"/>
      <c r="J747" s="477"/>
      <c r="K747" s="477"/>
      <c r="L747" s="477"/>
      <c r="M747" s="477"/>
      <c r="N747" s="477"/>
      <c r="O747" s="477"/>
      <c r="P747" s="477"/>
      <c r="Q747" s="477"/>
      <c r="R747" s="477"/>
      <c r="S747" s="477"/>
      <c r="T747" s="477"/>
      <c r="U747" s="477"/>
      <c r="V747" s="477"/>
      <c r="W747" s="477"/>
      <c r="X747" s="477"/>
      <c r="Y747" s="477"/>
      <c r="Z747" s="477"/>
    </row>
    <row r="748" spans="1:26" ht="15" customHeight="1" x14ac:dyDescent="0.35">
      <c r="A748" s="477"/>
      <c r="B748" s="477"/>
      <c r="C748" s="477"/>
      <c r="D748" s="477"/>
      <c r="E748" s="477"/>
      <c r="F748" s="477"/>
      <c r="G748" s="477"/>
      <c r="H748" s="477"/>
      <c r="I748" s="477"/>
      <c r="J748" s="477"/>
      <c r="K748" s="477"/>
      <c r="L748" s="477"/>
      <c r="M748" s="477"/>
      <c r="N748" s="477"/>
      <c r="O748" s="477"/>
      <c r="P748" s="477"/>
      <c r="Q748" s="477"/>
      <c r="R748" s="477"/>
      <c r="S748" s="477"/>
      <c r="T748" s="477"/>
      <c r="U748" s="477"/>
      <c r="V748" s="477"/>
      <c r="W748" s="477"/>
      <c r="X748" s="477"/>
      <c r="Y748" s="477"/>
      <c r="Z748" s="477"/>
    </row>
    <row r="749" spans="1:26" ht="15" customHeight="1" x14ac:dyDescent="0.35">
      <c r="A749" s="477"/>
      <c r="B749" s="477"/>
      <c r="C749" s="477"/>
      <c r="D749" s="477"/>
      <c r="E749" s="477"/>
      <c r="F749" s="477"/>
      <c r="G749" s="477"/>
      <c r="H749" s="477"/>
      <c r="I749" s="477"/>
      <c r="J749" s="477"/>
      <c r="K749" s="477"/>
      <c r="L749" s="477"/>
      <c r="M749" s="477"/>
      <c r="N749" s="477"/>
      <c r="O749" s="477"/>
      <c r="P749" s="477"/>
      <c r="Q749" s="477"/>
      <c r="R749" s="477"/>
      <c r="S749" s="477"/>
      <c r="T749" s="477"/>
      <c r="U749" s="477"/>
      <c r="V749" s="477"/>
      <c r="W749" s="477"/>
      <c r="X749" s="477"/>
      <c r="Y749" s="477"/>
      <c r="Z749" s="477"/>
    </row>
    <row r="750" spans="1:26" ht="15" customHeight="1" x14ac:dyDescent="0.35">
      <c r="A750" s="477"/>
      <c r="B750" s="477"/>
      <c r="C750" s="477"/>
      <c r="D750" s="477"/>
      <c r="E750" s="477"/>
      <c r="F750" s="477"/>
      <c r="G750" s="477"/>
      <c r="H750" s="477"/>
      <c r="I750" s="477"/>
      <c r="J750" s="477"/>
      <c r="K750" s="477"/>
      <c r="L750" s="477"/>
      <c r="M750" s="477"/>
      <c r="N750" s="477"/>
      <c r="O750" s="477"/>
      <c r="P750" s="477"/>
      <c r="Q750" s="477"/>
      <c r="R750" s="477"/>
      <c r="S750" s="477"/>
      <c r="T750" s="477"/>
      <c r="U750" s="477"/>
      <c r="V750" s="477"/>
      <c r="W750" s="477"/>
      <c r="X750" s="477"/>
      <c r="Y750" s="477"/>
      <c r="Z750" s="477"/>
    </row>
    <row r="751" spans="1:26" ht="15" customHeight="1" x14ac:dyDescent="0.35">
      <c r="A751" s="477"/>
      <c r="B751" s="477"/>
      <c r="C751" s="477"/>
      <c r="D751" s="477"/>
      <c r="E751" s="477"/>
      <c r="F751" s="477"/>
      <c r="G751" s="477"/>
      <c r="H751" s="477"/>
      <c r="I751" s="477"/>
      <c r="J751" s="477"/>
      <c r="K751" s="477"/>
      <c r="L751" s="477"/>
      <c r="M751" s="477"/>
      <c r="N751" s="477"/>
      <c r="O751" s="477"/>
      <c r="P751" s="477"/>
      <c r="Q751" s="477"/>
      <c r="R751" s="477"/>
      <c r="S751" s="477"/>
      <c r="T751" s="477"/>
      <c r="U751" s="477"/>
      <c r="V751" s="477"/>
      <c r="W751" s="477"/>
      <c r="X751" s="477"/>
      <c r="Y751" s="477"/>
      <c r="Z751" s="477"/>
    </row>
    <row r="752" spans="1:26" ht="15" customHeight="1" x14ac:dyDescent="0.35">
      <c r="A752" s="477"/>
      <c r="B752" s="477"/>
      <c r="C752" s="477"/>
      <c r="D752" s="477"/>
      <c r="E752" s="477"/>
      <c r="F752" s="477"/>
      <c r="G752" s="477"/>
      <c r="H752" s="477"/>
      <c r="I752" s="477"/>
      <c r="J752" s="477"/>
      <c r="K752" s="477"/>
      <c r="L752" s="477"/>
      <c r="M752" s="477"/>
      <c r="N752" s="477"/>
      <c r="O752" s="477"/>
      <c r="P752" s="477"/>
      <c r="Q752" s="477"/>
      <c r="R752" s="477"/>
      <c r="S752" s="477"/>
      <c r="T752" s="477"/>
      <c r="U752" s="477"/>
      <c r="V752" s="477"/>
      <c r="W752" s="477"/>
      <c r="X752" s="477"/>
      <c r="Y752" s="477"/>
      <c r="Z752" s="477"/>
    </row>
    <row r="753" spans="1:26" ht="15" customHeight="1" x14ac:dyDescent="0.35">
      <c r="A753" s="477"/>
      <c r="B753" s="477"/>
      <c r="C753" s="477"/>
      <c r="D753" s="477"/>
      <c r="E753" s="477"/>
      <c r="F753" s="477"/>
      <c r="G753" s="477"/>
      <c r="H753" s="477"/>
      <c r="I753" s="477"/>
      <c r="J753" s="477"/>
      <c r="K753" s="477"/>
      <c r="L753" s="477"/>
      <c r="M753" s="477"/>
      <c r="N753" s="477"/>
      <c r="O753" s="477"/>
      <c r="P753" s="477"/>
      <c r="Q753" s="477"/>
      <c r="R753" s="477"/>
      <c r="S753" s="477"/>
      <c r="T753" s="477"/>
      <c r="U753" s="477"/>
      <c r="V753" s="477"/>
      <c r="W753" s="477"/>
      <c r="X753" s="477"/>
      <c r="Y753" s="477"/>
      <c r="Z753" s="477"/>
    </row>
    <row r="754" spans="1:26" ht="15" customHeight="1" x14ac:dyDescent="0.35">
      <c r="A754" s="477"/>
      <c r="B754" s="477"/>
      <c r="C754" s="477"/>
      <c r="D754" s="477"/>
      <c r="E754" s="477"/>
      <c r="F754" s="477"/>
      <c r="G754" s="477"/>
      <c r="H754" s="477"/>
      <c r="I754" s="477"/>
      <c r="J754" s="477"/>
      <c r="K754" s="477"/>
      <c r="L754" s="477"/>
      <c r="M754" s="477"/>
      <c r="N754" s="477"/>
      <c r="O754" s="477"/>
      <c r="P754" s="477"/>
      <c r="Q754" s="477"/>
      <c r="R754" s="477"/>
      <c r="S754" s="477"/>
      <c r="T754" s="477"/>
      <c r="U754" s="477"/>
      <c r="V754" s="477"/>
      <c r="W754" s="477"/>
      <c r="X754" s="477"/>
      <c r="Y754" s="477"/>
      <c r="Z754" s="477"/>
    </row>
    <row r="755" spans="1:26" ht="15" customHeight="1" x14ac:dyDescent="0.35">
      <c r="A755" s="477"/>
      <c r="B755" s="477"/>
      <c r="C755" s="477"/>
      <c r="D755" s="477"/>
      <c r="E755" s="477"/>
      <c r="F755" s="477"/>
      <c r="G755" s="477"/>
      <c r="H755" s="477"/>
      <c r="I755" s="477"/>
      <c r="J755" s="477"/>
      <c r="K755" s="477"/>
      <c r="L755" s="477"/>
      <c r="M755" s="477"/>
      <c r="N755" s="477"/>
      <c r="O755" s="477"/>
      <c r="P755" s="477"/>
      <c r="Q755" s="477"/>
      <c r="R755" s="477"/>
      <c r="S755" s="477"/>
      <c r="T755" s="477"/>
      <c r="U755" s="477"/>
      <c r="V755" s="477"/>
      <c r="W755" s="477"/>
      <c r="X755" s="477"/>
      <c r="Y755" s="477"/>
      <c r="Z755" s="477"/>
    </row>
    <row r="756" spans="1:26" ht="15" customHeight="1" x14ac:dyDescent="0.35">
      <c r="A756" s="477"/>
      <c r="B756" s="477"/>
      <c r="C756" s="477"/>
      <c r="D756" s="477"/>
      <c r="E756" s="477"/>
      <c r="F756" s="477"/>
      <c r="G756" s="477"/>
      <c r="H756" s="477"/>
      <c r="I756" s="477"/>
      <c r="J756" s="477"/>
      <c r="K756" s="477"/>
      <c r="L756" s="477"/>
      <c r="M756" s="477"/>
      <c r="N756" s="477"/>
      <c r="O756" s="477"/>
      <c r="P756" s="477"/>
      <c r="Q756" s="477"/>
      <c r="R756" s="477"/>
      <c r="S756" s="477"/>
      <c r="T756" s="477"/>
      <c r="U756" s="477"/>
      <c r="V756" s="477"/>
      <c r="W756" s="477"/>
      <c r="X756" s="477"/>
      <c r="Y756" s="477"/>
      <c r="Z756" s="477"/>
    </row>
    <row r="757" spans="1:26" ht="15" customHeight="1" x14ac:dyDescent="0.35">
      <c r="A757" s="477"/>
      <c r="B757" s="477"/>
      <c r="C757" s="477"/>
      <c r="D757" s="477"/>
      <c r="E757" s="477"/>
      <c r="F757" s="477"/>
      <c r="G757" s="477"/>
      <c r="H757" s="477"/>
      <c r="I757" s="477"/>
      <c r="J757" s="477"/>
      <c r="K757" s="477"/>
      <c r="L757" s="477"/>
      <c r="M757" s="477"/>
      <c r="N757" s="477"/>
      <c r="O757" s="477"/>
      <c r="P757" s="477"/>
      <c r="Q757" s="477"/>
      <c r="R757" s="477"/>
      <c r="S757" s="477"/>
      <c r="T757" s="477"/>
      <c r="U757" s="477"/>
      <c r="V757" s="477"/>
      <c r="W757" s="477"/>
      <c r="X757" s="477"/>
      <c r="Y757" s="477"/>
      <c r="Z757" s="477"/>
    </row>
    <row r="758" spans="1:26" ht="15" customHeight="1" x14ac:dyDescent="0.35">
      <c r="A758" s="477"/>
      <c r="B758" s="477"/>
      <c r="C758" s="477"/>
      <c r="D758" s="477"/>
      <c r="E758" s="477"/>
      <c r="F758" s="477"/>
      <c r="G758" s="477"/>
      <c r="H758" s="477"/>
      <c r="I758" s="477"/>
      <c r="J758" s="477"/>
      <c r="K758" s="477"/>
      <c r="L758" s="477"/>
      <c r="M758" s="477"/>
      <c r="N758" s="477"/>
      <c r="O758" s="477"/>
      <c r="P758" s="477"/>
      <c r="Q758" s="477"/>
      <c r="R758" s="477"/>
      <c r="S758" s="477"/>
      <c r="T758" s="477"/>
      <c r="U758" s="477"/>
      <c r="V758" s="477"/>
      <c r="W758" s="477"/>
      <c r="X758" s="477"/>
      <c r="Y758" s="477"/>
      <c r="Z758" s="477"/>
    </row>
    <row r="759" spans="1:26" ht="15" customHeight="1" x14ac:dyDescent="0.35">
      <c r="A759" s="477"/>
      <c r="B759" s="477"/>
      <c r="C759" s="477"/>
      <c r="D759" s="477"/>
      <c r="E759" s="477"/>
      <c r="F759" s="477"/>
      <c r="G759" s="477"/>
      <c r="H759" s="477"/>
      <c r="I759" s="477"/>
      <c r="J759" s="477"/>
      <c r="K759" s="477"/>
      <c r="L759" s="477"/>
      <c r="M759" s="477"/>
      <c r="N759" s="477"/>
      <c r="O759" s="477"/>
      <c r="P759" s="477"/>
      <c r="Q759" s="477"/>
      <c r="R759" s="477"/>
      <c r="S759" s="477"/>
      <c r="T759" s="477"/>
      <c r="U759" s="477"/>
      <c r="V759" s="477"/>
      <c r="W759" s="477"/>
      <c r="X759" s="477"/>
      <c r="Y759" s="477"/>
      <c r="Z759" s="477"/>
    </row>
    <row r="760" spans="1:26" ht="15" customHeight="1" x14ac:dyDescent="0.35">
      <c r="A760" s="477"/>
      <c r="B760" s="477"/>
      <c r="C760" s="477"/>
      <c r="D760" s="477"/>
      <c r="E760" s="477"/>
      <c r="F760" s="477"/>
      <c r="G760" s="477"/>
      <c r="H760" s="477"/>
      <c r="I760" s="477"/>
      <c r="J760" s="477"/>
      <c r="K760" s="477"/>
      <c r="L760" s="477"/>
      <c r="M760" s="477"/>
      <c r="N760" s="477"/>
      <c r="O760" s="477"/>
      <c r="P760" s="477"/>
      <c r="Q760" s="477"/>
      <c r="R760" s="477"/>
      <c r="S760" s="477"/>
      <c r="T760" s="477"/>
      <c r="U760" s="477"/>
      <c r="V760" s="477"/>
      <c r="W760" s="477"/>
      <c r="X760" s="477"/>
      <c r="Y760" s="477"/>
      <c r="Z760" s="477"/>
    </row>
    <row r="761" spans="1:26" ht="15" customHeight="1" x14ac:dyDescent="0.35">
      <c r="A761" s="477"/>
      <c r="B761" s="477"/>
      <c r="C761" s="477"/>
      <c r="D761" s="477"/>
      <c r="E761" s="477"/>
      <c r="F761" s="477"/>
      <c r="G761" s="477"/>
      <c r="H761" s="477"/>
      <c r="I761" s="477"/>
      <c r="J761" s="477"/>
      <c r="K761" s="477"/>
      <c r="L761" s="477"/>
      <c r="M761" s="477"/>
      <c r="N761" s="477"/>
      <c r="O761" s="477"/>
      <c r="P761" s="477"/>
      <c r="Q761" s="477"/>
      <c r="R761" s="477"/>
      <c r="S761" s="477"/>
      <c r="T761" s="477"/>
      <c r="U761" s="477"/>
      <c r="V761" s="477"/>
      <c r="W761" s="477"/>
      <c r="X761" s="477"/>
      <c r="Y761" s="477"/>
      <c r="Z761" s="477"/>
    </row>
    <row r="762" spans="1:26" ht="15" customHeight="1" x14ac:dyDescent="0.35">
      <c r="A762" s="477"/>
      <c r="B762" s="477"/>
      <c r="C762" s="477"/>
      <c r="D762" s="477"/>
      <c r="E762" s="477"/>
      <c r="F762" s="477"/>
      <c r="G762" s="477"/>
      <c r="H762" s="477"/>
      <c r="I762" s="477"/>
      <c r="J762" s="477"/>
      <c r="K762" s="477"/>
      <c r="L762" s="477"/>
      <c r="M762" s="477"/>
      <c r="N762" s="477"/>
      <c r="O762" s="477"/>
      <c r="P762" s="477"/>
      <c r="Q762" s="477"/>
      <c r="R762" s="477"/>
      <c r="S762" s="477"/>
      <c r="T762" s="477"/>
      <c r="U762" s="477"/>
      <c r="V762" s="477"/>
      <c r="W762" s="477"/>
      <c r="X762" s="477"/>
      <c r="Y762" s="477"/>
      <c r="Z762" s="477"/>
    </row>
    <row r="763" spans="1:26" ht="15" customHeight="1" x14ac:dyDescent="0.35">
      <c r="A763" s="477"/>
      <c r="B763" s="477"/>
      <c r="C763" s="477"/>
      <c r="D763" s="477"/>
      <c r="E763" s="477"/>
      <c r="F763" s="477"/>
      <c r="G763" s="477"/>
      <c r="H763" s="477"/>
      <c r="I763" s="477"/>
      <c r="J763" s="477"/>
      <c r="K763" s="477"/>
      <c r="L763" s="477"/>
      <c r="M763" s="477"/>
      <c r="N763" s="477"/>
      <c r="O763" s="477"/>
      <c r="P763" s="477"/>
      <c r="Q763" s="477"/>
      <c r="R763" s="477"/>
      <c r="S763" s="477"/>
      <c r="T763" s="477"/>
      <c r="U763" s="477"/>
      <c r="V763" s="477"/>
      <c r="W763" s="477"/>
      <c r="X763" s="477"/>
      <c r="Y763" s="477"/>
      <c r="Z763" s="477"/>
    </row>
    <row r="764" spans="1:26" ht="15" customHeight="1" x14ac:dyDescent="0.35">
      <c r="A764" s="477"/>
      <c r="B764" s="477"/>
      <c r="C764" s="477"/>
      <c r="D764" s="477"/>
      <c r="E764" s="477"/>
      <c r="F764" s="477"/>
      <c r="G764" s="477"/>
      <c r="H764" s="477"/>
      <c r="I764" s="477"/>
      <c r="J764" s="477"/>
      <c r="K764" s="477"/>
      <c r="L764" s="477"/>
      <c r="M764" s="477"/>
      <c r="N764" s="477"/>
      <c r="O764" s="477"/>
      <c r="P764" s="477"/>
      <c r="Q764" s="477"/>
      <c r="R764" s="477"/>
      <c r="S764" s="477"/>
      <c r="T764" s="477"/>
      <c r="U764" s="477"/>
      <c r="V764" s="477"/>
      <c r="W764" s="477"/>
      <c r="X764" s="477"/>
      <c r="Y764" s="477"/>
      <c r="Z764" s="477"/>
    </row>
    <row r="765" spans="1:26" ht="15" customHeight="1" x14ac:dyDescent="0.35">
      <c r="A765" s="477"/>
      <c r="B765" s="477"/>
      <c r="C765" s="477"/>
      <c r="D765" s="477"/>
      <c r="E765" s="477"/>
      <c r="F765" s="477"/>
      <c r="G765" s="477"/>
      <c r="H765" s="477"/>
      <c r="I765" s="477"/>
      <c r="J765" s="477"/>
      <c r="K765" s="477"/>
      <c r="L765" s="477"/>
      <c r="M765" s="477"/>
      <c r="N765" s="477"/>
      <c r="O765" s="477"/>
      <c r="P765" s="477"/>
      <c r="Q765" s="477"/>
      <c r="R765" s="477"/>
      <c r="S765" s="477"/>
      <c r="T765" s="477"/>
      <c r="U765" s="477"/>
      <c r="V765" s="477"/>
      <c r="W765" s="477"/>
      <c r="X765" s="477"/>
      <c r="Y765" s="477"/>
      <c r="Z765" s="477"/>
    </row>
    <row r="766" spans="1:26" ht="15" customHeight="1" x14ac:dyDescent="0.35">
      <c r="A766" s="477"/>
      <c r="B766" s="477"/>
      <c r="C766" s="477"/>
      <c r="D766" s="477"/>
      <c r="E766" s="477"/>
      <c r="F766" s="477"/>
      <c r="G766" s="477"/>
      <c r="H766" s="477"/>
      <c r="I766" s="477"/>
      <c r="J766" s="477"/>
      <c r="K766" s="477"/>
      <c r="L766" s="477"/>
      <c r="M766" s="477"/>
      <c r="N766" s="477"/>
      <c r="O766" s="477"/>
      <c r="P766" s="477"/>
      <c r="Q766" s="477"/>
      <c r="R766" s="477"/>
      <c r="S766" s="477"/>
      <c r="T766" s="477"/>
      <c r="U766" s="477"/>
      <c r="V766" s="477"/>
      <c r="W766" s="477"/>
      <c r="X766" s="477"/>
      <c r="Y766" s="477"/>
      <c r="Z766" s="477"/>
    </row>
    <row r="767" spans="1:26" ht="15" customHeight="1" x14ac:dyDescent="0.35">
      <c r="A767" s="477"/>
      <c r="B767" s="477"/>
      <c r="C767" s="477"/>
      <c r="D767" s="477"/>
      <c r="E767" s="477"/>
      <c r="F767" s="477"/>
      <c r="G767" s="477"/>
      <c r="H767" s="477"/>
      <c r="I767" s="477"/>
      <c r="J767" s="477"/>
      <c r="K767" s="477"/>
      <c r="L767" s="477"/>
      <c r="M767" s="477"/>
      <c r="N767" s="477"/>
      <c r="O767" s="477"/>
      <c r="P767" s="477"/>
      <c r="Q767" s="477"/>
      <c r="R767" s="477"/>
      <c r="S767" s="477"/>
      <c r="T767" s="477"/>
      <c r="U767" s="477"/>
      <c r="V767" s="477"/>
      <c r="W767" s="477"/>
      <c r="X767" s="477"/>
      <c r="Y767" s="477"/>
      <c r="Z767" s="477"/>
    </row>
    <row r="768" spans="1:26" ht="15" customHeight="1" x14ac:dyDescent="0.35">
      <c r="A768" s="477"/>
      <c r="B768" s="477"/>
      <c r="C768" s="477"/>
      <c r="D768" s="477"/>
      <c r="E768" s="477"/>
      <c r="F768" s="477"/>
      <c r="G768" s="477"/>
      <c r="H768" s="477"/>
      <c r="I768" s="477"/>
      <c r="J768" s="477"/>
      <c r="K768" s="477"/>
      <c r="L768" s="477"/>
      <c r="M768" s="477"/>
      <c r="N768" s="477"/>
      <c r="O768" s="477"/>
      <c r="P768" s="477"/>
      <c r="Q768" s="477"/>
      <c r="R768" s="477"/>
      <c r="S768" s="477"/>
      <c r="T768" s="477"/>
      <c r="U768" s="477"/>
      <c r="V768" s="477"/>
      <c r="W768" s="477"/>
      <c r="X768" s="477"/>
      <c r="Y768" s="477"/>
      <c r="Z768" s="477"/>
    </row>
    <row r="769" spans="1:26" ht="15" customHeight="1" x14ac:dyDescent="0.35">
      <c r="A769" s="477"/>
      <c r="B769" s="477"/>
      <c r="C769" s="477"/>
      <c r="D769" s="477"/>
      <c r="E769" s="477"/>
      <c r="F769" s="477"/>
      <c r="G769" s="477"/>
      <c r="H769" s="477"/>
      <c r="I769" s="477"/>
      <c r="J769" s="477"/>
      <c r="K769" s="477"/>
      <c r="L769" s="477"/>
      <c r="M769" s="477"/>
      <c r="N769" s="477"/>
      <c r="O769" s="477"/>
      <c r="P769" s="477"/>
      <c r="Q769" s="477"/>
      <c r="R769" s="477"/>
      <c r="S769" s="477"/>
      <c r="T769" s="477"/>
      <c r="U769" s="477"/>
      <c r="V769" s="477"/>
      <c r="W769" s="477"/>
      <c r="X769" s="477"/>
      <c r="Y769" s="477"/>
      <c r="Z769" s="477"/>
    </row>
    <row r="770" spans="1:26" ht="15" customHeight="1" x14ac:dyDescent="0.35">
      <c r="A770" s="477"/>
      <c r="B770" s="477"/>
      <c r="C770" s="477"/>
      <c r="D770" s="477"/>
      <c r="E770" s="477"/>
      <c r="F770" s="477"/>
      <c r="G770" s="477"/>
      <c r="H770" s="477"/>
      <c r="I770" s="477"/>
      <c r="J770" s="477"/>
      <c r="K770" s="477"/>
      <c r="L770" s="477"/>
      <c r="M770" s="477"/>
      <c r="N770" s="477"/>
      <c r="O770" s="477"/>
      <c r="P770" s="477"/>
      <c r="Q770" s="477"/>
      <c r="R770" s="477"/>
      <c r="S770" s="477"/>
      <c r="T770" s="477"/>
      <c r="U770" s="477"/>
      <c r="V770" s="477"/>
      <c r="W770" s="477"/>
      <c r="X770" s="477"/>
      <c r="Y770" s="477"/>
      <c r="Z770" s="477"/>
    </row>
    <row r="771" spans="1:26" ht="15" customHeight="1" x14ac:dyDescent="0.35">
      <c r="A771" s="477"/>
      <c r="B771" s="477"/>
      <c r="C771" s="477"/>
      <c r="D771" s="477"/>
      <c r="E771" s="477"/>
      <c r="F771" s="477"/>
      <c r="G771" s="477"/>
      <c r="H771" s="477"/>
      <c r="I771" s="477"/>
      <c r="J771" s="477"/>
      <c r="K771" s="477"/>
      <c r="L771" s="477"/>
      <c r="M771" s="477"/>
      <c r="N771" s="477"/>
      <c r="O771" s="477"/>
      <c r="P771" s="477"/>
      <c r="Q771" s="477"/>
      <c r="R771" s="477"/>
      <c r="S771" s="477"/>
      <c r="T771" s="477"/>
      <c r="U771" s="477"/>
      <c r="V771" s="477"/>
      <c r="W771" s="477"/>
      <c r="X771" s="477"/>
      <c r="Y771" s="477"/>
      <c r="Z771" s="477"/>
    </row>
    <row r="772" spans="1:26" ht="15" customHeight="1" x14ac:dyDescent="0.35">
      <c r="A772" s="477"/>
      <c r="B772" s="477"/>
      <c r="C772" s="477"/>
      <c r="D772" s="477"/>
      <c r="E772" s="477"/>
      <c r="F772" s="477"/>
      <c r="G772" s="477"/>
      <c r="H772" s="477"/>
      <c r="I772" s="477"/>
      <c r="J772" s="477"/>
      <c r="K772" s="477"/>
      <c r="L772" s="477"/>
      <c r="M772" s="477"/>
      <c r="N772" s="477"/>
      <c r="O772" s="477"/>
      <c r="P772" s="477"/>
      <c r="Q772" s="477"/>
      <c r="R772" s="477"/>
      <c r="S772" s="477"/>
      <c r="T772" s="477"/>
      <c r="U772" s="477"/>
      <c r="V772" s="477"/>
      <c r="W772" s="477"/>
      <c r="X772" s="477"/>
      <c r="Y772" s="477"/>
      <c r="Z772" s="477"/>
    </row>
    <row r="773" spans="1:26" ht="15" customHeight="1" x14ac:dyDescent="0.35">
      <c r="A773" s="477"/>
      <c r="B773" s="477"/>
      <c r="C773" s="477"/>
      <c r="D773" s="477"/>
      <c r="E773" s="477"/>
      <c r="F773" s="477"/>
      <c r="G773" s="477"/>
      <c r="H773" s="477"/>
      <c r="I773" s="477"/>
      <c r="J773" s="477"/>
      <c r="K773" s="477"/>
      <c r="L773" s="477"/>
      <c r="M773" s="477"/>
      <c r="N773" s="477"/>
      <c r="O773" s="477"/>
      <c r="P773" s="477"/>
      <c r="Q773" s="477"/>
      <c r="R773" s="477"/>
      <c r="S773" s="477"/>
      <c r="T773" s="477"/>
      <c r="U773" s="477"/>
      <c r="V773" s="477"/>
      <c r="W773" s="477"/>
      <c r="X773" s="477"/>
      <c r="Y773" s="477"/>
      <c r="Z773" s="477"/>
    </row>
    <row r="774" spans="1:26" ht="15" customHeight="1" x14ac:dyDescent="0.35">
      <c r="A774" s="477"/>
      <c r="B774" s="477"/>
      <c r="C774" s="477"/>
      <c r="D774" s="477"/>
      <c r="E774" s="477"/>
      <c r="F774" s="477"/>
      <c r="G774" s="477"/>
      <c r="H774" s="477"/>
      <c r="I774" s="477"/>
      <c r="J774" s="477"/>
      <c r="K774" s="477"/>
      <c r="L774" s="477"/>
      <c r="M774" s="477"/>
      <c r="N774" s="477"/>
      <c r="O774" s="477"/>
      <c r="P774" s="477"/>
      <c r="Q774" s="477"/>
      <c r="R774" s="477"/>
      <c r="S774" s="477"/>
      <c r="T774" s="477"/>
      <c r="U774" s="477"/>
      <c r="V774" s="477"/>
      <c r="W774" s="477"/>
      <c r="X774" s="477"/>
      <c r="Y774" s="477"/>
      <c r="Z774" s="477"/>
    </row>
    <row r="775" spans="1:26" ht="15" customHeight="1" x14ac:dyDescent="0.35">
      <c r="A775" s="477"/>
      <c r="B775" s="477"/>
      <c r="C775" s="477"/>
      <c r="D775" s="477"/>
      <c r="E775" s="477"/>
      <c r="F775" s="477"/>
      <c r="G775" s="477"/>
      <c r="H775" s="477"/>
      <c r="I775" s="477"/>
      <c r="J775" s="477"/>
      <c r="K775" s="477"/>
      <c r="L775" s="477"/>
      <c r="M775" s="477"/>
      <c r="N775" s="477"/>
      <c r="O775" s="477"/>
      <c r="P775" s="477"/>
      <c r="Q775" s="477"/>
      <c r="R775" s="477"/>
      <c r="S775" s="477"/>
      <c r="T775" s="477"/>
      <c r="U775" s="477"/>
      <c r="V775" s="477"/>
      <c r="W775" s="477"/>
      <c r="X775" s="477"/>
      <c r="Y775" s="477"/>
      <c r="Z775" s="477"/>
    </row>
    <row r="776" spans="1:26" ht="15" customHeight="1" x14ac:dyDescent="0.35">
      <c r="A776" s="477"/>
      <c r="B776" s="477"/>
      <c r="C776" s="477"/>
      <c r="D776" s="477"/>
      <c r="E776" s="477"/>
      <c r="F776" s="477"/>
      <c r="G776" s="477"/>
      <c r="H776" s="477"/>
      <c r="I776" s="477"/>
      <c r="J776" s="477"/>
      <c r="K776" s="477"/>
      <c r="L776" s="477"/>
      <c r="M776" s="477"/>
      <c r="N776" s="477"/>
      <c r="O776" s="477"/>
      <c r="P776" s="477"/>
      <c r="Q776" s="477"/>
      <c r="R776" s="477"/>
      <c r="S776" s="477"/>
      <c r="T776" s="477"/>
      <c r="U776" s="477"/>
      <c r="V776" s="477"/>
      <c r="W776" s="477"/>
      <c r="X776" s="477"/>
      <c r="Y776" s="477"/>
      <c r="Z776" s="477"/>
    </row>
    <row r="777" spans="1:26" ht="15" customHeight="1" x14ac:dyDescent="0.35">
      <c r="A777" s="477"/>
      <c r="B777" s="477"/>
      <c r="C777" s="477"/>
      <c r="D777" s="477"/>
      <c r="E777" s="477"/>
      <c r="F777" s="477"/>
      <c r="G777" s="477"/>
      <c r="H777" s="477"/>
      <c r="I777" s="477"/>
      <c r="J777" s="477"/>
      <c r="K777" s="477"/>
      <c r="L777" s="477"/>
      <c r="M777" s="477"/>
      <c r="N777" s="477"/>
      <c r="O777" s="477"/>
      <c r="P777" s="477"/>
      <c r="Q777" s="477"/>
      <c r="R777" s="477"/>
      <c r="S777" s="477"/>
      <c r="T777" s="477"/>
      <c r="U777" s="477"/>
      <c r="V777" s="477"/>
      <c r="W777" s="477"/>
      <c r="X777" s="477"/>
      <c r="Y777" s="477"/>
      <c r="Z777" s="477"/>
    </row>
    <row r="778" spans="1:26" ht="15" customHeight="1" x14ac:dyDescent="0.35">
      <c r="A778" s="477"/>
      <c r="B778" s="477"/>
      <c r="C778" s="477"/>
      <c r="D778" s="477"/>
      <c r="E778" s="477"/>
      <c r="F778" s="477"/>
      <c r="G778" s="477"/>
      <c r="H778" s="477"/>
      <c r="I778" s="477"/>
      <c r="J778" s="477"/>
      <c r="K778" s="477"/>
      <c r="L778" s="477"/>
      <c r="M778" s="477"/>
      <c r="N778" s="477"/>
      <c r="O778" s="477"/>
      <c r="P778" s="477"/>
      <c r="Q778" s="477"/>
      <c r="R778" s="477"/>
      <c r="S778" s="477"/>
      <c r="T778" s="477"/>
      <c r="U778" s="477"/>
      <c r="V778" s="477"/>
      <c r="W778" s="477"/>
      <c r="X778" s="477"/>
      <c r="Y778" s="477"/>
      <c r="Z778" s="477"/>
    </row>
    <row r="779" spans="1:26" ht="15" customHeight="1" x14ac:dyDescent="0.35">
      <c r="A779" s="477"/>
      <c r="B779" s="477"/>
      <c r="C779" s="477"/>
      <c r="D779" s="477"/>
      <c r="E779" s="477"/>
      <c r="F779" s="477"/>
      <c r="G779" s="477"/>
      <c r="H779" s="477"/>
      <c r="I779" s="477"/>
      <c r="J779" s="477"/>
      <c r="K779" s="477"/>
      <c r="L779" s="477"/>
      <c r="M779" s="477"/>
      <c r="N779" s="477"/>
      <c r="O779" s="477"/>
      <c r="P779" s="477"/>
      <c r="Q779" s="477"/>
      <c r="R779" s="477"/>
      <c r="S779" s="477"/>
      <c r="T779" s="477"/>
      <c r="U779" s="477"/>
      <c r="V779" s="477"/>
      <c r="W779" s="477"/>
      <c r="X779" s="477"/>
      <c r="Y779" s="477"/>
      <c r="Z779" s="477"/>
    </row>
    <row r="780" spans="1:26" ht="15" customHeight="1" x14ac:dyDescent="0.35">
      <c r="A780" s="477"/>
      <c r="B780" s="477"/>
      <c r="C780" s="477"/>
      <c r="D780" s="477"/>
      <c r="E780" s="477"/>
      <c r="F780" s="477"/>
      <c r="G780" s="477"/>
      <c r="H780" s="477"/>
      <c r="I780" s="477"/>
      <c r="J780" s="477"/>
      <c r="K780" s="477"/>
      <c r="L780" s="477"/>
      <c r="M780" s="477"/>
      <c r="N780" s="477"/>
      <c r="O780" s="477"/>
      <c r="P780" s="477"/>
      <c r="Q780" s="477"/>
      <c r="R780" s="477"/>
      <c r="S780" s="477"/>
      <c r="T780" s="477"/>
      <c r="U780" s="477"/>
      <c r="V780" s="477"/>
      <c r="W780" s="477"/>
      <c r="X780" s="477"/>
      <c r="Y780" s="477"/>
      <c r="Z780" s="477"/>
    </row>
    <row r="781" spans="1:26" ht="15" customHeight="1" x14ac:dyDescent="0.35">
      <c r="A781" s="477"/>
      <c r="B781" s="477"/>
      <c r="C781" s="477"/>
      <c r="D781" s="477"/>
      <c r="E781" s="477"/>
      <c r="F781" s="477"/>
      <c r="G781" s="477"/>
      <c r="H781" s="477"/>
      <c r="I781" s="477"/>
      <c r="J781" s="477"/>
      <c r="K781" s="477"/>
      <c r="L781" s="477"/>
      <c r="M781" s="477"/>
      <c r="N781" s="477"/>
      <c r="O781" s="477"/>
      <c r="P781" s="477"/>
      <c r="Q781" s="477"/>
      <c r="R781" s="477"/>
      <c r="S781" s="477"/>
      <c r="T781" s="477"/>
      <c r="U781" s="477"/>
      <c r="V781" s="477"/>
      <c r="W781" s="477"/>
      <c r="X781" s="477"/>
      <c r="Y781" s="477"/>
      <c r="Z781" s="477"/>
    </row>
    <row r="782" spans="1:26" ht="15" customHeight="1" x14ac:dyDescent="0.35">
      <c r="A782" s="477"/>
      <c r="B782" s="477"/>
      <c r="C782" s="477"/>
      <c r="D782" s="477"/>
      <c r="E782" s="477"/>
      <c r="F782" s="477"/>
      <c r="G782" s="477"/>
      <c r="H782" s="477"/>
      <c r="I782" s="477"/>
      <c r="J782" s="477"/>
      <c r="K782" s="477"/>
      <c r="L782" s="477"/>
      <c r="M782" s="477"/>
      <c r="N782" s="477"/>
      <c r="O782" s="477"/>
      <c r="P782" s="477"/>
      <c r="Q782" s="477"/>
      <c r="R782" s="477"/>
      <c r="S782" s="477"/>
      <c r="T782" s="477"/>
      <c r="U782" s="477"/>
      <c r="V782" s="477"/>
      <c r="W782" s="477"/>
      <c r="X782" s="477"/>
      <c r="Y782" s="477"/>
      <c r="Z782" s="477"/>
    </row>
    <row r="783" spans="1:26" ht="15" customHeight="1" x14ac:dyDescent="0.35">
      <c r="A783" s="477"/>
      <c r="B783" s="477"/>
      <c r="C783" s="477"/>
      <c r="D783" s="477"/>
      <c r="E783" s="477"/>
      <c r="F783" s="477"/>
      <c r="G783" s="477"/>
      <c r="H783" s="477"/>
      <c r="I783" s="477"/>
      <c r="J783" s="477"/>
      <c r="K783" s="477"/>
      <c r="L783" s="477"/>
      <c r="M783" s="477"/>
      <c r="N783" s="477"/>
      <c r="O783" s="477"/>
      <c r="P783" s="477"/>
      <c r="Q783" s="477"/>
      <c r="R783" s="477"/>
      <c r="S783" s="477"/>
      <c r="T783" s="477"/>
      <c r="U783" s="477"/>
      <c r="V783" s="477"/>
      <c r="W783" s="477"/>
      <c r="X783" s="477"/>
      <c r="Y783" s="477"/>
      <c r="Z783" s="477"/>
    </row>
    <row r="784" spans="1:26" ht="15" customHeight="1" x14ac:dyDescent="0.35">
      <c r="A784" s="477"/>
      <c r="B784" s="477"/>
      <c r="C784" s="477"/>
      <c r="D784" s="477"/>
      <c r="E784" s="477"/>
      <c r="F784" s="477"/>
      <c r="G784" s="477"/>
      <c r="H784" s="477"/>
      <c r="I784" s="477"/>
      <c r="J784" s="477"/>
      <c r="K784" s="477"/>
      <c r="L784" s="477"/>
      <c r="M784" s="477"/>
      <c r="N784" s="477"/>
      <c r="O784" s="477"/>
      <c r="P784" s="477"/>
      <c r="Q784" s="477"/>
      <c r="R784" s="477"/>
      <c r="S784" s="477"/>
      <c r="T784" s="477"/>
      <c r="U784" s="477"/>
      <c r="V784" s="477"/>
      <c r="W784" s="477"/>
      <c r="X784" s="477"/>
      <c r="Y784" s="477"/>
      <c r="Z784" s="477"/>
    </row>
    <row r="785" spans="1:26" ht="15" customHeight="1" x14ac:dyDescent="0.35">
      <c r="A785" s="477"/>
      <c r="B785" s="477"/>
      <c r="C785" s="477"/>
      <c r="D785" s="477"/>
      <c r="E785" s="477"/>
      <c r="F785" s="477"/>
      <c r="G785" s="477"/>
      <c r="H785" s="477"/>
      <c r="I785" s="477"/>
      <c r="J785" s="477"/>
      <c r="K785" s="477"/>
      <c r="L785" s="477"/>
      <c r="M785" s="477"/>
      <c r="N785" s="477"/>
      <c r="O785" s="477"/>
      <c r="P785" s="477"/>
      <c r="Q785" s="477"/>
      <c r="R785" s="477"/>
      <c r="S785" s="477"/>
      <c r="T785" s="477"/>
      <c r="U785" s="477"/>
      <c r="V785" s="477"/>
      <c r="W785" s="477"/>
      <c r="X785" s="477"/>
      <c r="Y785" s="477"/>
      <c r="Z785" s="477"/>
    </row>
    <row r="786" spans="1:26" ht="15" customHeight="1" x14ac:dyDescent="0.35">
      <c r="A786" s="477"/>
      <c r="B786" s="477"/>
      <c r="C786" s="477"/>
      <c r="D786" s="477"/>
      <c r="E786" s="477"/>
      <c r="F786" s="477"/>
      <c r="G786" s="477"/>
      <c r="H786" s="477"/>
      <c r="I786" s="477"/>
      <c r="J786" s="477"/>
      <c r="K786" s="477"/>
      <c r="L786" s="477"/>
      <c r="M786" s="477"/>
      <c r="N786" s="477"/>
      <c r="O786" s="477"/>
      <c r="P786" s="477"/>
      <c r="Q786" s="477"/>
      <c r="R786" s="477"/>
      <c r="S786" s="477"/>
      <c r="T786" s="477"/>
      <c r="U786" s="477"/>
      <c r="V786" s="477"/>
      <c r="W786" s="477"/>
      <c r="X786" s="477"/>
      <c r="Y786" s="477"/>
      <c r="Z786" s="477"/>
    </row>
    <row r="787" spans="1:26" ht="15" customHeight="1" x14ac:dyDescent="0.35">
      <c r="A787" s="477"/>
      <c r="B787" s="477"/>
      <c r="C787" s="477"/>
      <c r="D787" s="477"/>
      <c r="E787" s="477"/>
      <c r="F787" s="477"/>
      <c r="G787" s="477"/>
      <c r="H787" s="477"/>
      <c r="I787" s="477"/>
      <c r="J787" s="477"/>
      <c r="K787" s="477"/>
      <c r="L787" s="477"/>
      <c r="M787" s="477"/>
      <c r="N787" s="477"/>
      <c r="O787" s="477"/>
      <c r="P787" s="477"/>
      <c r="Q787" s="477"/>
      <c r="R787" s="477"/>
      <c r="S787" s="477"/>
      <c r="T787" s="477"/>
      <c r="U787" s="477"/>
      <c r="V787" s="477"/>
      <c r="W787" s="477"/>
      <c r="X787" s="477"/>
      <c r="Y787" s="477"/>
      <c r="Z787" s="477"/>
    </row>
    <row r="788" spans="1:26" ht="15" customHeight="1" x14ac:dyDescent="0.35">
      <c r="A788" s="477"/>
      <c r="B788" s="477"/>
      <c r="C788" s="477"/>
      <c r="D788" s="477"/>
      <c r="E788" s="477"/>
      <c r="F788" s="477"/>
      <c r="G788" s="477"/>
      <c r="H788" s="477"/>
      <c r="I788" s="477"/>
      <c r="J788" s="477"/>
      <c r="K788" s="477"/>
      <c r="L788" s="477"/>
      <c r="M788" s="477"/>
      <c r="N788" s="477"/>
      <c r="O788" s="477"/>
      <c r="P788" s="477"/>
      <c r="Q788" s="477"/>
      <c r="R788" s="477"/>
      <c r="S788" s="477"/>
      <c r="T788" s="477"/>
      <c r="U788" s="477"/>
      <c r="V788" s="477"/>
      <c r="W788" s="477"/>
      <c r="X788" s="477"/>
      <c r="Y788" s="477"/>
      <c r="Z788" s="477"/>
    </row>
    <row r="789" spans="1:26" ht="15" customHeight="1" x14ac:dyDescent="0.35">
      <c r="A789" s="477"/>
      <c r="B789" s="477"/>
      <c r="C789" s="477"/>
      <c r="D789" s="477"/>
      <c r="E789" s="477"/>
      <c r="F789" s="477"/>
      <c r="G789" s="477"/>
      <c r="H789" s="477"/>
      <c r="I789" s="477"/>
      <c r="J789" s="477"/>
      <c r="K789" s="477"/>
      <c r="L789" s="477"/>
      <c r="M789" s="477"/>
      <c r="N789" s="477"/>
      <c r="O789" s="477"/>
      <c r="P789" s="477"/>
      <c r="Q789" s="477"/>
      <c r="R789" s="477"/>
      <c r="S789" s="477"/>
      <c r="T789" s="477"/>
      <c r="U789" s="477"/>
      <c r="V789" s="477"/>
      <c r="W789" s="477"/>
      <c r="X789" s="477"/>
      <c r="Y789" s="477"/>
      <c r="Z789" s="477"/>
    </row>
    <row r="790" spans="1:26" ht="15" customHeight="1" x14ac:dyDescent="0.35">
      <c r="A790" s="477"/>
      <c r="B790" s="477"/>
      <c r="C790" s="477"/>
      <c r="D790" s="477"/>
      <c r="E790" s="477"/>
      <c r="F790" s="477"/>
      <c r="G790" s="477"/>
      <c r="H790" s="477"/>
      <c r="I790" s="477"/>
      <c r="J790" s="477"/>
      <c r="K790" s="477"/>
      <c r="L790" s="477"/>
      <c r="M790" s="477"/>
      <c r="N790" s="477"/>
      <c r="O790" s="477"/>
      <c r="P790" s="477"/>
      <c r="Q790" s="477"/>
      <c r="R790" s="477"/>
      <c r="S790" s="477"/>
      <c r="T790" s="477"/>
      <c r="U790" s="477"/>
      <c r="V790" s="477"/>
      <c r="W790" s="477"/>
      <c r="X790" s="477"/>
      <c r="Y790" s="477"/>
      <c r="Z790" s="477"/>
    </row>
    <row r="791" spans="1:26" ht="15" customHeight="1" x14ac:dyDescent="0.35">
      <c r="A791" s="477"/>
      <c r="B791" s="477"/>
      <c r="C791" s="477"/>
      <c r="D791" s="477"/>
      <c r="E791" s="477"/>
      <c r="F791" s="477"/>
      <c r="G791" s="477"/>
      <c r="H791" s="477"/>
      <c r="I791" s="477"/>
      <c r="J791" s="477"/>
      <c r="K791" s="477"/>
      <c r="L791" s="477"/>
      <c r="M791" s="477"/>
      <c r="N791" s="477"/>
      <c r="O791" s="477"/>
      <c r="P791" s="477"/>
      <c r="Q791" s="477"/>
      <c r="R791" s="477"/>
      <c r="S791" s="477"/>
      <c r="T791" s="477"/>
      <c r="U791" s="477"/>
      <c r="V791" s="477"/>
      <c r="W791" s="477"/>
      <c r="X791" s="477"/>
      <c r="Y791" s="477"/>
      <c r="Z791" s="477"/>
    </row>
    <row r="792" spans="1:26" ht="15" customHeight="1" x14ac:dyDescent="0.35">
      <c r="A792" s="477"/>
      <c r="B792" s="477"/>
      <c r="C792" s="477"/>
      <c r="D792" s="477"/>
      <c r="E792" s="477"/>
      <c r="F792" s="477"/>
      <c r="G792" s="477"/>
      <c r="H792" s="477"/>
      <c r="I792" s="477"/>
      <c r="J792" s="477"/>
      <c r="K792" s="477"/>
      <c r="L792" s="477"/>
      <c r="M792" s="477"/>
      <c r="N792" s="477"/>
      <c r="O792" s="477"/>
      <c r="P792" s="477"/>
      <c r="Q792" s="477"/>
      <c r="R792" s="477"/>
      <c r="S792" s="477"/>
      <c r="T792" s="477"/>
      <c r="U792" s="477"/>
      <c r="V792" s="477"/>
      <c r="W792" s="477"/>
      <c r="X792" s="477"/>
      <c r="Y792" s="477"/>
      <c r="Z792" s="477"/>
    </row>
    <row r="793" spans="1:26" ht="15" customHeight="1" x14ac:dyDescent="0.35">
      <c r="A793" s="477"/>
      <c r="B793" s="477"/>
      <c r="C793" s="477"/>
      <c r="D793" s="477"/>
      <c r="E793" s="477"/>
      <c r="F793" s="477"/>
      <c r="G793" s="477"/>
      <c r="H793" s="477"/>
      <c r="I793" s="477"/>
      <c r="J793" s="477"/>
      <c r="K793" s="477"/>
      <c r="L793" s="477"/>
      <c r="M793" s="477"/>
      <c r="N793" s="477"/>
      <c r="O793" s="477"/>
      <c r="P793" s="477"/>
      <c r="Q793" s="477"/>
      <c r="R793" s="477"/>
      <c r="S793" s="477"/>
      <c r="T793" s="477"/>
      <c r="U793" s="477"/>
      <c r="V793" s="477"/>
      <c r="W793" s="477"/>
      <c r="X793" s="477"/>
      <c r="Y793" s="477"/>
      <c r="Z793" s="477"/>
    </row>
    <row r="794" spans="1:26" ht="15" customHeight="1" x14ac:dyDescent="0.35">
      <c r="A794" s="477"/>
      <c r="B794" s="477"/>
      <c r="C794" s="477"/>
      <c r="D794" s="477"/>
      <c r="E794" s="477"/>
      <c r="F794" s="477"/>
      <c r="G794" s="477"/>
      <c r="H794" s="477"/>
      <c r="I794" s="477"/>
      <c r="J794" s="477"/>
      <c r="K794" s="477"/>
      <c r="L794" s="477"/>
      <c r="M794" s="477"/>
      <c r="N794" s="477"/>
      <c r="O794" s="477"/>
      <c r="P794" s="477"/>
      <c r="Q794" s="477"/>
      <c r="R794" s="477"/>
      <c r="S794" s="477"/>
      <c r="T794" s="477"/>
      <c r="U794" s="477"/>
      <c r="V794" s="477"/>
      <c r="W794" s="477"/>
      <c r="X794" s="477"/>
      <c r="Y794" s="477"/>
      <c r="Z794" s="477"/>
    </row>
    <row r="795" spans="1:26" ht="15" customHeight="1" x14ac:dyDescent="0.35">
      <c r="A795" s="477"/>
      <c r="B795" s="477"/>
      <c r="C795" s="477"/>
      <c r="D795" s="477"/>
      <c r="E795" s="477"/>
      <c r="F795" s="477"/>
      <c r="G795" s="477"/>
      <c r="H795" s="477"/>
      <c r="I795" s="477"/>
      <c r="J795" s="477"/>
      <c r="K795" s="477"/>
      <c r="L795" s="477"/>
      <c r="M795" s="477"/>
      <c r="N795" s="477"/>
      <c r="O795" s="477"/>
      <c r="P795" s="477"/>
      <c r="Q795" s="477"/>
      <c r="R795" s="477"/>
      <c r="S795" s="477"/>
      <c r="T795" s="477"/>
      <c r="U795" s="477"/>
      <c r="V795" s="477"/>
      <c r="W795" s="477"/>
      <c r="X795" s="477"/>
      <c r="Y795" s="477"/>
      <c r="Z795" s="477"/>
    </row>
    <row r="796" spans="1:26" ht="15" customHeight="1" x14ac:dyDescent="0.35">
      <c r="A796" s="477"/>
      <c r="B796" s="477"/>
      <c r="C796" s="477"/>
      <c r="D796" s="477"/>
      <c r="E796" s="477"/>
      <c r="F796" s="477"/>
      <c r="G796" s="477"/>
      <c r="H796" s="477"/>
      <c r="I796" s="477"/>
      <c r="J796" s="477"/>
      <c r="K796" s="477"/>
      <c r="L796" s="477"/>
      <c r="M796" s="477"/>
      <c r="N796" s="477"/>
      <c r="O796" s="477"/>
      <c r="P796" s="477"/>
      <c r="Q796" s="477"/>
      <c r="R796" s="477"/>
      <c r="S796" s="477"/>
      <c r="T796" s="477"/>
      <c r="U796" s="477"/>
      <c r="V796" s="477"/>
      <c r="W796" s="477"/>
      <c r="X796" s="477"/>
      <c r="Y796" s="477"/>
      <c r="Z796" s="477"/>
    </row>
    <row r="797" spans="1:26" ht="15" customHeight="1" x14ac:dyDescent="0.35">
      <c r="A797" s="477"/>
      <c r="B797" s="477"/>
      <c r="C797" s="477"/>
      <c r="D797" s="477"/>
      <c r="E797" s="477"/>
      <c r="F797" s="477"/>
      <c r="G797" s="477"/>
      <c r="H797" s="477"/>
      <c r="I797" s="477"/>
      <c r="J797" s="477"/>
      <c r="K797" s="477"/>
      <c r="L797" s="477"/>
      <c r="M797" s="477"/>
      <c r="N797" s="477"/>
      <c r="O797" s="477"/>
      <c r="P797" s="477"/>
      <c r="Q797" s="477"/>
      <c r="R797" s="477"/>
      <c r="S797" s="477"/>
      <c r="T797" s="477"/>
      <c r="U797" s="477"/>
      <c r="V797" s="477"/>
      <c r="W797" s="477"/>
      <c r="X797" s="477"/>
      <c r="Y797" s="477"/>
      <c r="Z797" s="477"/>
    </row>
    <row r="798" spans="1:26" ht="15" customHeight="1" x14ac:dyDescent="0.35">
      <c r="A798" s="477"/>
      <c r="B798" s="477"/>
      <c r="C798" s="477"/>
      <c r="D798" s="477"/>
      <c r="E798" s="477"/>
      <c r="F798" s="477"/>
      <c r="G798" s="477"/>
      <c r="H798" s="477"/>
      <c r="I798" s="477"/>
      <c r="J798" s="477"/>
      <c r="K798" s="477"/>
      <c r="L798" s="477"/>
      <c r="M798" s="477"/>
      <c r="N798" s="477"/>
      <c r="O798" s="477"/>
      <c r="P798" s="477"/>
      <c r="Q798" s="477"/>
      <c r="R798" s="477"/>
      <c r="S798" s="477"/>
      <c r="T798" s="477"/>
      <c r="U798" s="477"/>
      <c r="V798" s="477"/>
      <c r="W798" s="477"/>
      <c r="X798" s="477"/>
      <c r="Y798" s="477"/>
      <c r="Z798" s="477"/>
    </row>
    <row r="799" spans="1:26" ht="15" customHeight="1" x14ac:dyDescent="0.35">
      <c r="A799" s="477"/>
      <c r="B799" s="477"/>
      <c r="C799" s="477"/>
      <c r="D799" s="477"/>
      <c r="E799" s="477"/>
      <c r="F799" s="477"/>
      <c r="G799" s="477"/>
      <c r="H799" s="477"/>
      <c r="I799" s="477"/>
      <c r="J799" s="477"/>
      <c r="K799" s="477"/>
      <c r="L799" s="477"/>
      <c r="M799" s="477"/>
      <c r="N799" s="477"/>
      <c r="O799" s="477"/>
      <c r="P799" s="477"/>
      <c r="Q799" s="477"/>
      <c r="R799" s="477"/>
      <c r="S799" s="477"/>
      <c r="T799" s="477"/>
      <c r="U799" s="477"/>
      <c r="V799" s="477"/>
      <c r="W799" s="477"/>
      <c r="X799" s="477"/>
      <c r="Y799" s="477"/>
      <c r="Z799" s="477"/>
    </row>
    <row r="800" spans="1:26" ht="15" customHeight="1" x14ac:dyDescent="0.35">
      <c r="A800" s="477"/>
      <c r="B800" s="477"/>
      <c r="C800" s="477"/>
      <c r="D800" s="477"/>
      <c r="E800" s="477"/>
      <c r="F800" s="477"/>
      <c r="G800" s="477"/>
      <c r="H800" s="477"/>
      <c r="I800" s="477"/>
      <c r="J800" s="477"/>
      <c r="K800" s="477"/>
      <c r="L800" s="477"/>
      <c r="M800" s="477"/>
      <c r="N800" s="477"/>
      <c r="O800" s="477"/>
      <c r="P800" s="477"/>
      <c r="Q800" s="477"/>
      <c r="R800" s="477"/>
      <c r="S800" s="477"/>
      <c r="T800" s="477"/>
      <c r="U800" s="477"/>
      <c r="V800" s="477"/>
      <c r="W800" s="477"/>
      <c r="X800" s="477"/>
      <c r="Y800" s="477"/>
      <c r="Z800" s="477"/>
    </row>
    <row r="801" spans="1:26" ht="15" customHeight="1" x14ac:dyDescent="0.35">
      <c r="A801" s="477"/>
      <c r="B801" s="477"/>
      <c r="C801" s="477"/>
      <c r="D801" s="477"/>
      <c r="E801" s="477"/>
      <c r="F801" s="477"/>
      <c r="G801" s="477"/>
      <c r="H801" s="477"/>
      <c r="I801" s="477"/>
      <c r="J801" s="477"/>
      <c r="K801" s="477"/>
      <c r="L801" s="477"/>
      <c r="M801" s="477"/>
      <c r="N801" s="477"/>
      <c r="O801" s="477"/>
      <c r="P801" s="477"/>
      <c r="Q801" s="477"/>
      <c r="R801" s="477"/>
      <c r="S801" s="477"/>
      <c r="T801" s="477"/>
      <c r="U801" s="477"/>
      <c r="V801" s="477"/>
      <c r="W801" s="477"/>
      <c r="X801" s="477"/>
      <c r="Y801" s="477"/>
      <c r="Z801" s="477"/>
    </row>
    <row r="802" spans="1:26" ht="15" customHeight="1" x14ac:dyDescent="0.35">
      <c r="A802" s="477"/>
      <c r="B802" s="477"/>
      <c r="C802" s="477"/>
      <c r="D802" s="477"/>
      <c r="E802" s="477"/>
      <c r="F802" s="477"/>
      <c r="G802" s="477"/>
      <c r="H802" s="477"/>
      <c r="I802" s="477"/>
      <c r="J802" s="477"/>
      <c r="K802" s="477"/>
      <c r="L802" s="477"/>
      <c r="M802" s="477"/>
      <c r="N802" s="477"/>
      <c r="O802" s="477"/>
      <c r="P802" s="477"/>
      <c r="Q802" s="477"/>
      <c r="R802" s="477"/>
      <c r="S802" s="477"/>
      <c r="T802" s="477"/>
      <c r="U802" s="477"/>
      <c r="V802" s="477"/>
      <c r="W802" s="477"/>
      <c r="X802" s="477"/>
      <c r="Y802" s="477"/>
      <c r="Z802" s="477"/>
    </row>
    <row r="803" spans="1:26" ht="15" customHeight="1" x14ac:dyDescent="0.35">
      <c r="A803" s="477"/>
      <c r="B803" s="477"/>
      <c r="C803" s="477"/>
      <c r="D803" s="477"/>
      <c r="E803" s="477"/>
      <c r="F803" s="477"/>
      <c r="G803" s="477"/>
      <c r="H803" s="477"/>
      <c r="I803" s="477"/>
      <c r="J803" s="477"/>
      <c r="K803" s="477"/>
      <c r="L803" s="477"/>
      <c r="M803" s="477"/>
      <c r="N803" s="477"/>
      <c r="O803" s="477"/>
      <c r="P803" s="477"/>
      <c r="Q803" s="477"/>
      <c r="R803" s="477"/>
      <c r="S803" s="477"/>
      <c r="T803" s="477"/>
      <c r="U803" s="477"/>
      <c r="V803" s="477"/>
      <c r="W803" s="477"/>
      <c r="X803" s="477"/>
      <c r="Y803" s="477"/>
      <c r="Z803" s="477"/>
    </row>
    <row r="804" spans="1:26" ht="15" customHeight="1" x14ac:dyDescent="0.35">
      <c r="A804" s="477"/>
      <c r="B804" s="477"/>
      <c r="C804" s="477"/>
      <c r="D804" s="477"/>
      <c r="E804" s="477"/>
      <c r="F804" s="477"/>
      <c r="G804" s="477"/>
      <c r="H804" s="477"/>
      <c r="I804" s="477"/>
      <c r="J804" s="477"/>
      <c r="K804" s="477"/>
      <c r="L804" s="477"/>
      <c r="M804" s="477"/>
      <c r="N804" s="477"/>
      <c r="O804" s="477"/>
      <c r="P804" s="477"/>
      <c r="Q804" s="477"/>
      <c r="R804" s="477"/>
      <c r="S804" s="477"/>
      <c r="T804" s="477"/>
      <c r="U804" s="477"/>
      <c r="V804" s="477"/>
      <c r="W804" s="477"/>
      <c r="X804" s="477"/>
      <c r="Y804" s="477"/>
      <c r="Z804" s="477"/>
    </row>
    <row r="805" spans="1:26" ht="15" customHeight="1" x14ac:dyDescent="0.35">
      <c r="A805" s="477"/>
      <c r="B805" s="477"/>
      <c r="C805" s="477"/>
      <c r="D805" s="477"/>
      <c r="E805" s="477"/>
      <c r="F805" s="477"/>
      <c r="G805" s="477"/>
      <c r="H805" s="477"/>
      <c r="I805" s="477"/>
      <c r="J805" s="477"/>
      <c r="K805" s="477"/>
      <c r="L805" s="477"/>
      <c r="M805" s="477"/>
      <c r="N805" s="477"/>
      <c r="O805" s="477"/>
      <c r="P805" s="477"/>
      <c r="Q805" s="477"/>
      <c r="R805" s="477"/>
      <c r="S805" s="477"/>
      <c r="T805" s="477"/>
      <c r="U805" s="477"/>
      <c r="V805" s="477"/>
      <c r="W805" s="477"/>
      <c r="X805" s="477"/>
      <c r="Y805" s="477"/>
      <c r="Z805" s="477"/>
    </row>
    <row r="806" spans="1:26" ht="15" customHeight="1" x14ac:dyDescent="0.35">
      <c r="A806" s="477"/>
      <c r="B806" s="477"/>
      <c r="C806" s="477"/>
      <c r="D806" s="477"/>
      <c r="E806" s="477"/>
      <c r="F806" s="477"/>
      <c r="G806" s="477"/>
      <c r="H806" s="477"/>
      <c r="I806" s="477"/>
      <c r="J806" s="477"/>
      <c r="K806" s="477"/>
      <c r="L806" s="477"/>
      <c r="M806" s="477"/>
      <c r="N806" s="477"/>
      <c r="O806" s="477"/>
      <c r="P806" s="477"/>
      <c r="Q806" s="477"/>
      <c r="R806" s="477"/>
      <c r="S806" s="477"/>
      <c r="T806" s="477"/>
      <c r="U806" s="477"/>
      <c r="V806" s="477"/>
      <c r="W806" s="477"/>
      <c r="X806" s="477"/>
      <c r="Y806" s="477"/>
      <c r="Z806" s="477"/>
    </row>
    <row r="807" spans="1:26" ht="15" customHeight="1" x14ac:dyDescent="0.35">
      <c r="A807" s="477"/>
      <c r="B807" s="477"/>
      <c r="C807" s="477"/>
      <c r="D807" s="477"/>
      <c r="E807" s="477"/>
      <c r="F807" s="477"/>
      <c r="G807" s="477"/>
      <c r="H807" s="477"/>
      <c r="I807" s="477"/>
      <c r="J807" s="477"/>
      <c r="K807" s="477"/>
      <c r="L807" s="477"/>
      <c r="M807" s="477"/>
      <c r="N807" s="477"/>
      <c r="O807" s="477"/>
      <c r="P807" s="477"/>
      <c r="Q807" s="477"/>
      <c r="R807" s="477"/>
      <c r="S807" s="477"/>
      <c r="T807" s="477"/>
      <c r="U807" s="477"/>
      <c r="V807" s="477"/>
      <c r="W807" s="477"/>
      <c r="X807" s="477"/>
      <c r="Y807" s="477"/>
      <c r="Z807" s="477"/>
    </row>
    <row r="808" spans="1:26" ht="15" customHeight="1" x14ac:dyDescent="0.35">
      <c r="A808" s="477"/>
      <c r="B808" s="477"/>
      <c r="C808" s="477"/>
      <c r="D808" s="477"/>
      <c r="E808" s="477"/>
      <c r="F808" s="477"/>
      <c r="G808" s="477"/>
      <c r="H808" s="477"/>
      <c r="I808" s="477"/>
      <c r="J808" s="477"/>
      <c r="K808" s="477"/>
      <c r="L808" s="477"/>
      <c r="M808" s="477"/>
      <c r="N808" s="477"/>
      <c r="O808" s="477"/>
      <c r="P808" s="477"/>
      <c r="Q808" s="477"/>
      <c r="R808" s="477"/>
      <c r="S808" s="477"/>
      <c r="T808" s="477"/>
      <c r="U808" s="477"/>
      <c r="V808" s="477"/>
      <c r="W808" s="477"/>
      <c r="X808" s="477"/>
      <c r="Y808" s="477"/>
      <c r="Z808" s="477"/>
    </row>
    <row r="809" spans="1:26" ht="15" customHeight="1" x14ac:dyDescent="0.35">
      <c r="A809" s="477"/>
      <c r="B809" s="477"/>
      <c r="C809" s="477"/>
      <c r="D809" s="477"/>
      <c r="E809" s="477"/>
      <c r="F809" s="477"/>
      <c r="G809" s="477"/>
      <c r="H809" s="477"/>
      <c r="I809" s="477"/>
      <c r="J809" s="477"/>
      <c r="K809" s="477"/>
      <c r="L809" s="477"/>
      <c r="M809" s="477"/>
      <c r="N809" s="477"/>
      <c r="O809" s="477"/>
      <c r="P809" s="477"/>
      <c r="Q809" s="477"/>
      <c r="R809" s="477"/>
      <c r="S809" s="477"/>
      <c r="T809" s="477"/>
      <c r="U809" s="477"/>
      <c r="V809" s="477"/>
      <c r="W809" s="477"/>
      <c r="X809" s="477"/>
      <c r="Y809" s="477"/>
      <c r="Z809" s="477"/>
    </row>
    <row r="810" spans="1:26" ht="15" customHeight="1" x14ac:dyDescent="0.35">
      <c r="A810" s="477"/>
      <c r="B810" s="477"/>
      <c r="C810" s="477"/>
      <c r="D810" s="477"/>
      <c r="E810" s="477"/>
      <c r="F810" s="477"/>
      <c r="G810" s="477"/>
      <c r="H810" s="477"/>
      <c r="I810" s="477"/>
      <c r="J810" s="477"/>
      <c r="K810" s="477"/>
      <c r="L810" s="477"/>
      <c r="M810" s="477"/>
      <c r="N810" s="477"/>
      <c r="O810" s="477"/>
      <c r="P810" s="477"/>
      <c r="Q810" s="477"/>
      <c r="R810" s="477"/>
      <c r="S810" s="477"/>
      <c r="T810" s="477"/>
      <c r="U810" s="477"/>
      <c r="V810" s="477"/>
      <c r="W810" s="477"/>
      <c r="X810" s="477"/>
      <c r="Y810" s="477"/>
      <c r="Z810" s="477"/>
    </row>
    <row r="811" spans="1:26" ht="15" customHeight="1" x14ac:dyDescent="0.35">
      <c r="A811" s="477"/>
      <c r="B811" s="477"/>
      <c r="C811" s="477"/>
      <c r="D811" s="477"/>
      <c r="E811" s="477"/>
      <c r="F811" s="477"/>
      <c r="G811" s="477"/>
      <c r="H811" s="477"/>
      <c r="I811" s="477"/>
      <c r="J811" s="477"/>
      <c r="K811" s="477"/>
      <c r="L811" s="477"/>
      <c r="M811" s="477"/>
      <c r="N811" s="477"/>
      <c r="O811" s="477"/>
      <c r="P811" s="477"/>
      <c r="Q811" s="477"/>
      <c r="R811" s="477"/>
      <c r="S811" s="477"/>
      <c r="T811" s="477"/>
      <c r="U811" s="477"/>
      <c r="V811" s="477"/>
      <c r="W811" s="477"/>
      <c r="X811" s="477"/>
      <c r="Y811" s="477"/>
      <c r="Z811" s="477"/>
    </row>
    <row r="812" spans="1:26" ht="15" customHeight="1" x14ac:dyDescent="0.35">
      <c r="A812" s="477"/>
      <c r="B812" s="477"/>
      <c r="C812" s="477"/>
      <c r="D812" s="477"/>
      <c r="E812" s="477"/>
      <c r="F812" s="477"/>
      <c r="G812" s="477"/>
      <c r="H812" s="477"/>
      <c r="I812" s="477"/>
      <c r="J812" s="477"/>
      <c r="K812" s="477"/>
      <c r="L812" s="477"/>
      <c r="M812" s="477"/>
      <c r="N812" s="477"/>
      <c r="O812" s="477"/>
      <c r="P812" s="477"/>
      <c r="Q812" s="477"/>
      <c r="R812" s="477"/>
      <c r="S812" s="477"/>
      <c r="T812" s="477"/>
      <c r="U812" s="477"/>
      <c r="V812" s="477"/>
      <c r="W812" s="477"/>
      <c r="X812" s="477"/>
      <c r="Y812" s="477"/>
      <c r="Z812" s="477"/>
    </row>
    <row r="813" spans="1:26" ht="15" customHeight="1" x14ac:dyDescent="0.35">
      <c r="A813" s="477"/>
      <c r="B813" s="477"/>
      <c r="C813" s="477"/>
      <c r="D813" s="477"/>
      <c r="E813" s="477"/>
      <c r="F813" s="477"/>
      <c r="G813" s="477"/>
      <c r="H813" s="477"/>
      <c r="I813" s="477"/>
      <c r="J813" s="477"/>
      <c r="K813" s="477"/>
      <c r="L813" s="477"/>
      <c r="M813" s="477"/>
      <c r="N813" s="477"/>
      <c r="O813" s="477"/>
      <c r="P813" s="477"/>
      <c r="Q813" s="477"/>
      <c r="R813" s="477"/>
      <c r="S813" s="477"/>
      <c r="T813" s="477"/>
      <c r="U813" s="477"/>
      <c r="V813" s="477"/>
      <c r="W813" s="477"/>
      <c r="X813" s="477"/>
      <c r="Y813" s="477"/>
      <c r="Z813" s="477"/>
    </row>
    <row r="814" spans="1:26" ht="15" customHeight="1" x14ac:dyDescent="0.35">
      <c r="A814" s="477"/>
      <c r="B814" s="477"/>
      <c r="C814" s="477"/>
      <c r="D814" s="477"/>
      <c r="E814" s="477"/>
      <c r="F814" s="477"/>
      <c r="G814" s="477"/>
      <c r="H814" s="477"/>
      <c r="I814" s="477"/>
      <c r="J814" s="477"/>
      <c r="K814" s="477"/>
      <c r="L814" s="477"/>
      <c r="M814" s="477"/>
      <c r="N814" s="477"/>
      <c r="O814" s="477"/>
      <c r="P814" s="477"/>
      <c r="Q814" s="477"/>
      <c r="R814" s="477"/>
      <c r="S814" s="477"/>
      <c r="T814" s="477"/>
      <c r="U814" s="477"/>
      <c r="V814" s="477"/>
      <c r="W814" s="477"/>
      <c r="X814" s="477"/>
      <c r="Y814" s="477"/>
      <c r="Z814" s="477"/>
    </row>
    <row r="815" spans="1:26" ht="15" customHeight="1" x14ac:dyDescent="0.35">
      <c r="A815" s="477"/>
      <c r="B815" s="477"/>
      <c r="C815" s="477"/>
      <c r="D815" s="477"/>
      <c r="E815" s="477"/>
      <c r="F815" s="477"/>
      <c r="G815" s="477"/>
      <c r="H815" s="477"/>
      <c r="I815" s="477"/>
      <c r="J815" s="477"/>
      <c r="K815" s="477"/>
      <c r="L815" s="477"/>
      <c r="M815" s="477"/>
      <c r="N815" s="477"/>
      <c r="O815" s="477"/>
      <c r="P815" s="477"/>
      <c r="Q815" s="477"/>
      <c r="R815" s="477"/>
      <c r="S815" s="477"/>
      <c r="T815" s="477"/>
      <c r="U815" s="477"/>
      <c r="V815" s="477"/>
      <c r="W815" s="477"/>
      <c r="X815" s="477"/>
      <c r="Y815" s="477"/>
      <c r="Z815" s="477"/>
    </row>
    <row r="816" spans="1:26" ht="15" customHeight="1" x14ac:dyDescent="0.35">
      <c r="A816" s="477"/>
      <c r="B816" s="477"/>
      <c r="C816" s="477"/>
      <c r="D816" s="477"/>
      <c r="E816" s="477"/>
      <c r="F816" s="477"/>
      <c r="G816" s="477"/>
      <c r="H816" s="477"/>
      <c r="I816" s="477"/>
      <c r="J816" s="477"/>
      <c r="K816" s="477"/>
      <c r="L816" s="477"/>
      <c r="M816" s="477"/>
      <c r="N816" s="477"/>
      <c r="O816" s="477"/>
      <c r="P816" s="477"/>
      <c r="Q816" s="477"/>
      <c r="R816" s="477"/>
      <c r="S816" s="477"/>
      <c r="T816" s="477"/>
      <c r="U816" s="477"/>
      <c r="V816" s="477"/>
      <c r="W816" s="477"/>
      <c r="X816" s="477"/>
      <c r="Y816" s="477"/>
      <c r="Z816" s="477"/>
    </row>
    <row r="817" spans="1:26" ht="15" customHeight="1" x14ac:dyDescent="0.35">
      <c r="A817" s="477"/>
      <c r="B817" s="477"/>
      <c r="C817" s="477"/>
      <c r="D817" s="477"/>
      <c r="E817" s="477"/>
      <c r="F817" s="477"/>
      <c r="G817" s="477"/>
      <c r="H817" s="477"/>
      <c r="I817" s="477"/>
      <c r="J817" s="477"/>
      <c r="K817" s="477"/>
      <c r="L817" s="477"/>
      <c r="M817" s="477"/>
      <c r="N817" s="477"/>
      <c r="O817" s="477"/>
      <c r="P817" s="477"/>
      <c r="Q817" s="477"/>
      <c r="R817" s="477"/>
      <c r="S817" s="477"/>
      <c r="T817" s="477"/>
      <c r="U817" s="477"/>
      <c r="V817" s="477"/>
      <c r="W817" s="477"/>
      <c r="X817" s="477"/>
      <c r="Y817" s="477"/>
      <c r="Z817" s="477"/>
    </row>
    <row r="818" spans="1:26" ht="15" customHeight="1" x14ac:dyDescent="0.35">
      <c r="A818" s="477"/>
      <c r="B818" s="477"/>
      <c r="C818" s="477"/>
      <c r="D818" s="477"/>
      <c r="E818" s="477"/>
      <c r="F818" s="477"/>
      <c r="G818" s="477"/>
      <c r="H818" s="477"/>
      <c r="I818" s="477"/>
      <c r="J818" s="477"/>
      <c r="K818" s="477"/>
      <c r="L818" s="477"/>
      <c r="M818" s="477"/>
      <c r="N818" s="477"/>
      <c r="O818" s="477"/>
      <c r="P818" s="477"/>
      <c r="Q818" s="477"/>
      <c r="R818" s="477"/>
      <c r="S818" s="477"/>
      <c r="T818" s="477"/>
      <c r="U818" s="477"/>
      <c r="V818" s="477"/>
      <c r="W818" s="477"/>
      <c r="X818" s="477"/>
      <c r="Y818" s="477"/>
      <c r="Z818" s="477"/>
    </row>
    <row r="819" spans="1:26" ht="15" customHeight="1" x14ac:dyDescent="0.35">
      <c r="A819" s="477"/>
      <c r="B819" s="477"/>
      <c r="C819" s="477"/>
      <c r="D819" s="477"/>
      <c r="E819" s="477"/>
      <c r="F819" s="477"/>
      <c r="G819" s="477"/>
      <c r="H819" s="477"/>
      <c r="I819" s="477"/>
      <c r="J819" s="477"/>
      <c r="K819" s="477"/>
      <c r="L819" s="477"/>
      <c r="M819" s="477"/>
      <c r="N819" s="477"/>
      <c r="O819" s="477"/>
      <c r="P819" s="477"/>
      <c r="Q819" s="477"/>
      <c r="R819" s="477"/>
      <c r="S819" s="477"/>
      <c r="T819" s="477"/>
      <c r="U819" s="477"/>
      <c r="V819" s="477"/>
      <c r="W819" s="477"/>
      <c r="X819" s="477"/>
      <c r="Y819" s="477"/>
      <c r="Z819" s="477"/>
    </row>
    <row r="820" spans="1:26" ht="15" customHeight="1" x14ac:dyDescent="0.35">
      <c r="A820" s="477"/>
      <c r="B820" s="477"/>
      <c r="C820" s="477"/>
      <c r="D820" s="477"/>
      <c r="E820" s="477"/>
      <c r="F820" s="477"/>
      <c r="G820" s="477"/>
      <c r="H820" s="477"/>
      <c r="I820" s="477"/>
      <c r="J820" s="477"/>
      <c r="K820" s="477"/>
      <c r="L820" s="477"/>
      <c r="M820" s="477"/>
      <c r="N820" s="477"/>
      <c r="O820" s="477"/>
      <c r="P820" s="477"/>
      <c r="Q820" s="477"/>
      <c r="R820" s="477"/>
      <c r="S820" s="477"/>
      <c r="T820" s="477"/>
      <c r="U820" s="477"/>
      <c r="V820" s="477"/>
      <c r="W820" s="477"/>
      <c r="X820" s="477"/>
      <c r="Y820" s="477"/>
      <c r="Z820" s="477"/>
    </row>
    <row r="821" spans="1:26" ht="15" customHeight="1" x14ac:dyDescent="0.35">
      <c r="A821" s="477"/>
      <c r="B821" s="477"/>
      <c r="C821" s="477"/>
      <c r="D821" s="477"/>
      <c r="E821" s="477"/>
      <c r="F821" s="477"/>
      <c r="G821" s="477"/>
      <c r="H821" s="477"/>
      <c r="I821" s="477"/>
      <c r="J821" s="477"/>
      <c r="K821" s="477"/>
      <c r="L821" s="477"/>
      <c r="M821" s="477"/>
      <c r="N821" s="477"/>
      <c r="O821" s="477"/>
      <c r="P821" s="477"/>
      <c r="Q821" s="477"/>
      <c r="R821" s="477"/>
      <c r="S821" s="477"/>
      <c r="T821" s="477"/>
      <c r="U821" s="477"/>
      <c r="V821" s="477"/>
      <c r="W821" s="477"/>
      <c r="X821" s="477"/>
      <c r="Y821" s="477"/>
      <c r="Z821" s="477"/>
    </row>
    <row r="822" spans="1:26" ht="15" customHeight="1" x14ac:dyDescent="0.35">
      <c r="A822" s="477"/>
      <c r="B822" s="477"/>
      <c r="C822" s="477"/>
      <c r="D822" s="477"/>
      <c r="E822" s="477"/>
      <c r="F822" s="477"/>
      <c r="G822" s="477"/>
      <c r="H822" s="477"/>
      <c r="I822" s="477"/>
      <c r="J822" s="477"/>
      <c r="K822" s="477"/>
      <c r="L822" s="477"/>
      <c r="M822" s="477"/>
      <c r="N822" s="477"/>
      <c r="O822" s="477"/>
      <c r="P822" s="477"/>
      <c r="Q822" s="477"/>
      <c r="R822" s="477"/>
      <c r="S822" s="477"/>
      <c r="T822" s="477"/>
      <c r="U822" s="477"/>
      <c r="V822" s="477"/>
      <c r="W822" s="477"/>
      <c r="X822" s="477"/>
      <c r="Y822" s="477"/>
      <c r="Z822" s="477"/>
    </row>
    <row r="823" spans="1:26" ht="15" customHeight="1" x14ac:dyDescent="0.35">
      <c r="A823" s="477"/>
      <c r="B823" s="477"/>
      <c r="C823" s="477"/>
      <c r="D823" s="477"/>
      <c r="E823" s="477"/>
      <c r="F823" s="477"/>
      <c r="G823" s="477"/>
      <c r="H823" s="477"/>
      <c r="I823" s="477"/>
      <c r="J823" s="477"/>
      <c r="K823" s="477"/>
      <c r="L823" s="477"/>
      <c r="M823" s="477"/>
      <c r="N823" s="477"/>
      <c r="O823" s="477"/>
      <c r="P823" s="477"/>
      <c r="Q823" s="477"/>
      <c r="R823" s="477"/>
      <c r="S823" s="477"/>
      <c r="T823" s="477"/>
      <c r="U823" s="477"/>
      <c r="V823" s="477"/>
      <c r="W823" s="477"/>
      <c r="X823" s="477"/>
      <c r="Y823" s="477"/>
      <c r="Z823" s="477"/>
    </row>
    <row r="824" spans="1:26" ht="15" customHeight="1" x14ac:dyDescent="0.35">
      <c r="A824" s="477"/>
      <c r="B824" s="477"/>
      <c r="C824" s="477"/>
      <c r="D824" s="477"/>
      <c r="E824" s="477"/>
      <c r="F824" s="477"/>
      <c r="G824" s="477"/>
      <c r="H824" s="477"/>
      <c r="I824" s="477"/>
      <c r="J824" s="477"/>
      <c r="K824" s="477"/>
      <c r="L824" s="477"/>
      <c r="M824" s="477"/>
      <c r="N824" s="477"/>
      <c r="O824" s="477"/>
      <c r="P824" s="477"/>
      <c r="Q824" s="477"/>
      <c r="R824" s="477"/>
      <c r="S824" s="477"/>
      <c r="T824" s="477"/>
      <c r="U824" s="477"/>
      <c r="V824" s="477"/>
      <c r="W824" s="477"/>
      <c r="X824" s="477"/>
      <c r="Y824" s="477"/>
      <c r="Z824" s="477"/>
    </row>
    <row r="825" spans="1:26" ht="15" customHeight="1" x14ac:dyDescent="0.35">
      <c r="A825" s="477"/>
      <c r="B825" s="477"/>
      <c r="C825" s="477"/>
      <c r="D825" s="477"/>
      <c r="E825" s="477"/>
      <c r="F825" s="477"/>
      <c r="G825" s="477"/>
      <c r="H825" s="477"/>
      <c r="I825" s="477"/>
      <c r="J825" s="477"/>
      <c r="K825" s="477"/>
      <c r="L825" s="477"/>
      <c r="M825" s="477"/>
      <c r="N825" s="477"/>
      <c r="O825" s="477"/>
      <c r="P825" s="477"/>
      <c r="Q825" s="477"/>
      <c r="R825" s="477"/>
      <c r="S825" s="477"/>
      <c r="T825" s="477"/>
      <c r="U825" s="477"/>
      <c r="V825" s="477"/>
      <c r="W825" s="477"/>
      <c r="X825" s="477"/>
      <c r="Y825" s="477"/>
      <c r="Z825" s="477"/>
    </row>
    <row r="826" spans="1:26" ht="15" customHeight="1" x14ac:dyDescent="0.35">
      <c r="A826" s="477"/>
      <c r="B826" s="477"/>
      <c r="C826" s="477"/>
      <c r="D826" s="477"/>
      <c r="E826" s="477"/>
      <c r="F826" s="477"/>
      <c r="G826" s="477"/>
      <c r="H826" s="477"/>
      <c r="I826" s="477"/>
      <c r="J826" s="477"/>
      <c r="K826" s="477"/>
      <c r="L826" s="477"/>
      <c r="M826" s="477"/>
      <c r="N826" s="477"/>
      <c r="O826" s="477"/>
      <c r="P826" s="477"/>
      <c r="Q826" s="477"/>
      <c r="R826" s="477"/>
      <c r="S826" s="477"/>
      <c r="T826" s="477"/>
      <c r="U826" s="477"/>
      <c r="V826" s="477"/>
      <c r="W826" s="477"/>
      <c r="X826" s="477"/>
      <c r="Y826" s="477"/>
      <c r="Z826" s="477"/>
    </row>
    <row r="827" spans="1:26" ht="15" customHeight="1" x14ac:dyDescent="0.35">
      <c r="A827" s="477"/>
      <c r="B827" s="477"/>
      <c r="C827" s="477"/>
      <c r="D827" s="477"/>
      <c r="E827" s="477"/>
      <c r="F827" s="477"/>
      <c r="G827" s="477"/>
      <c r="H827" s="477"/>
      <c r="I827" s="477"/>
      <c r="J827" s="477"/>
      <c r="K827" s="477"/>
      <c r="L827" s="477"/>
      <c r="M827" s="477"/>
      <c r="N827" s="477"/>
      <c r="O827" s="477"/>
      <c r="P827" s="477"/>
      <c r="Q827" s="477"/>
      <c r="R827" s="477"/>
      <c r="S827" s="477"/>
      <c r="T827" s="477"/>
      <c r="U827" s="477"/>
      <c r="V827" s="477"/>
      <c r="W827" s="477"/>
      <c r="X827" s="477"/>
      <c r="Y827" s="477"/>
      <c r="Z827" s="477"/>
    </row>
    <row r="828" spans="1:26" ht="15" customHeight="1" x14ac:dyDescent="0.35">
      <c r="A828" s="477"/>
      <c r="B828" s="477"/>
      <c r="C828" s="477"/>
      <c r="D828" s="477"/>
      <c r="E828" s="477"/>
      <c r="F828" s="477"/>
      <c r="G828" s="477"/>
      <c r="H828" s="477"/>
      <c r="I828" s="477"/>
      <c r="J828" s="477"/>
      <c r="K828" s="477"/>
      <c r="L828" s="477"/>
      <c r="M828" s="477"/>
      <c r="N828" s="477"/>
      <c r="O828" s="477"/>
      <c r="P828" s="477"/>
      <c r="Q828" s="477"/>
      <c r="R828" s="477"/>
      <c r="S828" s="477"/>
      <c r="T828" s="477"/>
      <c r="U828" s="477"/>
      <c r="V828" s="477"/>
      <c r="W828" s="477"/>
      <c r="X828" s="477"/>
      <c r="Y828" s="477"/>
      <c r="Z828" s="477"/>
    </row>
    <row r="829" spans="1:26" ht="15" customHeight="1" x14ac:dyDescent="0.35">
      <c r="A829" s="477"/>
      <c r="B829" s="477"/>
      <c r="C829" s="477"/>
      <c r="D829" s="477"/>
      <c r="E829" s="477"/>
      <c r="F829" s="477"/>
      <c r="G829" s="477"/>
      <c r="H829" s="477"/>
      <c r="I829" s="477"/>
      <c r="J829" s="477"/>
      <c r="K829" s="477"/>
      <c r="L829" s="477"/>
      <c r="M829" s="477"/>
      <c r="N829" s="477"/>
      <c r="O829" s="477"/>
      <c r="P829" s="477"/>
      <c r="Q829" s="477"/>
      <c r="R829" s="477"/>
      <c r="S829" s="477"/>
      <c r="T829" s="477"/>
      <c r="U829" s="477"/>
      <c r="V829" s="477"/>
      <c r="W829" s="477"/>
      <c r="X829" s="477"/>
      <c r="Y829" s="477"/>
      <c r="Z829" s="477"/>
    </row>
    <row r="830" spans="1:26" ht="15" customHeight="1" x14ac:dyDescent="0.35">
      <c r="A830" s="477"/>
      <c r="B830" s="477"/>
      <c r="C830" s="477"/>
      <c r="D830" s="477"/>
      <c r="E830" s="477"/>
      <c r="F830" s="477"/>
      <c r="G830" s="477"/>
      <c r="H830" s="477"/>
      <c r="I830" s="477"/>
      <c r="J830" s="477"/>
      <c r="K830" s="477"/>
      <c r="L830" s="477"/>
      <c r="M830" s="477"/>
      <c r="N830" s="477"/>
      <c r="O830" s="477"/>
      <c r="P830" s="477"/>
      <c r="Q830" s="477"/>
      <c r="R830" s="477"/>
      <c r="S830" s="477"/>
      <c r="T830" s="477"/>
      <c r="U830" s="477"/>
      <c r="V830" s="477"/>
      <c r="W830" s="477"/>
      <c r="X830" s="477"/>
      <c r="Y830" s="477"/>
      <c r="Z830" s="477"/>
    </row>
    <row r="831" spans="1:26" ht="15" customHeight="1" x14ac:dyDescent="0.35">
      <c r="A831" s="477"/>
      <c r="B831" s="477"/>
      <c r="C831" s="477"/>
      <c r="D831" s="477"/>
      <c r="E831" s="477"/>
      <c r="F831" s="477"/>
      <c r="G831" s="477"/>
      <c r="H831" s="477"/>
      <c r="I831" s="477"/>
      <c r="J831" s="477"/>
      <c r="K831" s="477"/>
      <c r="L831" s="477"/>
      <c r="M831" s="477"/>
      <c r="N831" s="477"/>
      <c r="O831" s="477"/>
      <c r="P831" s="477"/>
      <c r="Q831" s="477"/>
      <c r="R831" s="477"/>
      <c r="S831" s="477"/>
      <c r="T831" s="477"/>
      <c r="U831" s="477"/>
      <c r="V831" s="477"/>
      <c r="W831" s="477"/>
      <c r="X831" s="477"/>
      <c r="Y831" s="477"/>
      <c r="Z831" s="477"/>
    </row>
    <row r="832" spans="1:26" ht="15" customHeight="1" x14ac:dyDescent="0.35">
      <c r="A832" s="477"/>
      <c r="B832" s="477"/>
      <c r="C832" s="477"/>
      <c r="D832" s="477"/>
      <c r="E832" s="477"/>
      <c r="F832" s="477"/>
      <c r="G832" s="477"/>
      <c r="H832" s="477"/>
      <c r="I832" s="477"/>
      <c r="J832" s="477"/>
      <c r="K832" s="477"/>
      <c r="L832" s="477"/>
      <c r="M832" s="477"/>
      <c r="N832" s="477"/>
      <c r="O832" s="477"/>
      <c r="P832" s="477"/>
      <c r="Q832" s="477"/>
      <c r="R832" s="477"/>
      <c r="S832" s="477"/>
      <c r="T832" s="477"/>
      <c r="U832" s="477"/>
      <c r="V832" s="477"/>
      <c r="W832" s="477"/>
      <c r="X832" s="477"/>
      <c r="Y832" s="477"/>
      <c r="Z832" s="477"/>
    </row>
    <row r="833" spans="1:26" ht="15" customHeight="1" x14ac:dyDescent="0.35">
      <c r="A833" s="477"/>
      <c r="B833" s="477"/>
      <c r="C833" s="477"/>
      <c r="D833" s="477"/>
      <c r="E833" s="477"/>
      <c r="F833" s="477"/>
      <c r="G833" s="477"/>
      <c r="H833" s="477"/>
      <c r="I833" s="477"/>
      <c r="J833" s="477"/>
      <c r="K833" s="477"/>
      <c r="L833" s="477"/>
      <c r="M833" s="477"/>
      <c r="N833" s="477"/>
      <c r="O833" s="477"/>
      <c r="P833" s="477"/>
      <c r="Q833" s="477"/>
      <c r="R833" s="477"/>
      <c r="S833" s="477"/>
      <c r="T833" s="477"/>
      <c r="U833" s="477"/>
      <c r="V833" s="477"/>
      <c r="W833" s="477"/>
      <c r="X833" s="477"/>
      <c r="Y833" s="477"/>
      <c r="Z833" s="477"/>
    </row>
    <row r="834" spans="1:26" ht="15" customHeight="1" x14ac:dyDescent="0.35">
      <c r="A834" s="477"/>
      <c r="B834" s="477"/>
      <c r="C834" s="477"/>
      <c r="D834" s="477"/>
      <c r="E834" s="477"/>
      <c r="F834" s="477"/>
      <c r="G834" s="477"/>
      <c r="H834" s="477"/>
      <c r="I834" s="477"/>
      <c r="J834" s="477"/>
      <c r="K834" s="477"/>
      <c r="L834" s="477"/>
      <c r="M834" s="477"/>
      <c r="N834" s="477"/>
      <c r="O834" s="477"/>
      <c r="P834" s="477"/>
      <c r="Q834" s="477"/>
      <c r="R834" s="477"/>
      <c r="S834" s="477"/>
      <c r="T834" s="477"/>
      <c r="U834" s="477"/>
      <c r="V834" s="477"/>
      <c r="W834" s="477"/>
      <c r="X834" s="477"/>
      <c r="Y834" s="477"/>
      <c r="Z834" s="477"/>
    </row>
    <row r="835" spans="1:26" ht="15" customHeight="1" x14ac:dyDescent="0.35">
      <c r="A835" s="477"/>
      <c r="B835" s="477"/>
      <c r="C835" s="477"/>
      <c r="D835" s="477"/>
      <c r="E835" s="477"/>
      <c r="F835" s="477"/>
      <c r="G835" s="477"/>
      <c r="H835" s="477"/>
      <c r="I835" s="477"/>
      <c r="J835" s="477"/>
      <c r="K835" s="477"/>
      <c r="L835" s="477"/>
      <c r="M835" s="477"/>
      <c r="N835" s="477"/>
      <c r="O835" s="477"/>
      <c r="P835" s="477"/>
      <c r="Q835" s="477"/>
      <c r="R835" s="477"/>
      <c r="S835" s="477"/>
      <c r="T835" s="477"/>
      <c r="U835" s="477"/>
      <c r="V835" s="477"/>
      <c r="W835" s="477"/>
      <c r="X835" s="477"/>
      <c r="Y835" s="477"/>
      <c r="Z835" s="477"/>
    </row>
    <row r="836" spans="1:26" ht="15" customHeight="1" x14ac:dyDescent="0.35">
      <c r="A836" s="477"/>
      <c r="B836" s="477"/>
      <c r="C836" s="477"/>
      <c r="D836" s="477"/>
      <c r="E836" s="477"/>
      <c r="F836" s="477"/>
      <c r="G836" s="477"/>
      <c r="H836" s="477"/>
      <c r="I836" s="477"/>
      <c r="J836" s="477"/>
      <c r="K836" s="477"/>
      <c r="L836" s="477"/>
      <c r="M836" s="477"/>
      <c r="N836" s="477"/>
      <c r="O836" s="477"/>
      <c r="P836" s="477"/>
      <c r="Q836" s="477"/>
      <c r="R836" s="477"/>
      <c r="S836" s="477"/>
      <c r="T836" s="477"/>
      <c r="U836" s="477"/>
      <c r="V836" s="477"/>
      <c r="W836" s="477"/>
      <c r="X836" s="477"/>
      <c r="Y836" s="477"/>
      <c r="Z836" s="477"/>
    </row>
    <row r="837" spans="1:26" ht="15" customHeight="1" x14ac:dyDescent="0.35">
      <c r="A837" s="477"/>
      <c r="B837" s="477"/>
      <c r="C837" s="477"/>
      <c r="D837" s="477"/>
      <c r="E837" s="477"/>
      <c r="F837" s="477"/>
      <c r="G837" s="477"/>
      <c r="H837" s="477"/>
      <c r="I837" s="477"/>
      <c r="J837" s="477"/>
      <c r="K837" s="477"/>
      <c r="L837" s="477"/>
      <c r="M837" s="477"/>
      <c r="N837" s="477"/>
      <c r="O837" s="477"/>
      <c r="P837" s="477"/>
      <c r="Q837" s="477"/>
      <c r="R837" s="477"/>
      <c r="S837" s="477"/>
      <c r="T837" s="477"/>
      <c r="U837" s="477"/>
      <c r="V837" s="477"/>
      <c r="W837" s="477"/>
      <c r="X837" s="477"/>
      <c r="Y837" s="477"/>
      <c r="Z837" s="477"/>
    </row>
    <row r="838" spans="1:26" ht="15" customHeight="1" x14ac:dyDescent="0.35">
      <c r="A838" s="477"/>
      <c r="B838" s="477"/>
      <c r="C838" s="477"/>
      <c r="D838" s="477"/>
      <c r="E838" s="477"/>
      <c r="F838" s="477"/>
      <c r="G838" s="477"/>
      <c r="H838" s="477"/>
      <c r="I838" s="477"/>
      <c r="J838" s="477"/>
      <c r="K838" s="477"/>
      <c r="L838" s="477"/>
      <c r="M838" s="477"/>
      <c r="N838" s="477"/>
      <c r="O838" s="477"/>
      <c r="P838" s="477"/>
      <c r="Q838" s="477"/>
      <c r="R838" s="477"/>
      <c r="S838" s="477"/>
      <c r="T838" s="477"/>
      <c r="U838" s="477"/>
      <c r="V838" s="477"/>
      <c r="W838" s="477"/>
      <c r="X838" s="477"/>
      <c r="Y838" s="477"/>
      <c r="Z838" s="477"/>
    </row>
    <row r="839" spans="1:26" ht="15" customHeight="1" x14ac:dyDescent="0.35">
      <c r="A839" s="477"/>
      <c r="B839" s="477"/>
      <c r="C839" s="477"/>
      <c r="D839" s="477"/>
      <c r="E839" s="477"/>
      <c r="F839" s="477"/>
      <c r="G839" s="477"/>
      <c r="H839" s="477"/>
      <c r="I839" s="477"/>
      <c r="J839" s="477"/>
      <c r="K839" s="477"/>
      <c r="L839" s="477"/>
      <c r="M839" s="477"/>
      <c r="N839" s="477"/>
      <c r="O839" s="477"/>
      <c r="P839" s="477"/>
      <c r="Q839" s="477"/>
      <c r="R839" s="477"/>
      <c r="S839" s="477"/>
      <c r="T839" s="477"/>
      <c r="U839" s="477"/>
      <c r="V839" s="477"/>
      <c r="W839" s="477"/>
      <c r="X839" s="477"/>
      <c r="Y839" s="477"/>
      <c r="Z839" s="477"/>
    </row>
    <row r="840" spans="1:26" ht="15" customHeight="1" x14ac:dyDescent="0.35">
      <c r="A840" s="477"/>
      <c r="B840" s="477"/>
      <c r="C840" s="477"/>
      <c r="D840" s="477"/>
      <c r="E840" s="477"/>
      <c r="F840" s="477"/>
      <c r="G840" s="477"/>
      <c r="H840" s="477"/>
      <c r="I840" s="477"/>
      <c r="J840" s="477"/>
      <c r="K840" s="477"/>
      <c r="L840" s="477"/>
      <c r="M840" s="477"/>
      <c r="N840" s="477"/>
      <c r="O840" s="477"/>
      <c r="P840" s="477"/>
      <c r="Q840" s="477"/>
      <c r="R840" s="477"/>
      <c r="S840" s="477"/>
      <c r="T840" s="477"/>
      <c r="U840" s="477"/>
      <c r="V840" s="477"/>
      <c r="W840" s="477"/>
      <c r="X840" s="477"/>
      <c r="Y840" s="477"/>
      <c r="Z840" s="477"/>
    </row>
    <row r="841" spans="1:26" ht="15" customHeight="1" x14ac:dyDescent="0.35">
      <c r="A841" s="477"/>
      <c r="B841" s="477"/>
      <c r="C841" s="477"/>
      <c r="D841" s="477"/>
      <c r="E841" s="477"/>
      <c r="F841" s="477"/>
      <c r="G841" s="477"/>
      <c r="H841" s="477"/>
      <c r="I841" s="477"/>
      <c r="J841" s="477"/>
      <c r="K841" s="477"/>
      <c r="L841" s="477"/>
      <c r="M841" s="477"/>
      <c r="N841" s="477"/>
      <c r="O841" s="477"/>
      <c r="P841" s="477"/>
      <c r="Q841" s="477"/>
      <c r="R841" s="477"/>
      <c r="S841" s="477"/>
      <c r="T841" s="477"/>
      <c r="U841" s="477"/>
      <c r="V841" s="477"/>
      <c r="W841" s="477"/>
      <c r="X841" s="477"/>
      <c r="Y841" s="477"/>
      <c r="Z841" s="477"/>
    </row>
    <row r="842" spans="1:26" ht="15" customHeight="1" x14ac:dyDescent="0.35">
      <c r="A842" s="477"/>
      <c r="B842" s="477"/>
      <c r="C842" s="477"/>
      <c r="D842" s="477"/>
      <c r="E842" s="477"/>
      <c r="F842" s="477"/>
      <c r="G842" s="477"/>
      <c r="H842" s="477"/>
      <c r="I842" s="477"/>
      <c r="J842" s="477"/>
      <c r="K842" s="477"/>
      <c r="L842" s="477"/>
      <c r="M842" s="477"/>
      <c r="N842" s="477"/>
      <c r="O842" s="477"/>
      <c r="P842" s="477"/>
      <c r="Q842" s="477"/>
      <c r="R842" s="477"/>
      <c r="S842" s="477"/>
      <c r="T842" s="477"/>
      <c r="U842" s="477"/>
      <c r="V842" s="477"/>
      <c r="W842" s="477"/>
      <c r="X842" s="477"/>
      <c r="Y842" s="477"/>
      <c r="Z842" s="477"/>
    </row>
    <row r="843" spans="1:26" ht="15" customHeight="1" x14ac:dyDescent="0.35">
      <c r="A843" s="477"/>
      <c r="B843" s="477"/>
      <c r="C843" s="477"/>
      <c r="D843" s="477"/>
      <c r="E843" s="477"/>
      <c r="F843" s="477"/>
      <c r="G843" s="477"/>
      <c r="H843" s="477"/>
      <c r="I843" s="477"/>
      <c r="J843" s="477"/>
      <c r="K843" s="477"/>
      <c r="L843" s="477"/>
      <c r="M843" s="477"/>
      <c r="N843" s="477"/>
      <c r="O843" s="477"/>
      <c r="P843" s="477"/>
      <c r="Q843" s="477"/>
      <c r="R843" s="477"/>
      <c r="S843" s="477"/>
      <c r="T843" s="477"/>
      <c r="U843" s="477"/>
      <c r="V843" s="477"/>
      <c r="W843" s="477"/>
      <c r="X843" s="477"/>
      <c r="Y843" s="477"/>
      <c r="Z843" s="477"/>
    </row>
    <row r="844" spans="1:26" ht="15" customHeight="1" x14ac:dyDescent="0.35">
      <c r="A844" s="477"/>
      <c r="B844" s="477"/>
      <c r="C844" s="477"/>
      <c r="D844" s="477"/>
      <c r="E844" s="477"/>
      <c r="F844" s="477"/>
      <c r="G844" s="477"/>
      <c r="H844" s="477"/>
      <c r="I844" s="477"/>
      <c r="J844" s="477"/>
      <c r="K844" s="477"/>
      <c r="L844" s="477"/>
      <c r="M844" s="477"/>
      <c r="N844" s="477"/>
      <c r="O844" s="477"/>
      <c r="P844" s="477"/>
      <c r="Q844" s="477"/>
      <c r="R844" s="477"/>
      <c r="S844" s="477"/>
      <c r="T844" s="477"/>
      <c r="U844" s="477"/>
      <c r="V844" s="477"/>
      <c r="W844" s="477"/>
      <c r="X844" s="477"/>
      <c r="Y844" s="477"/>
      <c r="Z844" s="477"/>
    </row>
    <row r="845" spans="1:26" ht="15" customHeight="1" x14ac:dyDescent="0.35">
      <c r="A845" s="477"/>
      <c r="B845" s="477"/>
      <c r="C845" s="477"/>
      <c r="D845" s="477"/>
      <c r="E845" s="477"/>
      <c r="F845" s="477"/>
      <c r="G845" s="477"/>
      <c r="H845" s="477"/>
      <c r="I845" s="477"/>
      <c r="J845" s="477"/>
      <c r="K845" s="477"/>
      <c r="L845" s="477"/>
      <c r="M845" s="477"/>
      <c r="N845" s="477"/>
      <c r="O845" s="477"/>
      <c r="P845" s="477"/>
      <c r="Q845" s="477"/>
      <c r="R845" s="477"/>
      <c r="S845" s="477"/>
      <c r="T845" s="477"/>
      <c r="U845" s="477"/>
      <c r="V845" s="477"/>
      <c r="W845" s="477"/>
      <c r="X845" s="477"/>
      <c r="Y845" s="477"/>
      <c r="Z845" s="477"/>
    </row>
    <row r="846" spans="1:26" ht="15" customHeight="1" x14ac:dyDescent="0.35">
      <c r="A846" s="477"/>
      <c r="B846" s="477"/>
      <c r="C846" s="477"/>
      <c r="D846" s="477"/>
      <c r="E846" s="477"/>
      <c r="F846" s="477"/>
      <c r="G846" s="477"/>
      <c r="H846" s="477"/>
      <c r="I846" s="477"/>
      <c r="J846" s="477"/>
      <c r="K846" s="477"/>
      <c r="L846" s="477"/>
      <c r="M846" s="477"/>
      <c r="N846" s="477"/>
      <c r="O846" s="477"/>
      <c r="P846" s="477"/>
      <c r="Q846" s="477"/>
      <c r="R846" s="477"/>
      <c r="S846" s="477"/>
      <c r="T846" s="477"/>
      <c r="U846" s="477"/>
      <c r="V846" s="477"/>
      <c r="W846" s="477"/>
      <c r="X846" s="477"/>
      <c r="Y846" s="477"/>
      <c r="Z846" s="477"/>
    </row>
    <row r="847" spans="1:26" ht="15" customHeight="1" x14ac:dyDescent="0.35">
      <c r="A847" s="477"/>
      <c r="B847" s="477"/>
      <c r="C847" s="477"/>
      <c r="D847" s="477"/>
      <c r="E847" s="477"/>
      <c r="F847" s="477"/>
      <c r="G847" s="477"/>
      <c r="H847" s="477"/>
      <c r="I847" s="477"/>
      <c r="J847" s="477"/>
      <c r="K847" s="477"/>
      <c r="L847" s="477"/>
      <c r="M847" s="477"/>
      <c r="N847" s="477"/>
      <c r="O847" s="477"/>
      <c r="P847" s="477"/>
      <c r="Q847" s="477"/>
      <c r="R847" s="477"/>
      <c r="S847" s="477"/>
      <c r="T847" s="477"/>
      <c r="U847" s="477"/>
      <c r="V847" s="477"/>
      <c r="W847" s="477"/>
      <c r="X847" s="477"/>
      <c r="Y847" s="477"/>
      <c r="Z847" s="477"/>
    </row>
    <row r="848" spans="1:26" ht="15" customHeight="1" x14ac:dyDescent="0.35">
      <c r="A848" s="477"/>
      <c r="B848" s="477"/>
      <c r="C848" s="477"/>
      <c r="D848" s="477"/>
      <c r="E848" s="477"/>
      <c r="F848" s="477"/>
      <c r="G848" s="477"/>
      <c r="H848" s="477"/>
      <c r="I848" s="477"/>
      <c r="J848" s="477"/>
      <c r="K848" s="477"/>
      <c r="L848" s="477"/>
      <c r="M848" s="477"/>
      <c r="N848" s="477"/>
      <c r="O848" s="477"/>
      <c r="P848" s="477"/>
      <c r="Q848" s="477"/>
      <c r="R848" s="477"/>
      <c r="S848" s="477"/>
      <c r="T848" s="477"/>
      <c r="U848" s="477"/>
      <c r="V848" s="477"/>
      <c r="W848" s="477"/>
      <c r="X848" s="477"/>
      <c r="Y848" s="477"/>
      <c r="Z848" s="477"/>
    </row>
    <row r="849" spans="1:26" ht="15" customHeight="1" x14ac:dyDescent="0.35">
      <c r="A849" s="477"/>
      <c r="B849" s="477"/>
      <c r="C849" s="477"/>
      <c r="D849" s="477"/>
      <c r="E849" s="477"/>
      <c r="F849" s="477"/>
      <c r="G849" s="477"/>
      <c r="H849" s="477"/>
      <c r="I849" s="477"/>
      <c r="J849" s="477"/>
      <c r="K849" s="477"/>
      <c r="L849" s="477"/>
      <c r="M849" s="477"/>
      <c r="N849" s="477"/>
      <c r="O849" s="477"/>
      <c r="P849" s="477"/>
      <c r="Q849" s="477"/>
      <c r="R849" s="477"/>
      <c r="S849" s="477"/>
      <c r="T849" s="477"/>
      <c r="U849" s="477"/>
      <c r="V849" s="477"/>
      <c r="W849" s="477"/>
      <c r="X849" s="477"/>
      <c r="Y849" s="477"/>
      <c r="Z849" s="477"/>
    </row>
    <row r="850" spans="1:26" ht="15" customHeight="1" x14ac:dyDescent="0.35">
      <c r="A850" s="477"/>
      <c r="B850" s="477"/>
      <c r="C850" s="477"/>
      <c r="D850" s="477"/>
      <c r="E850" s="477"/>
      <c r="F850" s="477"/>
      <c r="G850" s="477"/>
      <c r="H850" s="477"/>
      <c r="I850" s="477"/>
      <c r="J850" s="477"/>
      <c r="K850" s="477"/>
      <c r="L850" s="477"/>
      <c r="M850" s="477"/>
      <c r="N850" s="477"/>
      <c r="O850" s="477"/>
      <c r="P850" s="477"/>
      <c r="Q850" s="477"/>
      <c r="R850" s="477"/>
      <c r="S850" s="477"/>
      <c r="T850" s="477"/>
      <c r="U850" s="477"/>
      <c r="V850" s="477"/>
      <c r="W850" s="477"/>
      <c r="X850" s="477"/>
      <c r="Y850" s="477"/>
      <c r="Z850" s="477"/>
    </row>
    <row r="851" spans="1:26" ht="15" customHeight="1" x14ac:dyDescent="0.35">
      <c r="A851" s="477"/>
      <c r="B851" s="477"/>
      <c r="C851" s="477"/>
      <c r="D851" s="477"/>
      <c r="E851" s="477"/>
      <c r="F851" s="477"/>
      <c r="G851" s="477"/>
      <c r="H851" s="477"/>
      <c r="I851" s="477"/>
      <c r="J851" s="477"/>
      <c r="K851" s="477"/>
      <c r="L851" s="477"/>
      <c r="M851" s="477"/>
      <c r="N851" s="477"/>
      <c r="O851" s="477"/>
      <c r="P851" s="477"/>
      <c r="Q851" s="477"/>
      <c r="R851" s="477"/>
      <c r="S851" s="477"/>
      <c r="T851" s="477"/>
      <c r="U851" s="477"/>
      <c r="V851" s="477"/>
      <c r="W851" s="477"/>
      <c r="X851" s="477"/>
      <c r="Y851" s="477"/>
      <c r="Z851" s="477"/>
    </row>
    <row r="852" spans="1:26" ht="15" customHeight="1" x14ac:dyDescent="0.35">
      <c r="A852" s="477"/>
      <c r="B852" s="477"/>
      <c r="C852" s="477"/>
      <c r="D852" s="477"/>
      <c r="E852" s="477"/>
      <c r="F852" s="477"/>
      <c r="G852" s="477"/>
      <c r="H852" s="477"/>
      <c r="I852" s="477"/>
      <c r="J852" s="477"/>
      <c r="K852" s="477"/>
      <c r="L852" s="477"/>
      <c r="M852" s="477"/>
      <c r="N852" s="477"/>
      <c r="O852" s="477"/>
      <c r="P852" s="477"/>
      <c r="Q852" s="477"/>
      <c r="R852" s="477"/>
      <c r="S852" s="477"/>
      <c r="T852" s="477"/>
      <c r="U852" s="477"/>
      <c r="V852" s="477"/>
      <c r="W852" s="477"/>
      <c r="X852" s="477"/>
      <c r="Y852" s="477"/>
      <c r="Z852" s="477"/>
    </row>
    <row r="853" spans="1:26" ht="15" customHeight="1" x14ac:dyDescent="0.35">
      <c r="A853" s="477"/>
      <c r="B853" s="477"/>
      <c r="C853" s="477"/>
      <c r="D853" s="477"/>
      <c r="E853" s="477"/>
      <c r="F853" s="477"/>
      <c r="G853" s="477"/>
      <c r="H853" s="477"/>
      <c r="I853" s="477"/>
      <c r="J853" s="477"/>
      <c r="K853" s="477"/>
      <c r="L853" s="477"/>
      <c r="M853" s="477"/>
      <c r="N853" s="477"/>
      <c r="O853" s="477"/>
      <c r="P853" s="477"/>
      <c r="Q853" s="477"/>
      <c r="R853" s="477"/>
      <c r="S853" s="477"/>
      <c r="T853" s="477"/>
      <c r="U853" s="477"/>
      <c r="V853" s="477"/>
      <c r="W853" s="477"/>
      <c r="X853" s="477"/>
      <c r="Y853" s="477"/>
      <c r="Z853" s="477"/>
    </row>
    <row r="854" spans="1:26" ht="15" customHeight="1" x14ac:dyDescent="0.35">
      <c r="A854" s="477"/>
      <c r="B854" s="477"/>
      <c r="C854" s="477"/>
      <c r="D854" s="477"/>
      <c r="E854" s="477"/>
      <c r="F854" s="477"/>
      <c r="G854" s="477"/>
      <c r="H854" s="477"/>
      <c r="I854" s="477"/>
      <c r="J854" s="477"/>
      <c r="K854" s="477"/>
      <c r="L854" s="477"/>
      <c r="M854" s="477"/>
      <c r="N854" s="477"/>
      <c r="O854" s="477"/>
      <c r="P854" s="477"/>
      <c r="Q854" s="477"/>
      <c r="R854" s="477"/>
      <c r="S854" s="477"/>
      <c r="T854" s="477"/>
      <c r="U854" s="477"/>
      <c r="V854" s="477"/>
      <c r="W854" s="477"/>
      <c r="X854" s="477"/>
      <c r="Y854" s="477"/>
      <c r="Z854" s="477"/>
    </row>
    <row r="855" spans="1:26" ht="15" customHeight="1" x14ac:dyDescent="0.35">
      <c r="A855" s="477"/>
      <c r="B855" s="477"/>
      <c r="C855" s="477"/>
      <c r="D855" s="477"/>
      <c r="E855" s="477"/>
      <c r="F855" s="477"/>
      <c r="G855" s="477"/>
      <c r="H855" s="477"/>
      <c r="I855" s="477"/>
      <c r="J855" s="477"/>
      <c r="K855" s="477"/>
      <c r="L855" s="477"/>
      <c r="M855" s="477"/>
      <c r="N855" s="477"/>
      <c r="O855" s="477"/>
      <c r="P855" s="477"/>
      <c r="Q855" s="477"/>
      <c r="R855" s="477"/>
      <c r="S855" s="477"/>
      <c r="T855" s="477"/>
      <c r="U855" s="477"/>
      <c r="V855" s="477"/>
      <c r="W855" s="477"/>
      <c r="X855" s="477"/>
      <c r="Y855" s="477"/>
      <c r="Z855" s="477"/>
    </row>
    <row r="856" spans="1:26" ht="15" customHeight="1" x14ac:dyDescent="0.35">
      <c r="A856" s="477"/>
      <c r="B856" s="477"/>
      <c r="C856" s="477"/>
      <c r="D856" s="477"/>
      <c r="E856" s="477"/>
      <c r="F856" s="477"/>
      <c r="G856" s="477"/>
      <c r="H856" s="477"/>
      <c r="I856" s="477"/>
      <c r="J856" s="477"/>
      <c r="K856" s="477"/>
      <c r="L856" s="477"/>
      <c r="M856" s="477"/>
      <c r="N856" s="477"/>
      <c r="O856" s="477"/>
      <c r="P856" s="477"/>
      <c r="Q856" s="477"/>
      <c r="R856" s="477"/>
      <c r="S856" s="477"/>
      <c r="T856" s="477"/>
      <c r="U856" s="477"/>
      <c r="V856" s="477"/>
      <c r="W856" s="477"/>
      <c r="X856" s="477"/>
      <c r="Y856" s="477"/>
      <c r="Z856" s="477"/>
    </row>
    <row r="857" spans="1:26" ht="15" customHeight="1" x14ac:dyDescent="0.35">
      <c r="A857" s="477"/>
      <c r="B857" s="477"/>
      <c r="C857" s="477"/>
      <c r="D857" s="477"/>
      <c r="E857" s="477"/>
      <c r="F857" s="477"/>
      <c r="G857" s="477"/>
      <c r="H857" s="477"/>
      <c r="I857" s="477"/>
      <c r="J857" s="477"/>
      <c r="K857" s="477"/>
      <c r="L857" s="477"/>
      <c r="M857" s="477"/>
      <c r="N857" s="477"/>
      <c r="O857" s="477"/>
      <c r="P857" s="477"/>
      <c r="Q857" s="477"/>
      <c r="R857" s="477"/>
      <c r="S857" s="477"/>
      <c r="T857" s="477"/>
      <c r="U857" s="477"/>
      <c r="V857" s="477"/>
      <c r="W857" s="477"/>
      <c r="X857" s="477"/>
      <c r="Y857" s="477"/>
      <c r="Z857" s="477"/>
    </row>
    <row r="858" spans="1:26" ht="15" customHeight="1" x14ac:dyDescent="0.35">
      <c r="A858" s="477"/>
      <c r="B858" s="477"/>
      <c r="C858" s="477"/>
      <c r="D858" s="477"/>
      <c r="E858" s="477"/>
      <c r="F858" s="477"/>
      <c r="G858" s="477"/>
      <c r="H858" s="477"/>
      <c r="I858" s="477"/>
      <c r="J858" s="477"/>
      <c r="K858" s="477"/>
      <c r="L858" s="477"/>
      <c r="M858" s="477"/>
      <c r="N858" s="477"/>
      <c r="O858" s="477"/>
      <c r="P858" s="477"/>
      <c r="Q858" s="477"/>
      <c r="R858" s="477"/>
      <c r="S858" s="477"/>
      <c r="T858" s="477"/>
      <c r="U858" s="477"/>
      <c r="V858" s="477"/>
      <c r="W858" s="477"/>
      <c r="X858" s="477"/>
      <c r="Y858" s="477"/>
      <c r="Z858" s="477"/>
    </row>
    <row r="859" spans="1:26" ht="15" customHeight="1" x14ac:dyDescent="0.35">
      <c r="A859" s="477"/>
      <c r="B859" s="477"/>
      <c r="C859" s="477"/>
      <c r="D859" s="477"/>
      <c r="E859" s="477"/>
      <c r="F859" s="477"/>
      <c r="G859" s="477"/>
      <c r="H859" s="477"/>
      <c r="I859" s="477"/>
      <c r="J859" s="477"/>
      <c r="K859" s="477"/>
      <c r="L859" s="477"/>
      <c r="M859" s="477"/>
      <c r="N859" s="477"/>
      <c r="O859" s="477"/>
      <c r="P859" s="477"/>
      <c r="Q859" s="477"/>
      <c r="R859" s="477"/>
      <c r="S859" s="477"/>
      <c r="T859" s="477"/>
      <c r="U859" s="477"/>
      <c r="V859" s="477"/>
      <c r="W859" s="477"/>
      <c r="X859" s="477"/>
      <c r="Y859" s="477"/>
      <c r="Z859" s="477"/>
    </row>
    <row r="860" spans="1:26" ht="15" customHeight="1" x14ac:dyDescent="0.35">
      <c r="A860" s="477"/>
      <c r="B860" s="477"/>
      <c r="C860" s="477"/>
      <c r="D860" s="477"/>
      <c r="E860" s="477"/>
      <c r="F860" s="477"/>
      <c r="G860" s="477"/>
      <c r="H860" s="477"/>
      <c r="I860" s="477"/>
      <c r="J860" s="477"/>
      <c r="K860" s="477"/>
      <c r="L860" s="477"/>
      <c r="M860" s="477"/>
      <c r="N860" s="477"/>
      <c r="O860" s="477"/>
      <c r="P860" s="477"/>
      <c r="Q860" s="477"/>
      <c r="R860" s="477"/>
      <c r="S860" s="477"/>
      <c r="T860" s="477"/>
      <c r="U860" s="477"/>
      <c r="V860" s="477"/>
      <c r="W860" s="477"/>
      <c r="X860" s="477"/>
      <c r="Y860" s="477"/>
      <c r="Z860" s="477"/>
    </row>
    <row r="861" spans="1:26" ht="15" customHeight="1" x14ac:dyDescent="0.35">
      <c r="A861" s="477"/>
      <c r="B861" s="477"/>
      <c r="C861" s="477"/>
      <c r="D861" s="477"/>
      <c r="E861" s="477"/>
      <c r="F861" s="477"/>
      <c r="G861" s="477"/>
      <c r="H861" s="477"/>
      <c r="I861" s="477"/>
      <c r="J861" s="477"/>
      <c r="K861" s="477"/>
      <c r="L861" s="477"/>
      <c r="M861" s="477"/>
      <c r="N861" s="477"/>
      <c r="O861" s="477"/>
      <c r="P861" s="477"/>
      <c r="Q861" s="477"/>
      <c r="R861" s="477"/>
      <c r="S861" s="477"/>
      <c r="T861" s="477"/>
      <c r="U861" s="477"/>
      <c r="V861" s="477"/>
      <c r="W861" s="477"/>
      <c r="X861" s="477"/>
      <c r="Y861" s="477"/>
      <c r="Z861" s="477"/>
    </row>
    <row r="862" spans="1:26" ht="15" customHeight="1" x14ac:dyDescent="0.35">
      <c r="A862" s="477"/>
      <c r="B862" s="477"/>
      <c r="C862" s="477"/>
      <c r="D862" s="477"/>
      <c r="E862" s="477"/>
      <c r="F862" s="477"/>
      <c r="G862" s="477"/>
      <c r="H862" s="477"/>
      <c r="I862" s="477"/>
      <c r="J862" s="477"/>
      <c r="K862" s="477"/>
      <c r="L862" s="477"/>
      <c r="M862" s="477"/>
      <c r="N862" s="477"/>
      <c r="O862" s="477"/>
      <c r="P862" s="477"/>
      <c r="Q862" s="477"/>
      <c r="R862" s="477"/>
      <c r="S862" s="477"/>
      <c r="T862" s="477"/>
      <c r="U862" s="477"/>
      <c r="V862" s="477"/>
      <c r="W862" s="477"/>
      <c r="X862" s="477"/>
      <c r="Y862" s="477"/>
      <c r="Z862" s="477"/>
    </row>
    <row r="863" spans="1:26" ht="15" customHeight="1" x14ac:dyDescent="0.35">
      <c r="A863" s="477"/>
      <c r="B863" s="477"/>
      <c r="C863" s="477"/>
      <c r="D863" s="477"/>
      <c r="E863" s="477"/>
      <c r="F863" s="477"/>
      <c r="G863" s="477"/>
      <c r="H863" s="477"/>
      <c r="I863" s="477"/>
      <c r="J863" s="477"/>
      <c r="K863" s="477"/>
      <c r="L863" s="477"/>
      <c r="M863" s="477"/>
      <c r="N863" s="477"/>
      <c r="O863" s="477"/>
      <c r="P863" s="477"/>
      <c r="Q863" s="477"/>
      <c r="R863" s="477"/>
      <c r="S863" s="477"/>
      <c r="T863" s="477"/>
      <c r="U863" s="477"/>
      <c r="V863" s="477"/>
      <c r="W863" s="477"/>
      <c r="X863" s="477"/>
      <c r="Y863" s="477"/>
      <c r="Z863" s="477"/>
    </row>
    <row r="864" spans="1:26" ht="15" customHeight="1" x14ac:dyDescent="0.35">
      <c r="A864" s="477"/>
      <c r="B864" s="477"/>
      <c r="C864" s="477"/>
      <c r="D864" s="477"/>
      <c r="E864" s="477"/>
      <c r="F864" s="477"/>
      <c r="G864" s="477"/>
      <c r="H864" s="477"/>
      <c r="I864" s="477"/>
      <c r="J864" s="477"/>
      <c r="K864" s="477"/>
      <c r="L864" s="477"/>
      <c r="M864" s="477"/>
      <c r="N864" s="477"/>
      <c r="O864" s="477"/>
      <c r="P864" s="477"/>
      <c r="Q864" s="477"/>
      <c r="R864" s="477"/>
      <c r="S864" s="477"/>
      <c r="T864" s="477"/>
      <c r="U864" s="477"/>
      <c r="V864" s="477"/>
      <c r="W864" s="477"/>
      <c r="X864" s="477"/>
      <c r="Y864" s="477"/>
      <c r="Z864" s="477"/>
    </row>
    <row r="865" spans="1:26" ht="15" customHeight="1" x14ac:dyDescent="0.35">
      <c r="A865" s="477"/>
      <c r="B865" s="477"/>
      <c r="C865" s="477"/>
      <c r="D865" s="477"/>
      <c r="E865" s="477"/>
      <c r="F865" s="477"/>
      <c r="G865" s="477"/>
      <c r="H865" s="477"/>
      <c r="I865" s="477"/>
      <c r="J865" s="477"/>
      <c r="K865" s="477"/>
      <c r="L865" s="477"/>
      <c r="M865" s="477"/>
      <c r="N865" s="477"/>
      <c r="O865" s="477"/>
      <c r="P865" s="477"/>
      <c r="Q865" s="477"/>
      <c r="R865" s="477"/>
      <c r="S865" s="477"/>
      <c r="T865" s="477"/>
      <c r="U865" s="477"/>
      <c r="V865" s="477"/>
      <c r="W865" s="477"/>
      <c r="X865" s="477"/>
      <c r="Y865" s="477"/>
      <c r="Z865" s="477"/>
    </row>
    <row r="866" spans="1:26" ht="15" customHeight="1" x14ac:dyDescent="0.35">
      <c r="A866" s="477"/>
      <c r="B866" s="477"/>
      <c r="C866" s="477"/>
      <c r="D866" s="477"/>
      <c r="E866" s="477"/>
      <c r="F866" s="477"/>
      <c r="G866" s="477"/>
      <c r="H866" s="477"/>
      <c r="I866" s="477"/>
      <c r="J866" s="477"/>
      <c r="K866" s="477"/>
      <c r="L866" s="477"/>
      <c r="M866" s="477"/>
      <c r="N866" s="477"/>
      <c r="O866" s="477"/>
      <c r="P866" s="477"/>
      <c r="Q866" s="477"/>
      <c r="R866" s="477"/>
      <c r="S866" s="477"/>
      <c r="T866" s="477"/>
      <c r="U866" s="477"/>
      <c r="V866" s="477"/>
      <c r="W866" s="477"/>
      <c r="X866" s="477"/>
      <c r="Y866" s="477"/>
      <c r="Z866" s="477"/>
    </row>
    <row r="867" spans="1:26" ht="15" customHeight="1" x14ac:dyDescent="0.35">
      <c r="A867" s="477"/>
      <c r="B867" s="477"/>
      <c r="C867" s="477"/>
      <c r="D867" s="477"/>
      <c r="E867" s="477"/>
      <c r="F867" s="477"/>
      <c r="G867" s="477"/>
      <c r="H867" s="477"/>
      <c r="I867" s="477"/>
      <c r="J867" s="477"/>
      <c r="K867" s="477"/>
      <c r="L867" s="477"/>
      <c r="M867" s="477"/>
      <c r="N867" s="477"/>
      <c r="O867" s="477"/>
      <c r="P867" s="477"/>
      <c r="Q867" s="477"/>
      <c r="R867" s="477"/>
      <c r="S867" s="477"/>
      <c r="T867" s="477"/>
      <c r="U867" s="477"/>
      <c r="V867" s="477"/>
      <c r="W867" s="477"/>
      <c r="X867" s="477"/>
      <c r="Y867" s="477"/>
      <c r="Z867" s="477"/>
    </row>
    <row r="868" spans="1:26" ht="15" customHeight="1" x14ac:dyDescent="0.35">
      <c r="A868" s="477"/>
      <c r="B868" s="477"/>
      <c r="C868" s="477"/>
      <c r="D868" s="477"/>
      <c r="E868" s="477"/>
      <c r="F868" s="477"/>
      <c r="G868" s="477"/>
      <c r="H868" s="477"/>
      <c r="I868" s="477"/>
      <c r="J868" s="477"/>
      <c r="K868" s="477"/>
      <c r="L868" s="477"/>
      <c r="M868" s="477"/>
      <c r="N868" s="477"/>
      <c r="O868" s="477"/>
      <c r="P868" s="477"/>
      <c r="Q868" s="477"/>
      <c r="R868" s="477"/>
      <c r="S868" s="477"/>
      <c r="T868" s="477"/>
      <c r="U868" s="477"/>
      <c r="V868" s="477"/>
      <c r="W868" s="477"/>
      <c r="X868" s="477"/>
      <c r="Y868" s="477"/>
      <c r="Z868" s="477"/>
    </row>
    <row r="869" spans="1:26" ht="15" customHeight="1" x14ac:dyDescent="0.35">
      <c r="A869" s="477"/>
      <c r="B869" s="477"/>
      <c r="C869" s="477"/>
      <c r="D869" s="477"/>
      <c r="E869" s="477"/>
      <c r="F869" s="477"/>
      <c r="G869" s="477"/>
      <c r="H869" s="477"/>
      <c r="I869" s="477"/>
      <c r="J869" s="477"/>
      <c r="K869" s="477"/>
      <c r="L869" s="477"/>
      <c r="M869" s="477"/>
      <c r="N869" s="477"/>
      <c r="O869" s="477"/>
      <c r="P869" s="477"/>
      <c r="Q869" s="477"/>
      <c r="R869" s="477"/>
      <c r="S869" s="477"/>
      <c r="T869" s="477"/>
      <c r="U869" s="477"/>
      <c r="V869" s="477"/>
      <c r="W869" s="477"/>
      <c r="X869" s="477"/>
      <c r="Y869" s="477"/>
      <c r="Z869" s="477"/>
    </row>
    <row r="870" spans="1:26" ht="15" customHeight="1" x14ac:dyDescent="0.35">
      <c r="A870" s="477"/>
      <c r="B870" s="477"/>
      <c r="C870" s="477"/>
      <c r="D870" s="477"/>
      <c r="E870" s="477"/>
      <c r="F870" s="477"/>
      <c r="G870" s="477"/>
      <c r="H870" s="477"/>
      <c r="I870" s="477"/>
      <c r="J870" s="477"/>
      <c r="K870" s="477"/>
      <c r="L870" s="477"/>
      <c r="M870" s="477"/>
      <c r="N870" s="477"/>
      <c r="O870" s="477"/>
      <c r="P870" s="477"/>
      <c r="Q870" s="477"/>
      <c r="R870" s="477"/>
      <c r="S870" s="477"/>
      <c r="T870" s="477"/>
      <c r="U870" s="477"/>
      <c r="V870" s="477"/>
      <c r="W870" s="477"/>
      <c r="X870" s="477"/>
      <c r="Y870" s="477"/>
      <c r="Z870" s="477"/>
    </row>
    <row r="871" spans="1:26" ht="15" customHeight="1" x14ac:dyDescent="0.35">
      <c r="A871" s="477"/>
      <c r="B871" s="477"/>
      <c r="C871" s="477"/>
      <c r="D871" s="477"/>
      <c r="E871" s="477"/>
      <c r="F871" s="477"/>
      <c r="G871" s="477"/>
      <c r="H871" s="477"/>
      <c r="I871" s="477"/>
      <c r="J871" s="477"/>
      <c r="K871" s="477"/>
      <c r="L871" s="477"/>
      <c r="M871" s="477"/>
      <c r="N871" s="477"/>
      <c r="O871" s="477"/>
      <c r="P871" s="477"/>
      <c r="Q871" s="477"/>
      <c r="R871" s="477"/>
      <c r="S871" s="477"/>
      <c r="T871" s="477"/>
      <c r="U871" s="477"/>
      <c r="V871" s="477"/>
      <c r="W871" s="477"/>
      <c r="X871" s="477"/>
      <c r="Y871" s="477"/>
      <c r="Z871" s="477"/>
    </row>
    <row r="872" spans="1:26" ht="15" customHeight="1" x14ac:dyDescent="0.35">
      <c r="A872" s="477"/>
      <c r="B872" s="477"/>
      <c r="C872" s="477"/>
      <c r="D872" s="477"/>
      <c r="E872" s="477"/>
      <c r="F872" s="477"/>
      <c r="G872" s="477"/>
      <c r="H872" s="477"/>
      <c r="I872" s="477"/>
      <c r="J872" s="477"/>
      <c r="K872" s="477"/>
      <c r="L872" s="477"/>
      <c r="M872" s="477"/>
      <c r="N872" s="477"/>
      <c r="O872" s="477"/>
      <c r="P872" s="477"/>
      <c r="Q872" s="477"/>
      <c r="R872" s="477"/>
      <c r="S872" s="477"/>
      <c r="T872" s="477"/>
      <c r="U872" s="477"/>
      <c r="V872" s="477"/>
      <c r="W872" s="477"/>
      <c r="X872" s="477"/>
      <c r="Y872" s="477"/>
      <c r="Z872" s="477"/>
    </row>
    <row r="873" spans="1:26" ht="15" customHeight="1" x14ac:dyDescent="0.35">
      <c r="A873" s="477"/>
      <c r="B873" s="477"/>
      <c r="C873" s="477"/>
      <c r="D873" s="477"/>
      <c r="E873" s="477"/>
      <c r="F873" s="477"/>
      <c r="G873" s="477"/>
      <c r="H873" s="477"/>
      <c r="I873" s="477"/>
      <c r="J873" s="477"/>
      <c r="K873" s="477"/>
      <c r="L873" s="477"/>
      <c r="M873" s="477"/>
      <c r="N873" s="477"/>
      <c r="O873" s="477"/>
      <c r="P873" s="477"/>
      <c r="Q873" s="477"/>
      <c r="R873" s="477"/>
      <c r="S873" s="477"/>
      <c r="T873" s="477"/>
      <c r="U873" s="477"/>
      <c r="V873" s="477"/>
      <c r="W873" s="477"/>
      <c r="X873" s="477"/>
      <c r="Y873" s="477"/>
      <c r="Z873" s="477"/>
    </row>
    <row r="874" spans="1:26" ht="15" customHeight="1" x14ac:dyDescent="0.35">
      <c r="A874" s="477"/>
      <c r="B874" s="477"/>
      <c r="C874" s="477"/>
      <c r="D874" s="477"/>
      <c r="E874" s="477"/>
      <c r="F874" s="477"/>
      <c r="G874" s="477"/>
      <c r="H874" s="477"/>
      <c r="I874" s="477"/>
      <c r="J874" s="477"/>
      <c r="K874" s="477"/>
      <c r="L874" s="477"/>
      <c r="M874" s="477"/>
      <c r="N874" s="477"/>
      <c r="O874" s="477"/>
      <c r="P874" s="477"/>
      <c r="Q874" s="477"/>
      <c r="R874" s="477"/>
      <c r="S874" s="477"/>
      <c r="T874" s="477"/>
      <c r="U874" s="477"/>
      <c r="V874" s="477"/>
      <c r="W874" s="477"/>
      <c r="X874" s="477"/>
      <c r="Y874" s="477"/>
      <c r="Z874" s="477"/>
    </row>
    <row r="875" spans="1:26" ht="15" customHeight="1" x14ac:dyDescent="0.35">
      <c r="A875" s="477"/>
      <c r="B875" s="477"/>
      <c r="C875" s="477"/>
      <c r="D875" s="477"/>
      <c r="E875" s="477"/>
      <c r="F875" s="477"/>
      <c r="G875" s="477"/>
      <c r="H875" s="477"/>
      <c r="I875" s="477"/>
      <c r="J875" s="477"/>
      <c r="K875" s="477"/>
      <c r="L875" s="477"/>
      <c r="M875" s="477"/>
      <c r="N875" s="477"/>
      <c r="O875" s="477"/>
      <c r="P875" s="477"/>
      <c r="Q875" s="477"/>
      <c r="R875" s="477"/>
      <c r="S875" s="477"/>
      <c r="T875" s="477"/>
      <c r="U875" s="477"/>
      <c r="V875" s="477"/>
      <c r="W875" s="477"/>
      <c r="X875" s="477"/>
      <c r="Y875" s="477"/>
      <c r="Z875" s="477"/>
    </row>
    <row r="876" spans="1:26" ht="15" customHeight="1" x14ac:dyDescent="0.35">
      <c r="A876" s="477"/>
      <c r="B876" s="477"/>
      <c r="C876" s="477"/>
      <c r="D876" s="477"/>
      <c r="E876" s="477"/>
      <c r="F876" s="477"/>
      <c r="G876" s="477"/>
      <c r="H876" s="477"/>
      <c r="I876" s="477"/>
      <c r="J876" s="477"/>
      <c r="K876" s="477"/>
      <c r="L876" s="477"/>
      <c r="M876" s="477"/>
      <c r="N876" s="477"/>
      <c r="O876" s="477"/>
      <c r="P876" s="477"/>
      <c r="Q876" s="477"/>
      <c r="R876" s="477"/>
      <c r="S876" s="477"/>
      <c r="T876" s="477"/>
      <c r="U876" s="477"/>
      <c r="V876" s="477"/>
      <c r="W876" s="477"/>
      <c r="X876" s="477"/>
      <c r="Y876" s="477"/>
      <c r="Z876" s="477"/>
    </row>
    <row r="877" spans="1:26" ht="15" customHeight="1" x14ac:dyDescent="0.35">
      <c r="A877" s="477"/>
      <c r="B877" s="477"/>
      <c r="C877" s="477"/>
      <c r="D877" s="477"/>
      <c r="E877" s="477"/>
      <c r="F877" s="477"/>
      <c r="G877" s="477"/>
      <c r="H877" s="477"/>
      <c r="I877" s="477"/>
      <c r="J877" s="477"/>
      <c r="K877" s="477"/>
      <c r="L877" s="477"/>
      <c r="M877" s="477"/>
      <c r="N877" s="477"/>
      <c r="O877" s="477"/>
      <c r="P877" s="477"/>
      <c r="Q877" s="477"/>
      <c r="R877" s="477"/>
      <c r="S877" s="477"/>
      <c r="T877" s="477"/>
      <c r="U877" s="477"/>
      <c r="V877" s="477"/>
      <c r="W877" s="477"/>
      <c r="X877" s="477"/>
      <c r="Y877" s="477"/>
      <c r="Z877" s="477"/>
    </row>
    <row r="878" spans="1:26" ht="15" customHeight="1" x14ac:dyDescent="0.35">
      <c r="A878" s="477"/>
      <c r="B878" s="477"/>
      <c r="C878" s="477"/>
      <c r="D878" s="477"/>
      <c r="E878" s="477"/>
      <c r="F878" s="477"/>
      <c r="G878" s="477"/>
      <c r="H878" s="477"/>
      <c r="I878" s="477"/>
      <c r="J878" s="477"/>
      <c r="K878" s="477"/>
      <c r="L878" s="477"/>
      <c r="M878" s="477"/>
      <c r="N878" s="477"/>
      <c r="O878" s="477"/>
      <c r="P878" s="477"/>
      <c r="Q878" s="477"/>
      <c r="R878" s="477"/>
      <c r="S878" s="477"/>
      <c r="T878" s="477"/>
      <c r="U878" s="477"/>
      <c r="V878" s="477"/>
      <c r="W878" s="477"/>
      <c r="X878" s="477"/>
      <c r="Y878" s="477"/>
      <c r="Z878" s="477"/>
    </row>
    <row r="879" spans="1:26" ht="15" customHeight="1" x14ac:dyDescent="0.35">
      <c r="A879" s="477"/>
      <c r="B879" s="477"/>
      <c r="C879" s="477"/>
      <c r="D879" s="477"/>
      <c r="E879" s="477"/>
      <c r="F879" s="477"/>
      <c r="G879" s="477"/>
      <c r="H879" s="477"/>
      <c r="I879" s="477"/>
      <c r="J879" s="477"/>
      <c r="K879" s="477"/>
      <c r="L879" s="477"/>
      <c r="M879" s="477"/>
      <c r="N879" s="477"/>
      <c r="O879" s="477"/>
      <c r="P879" s="477"/>
      <c r="Q879" s="477"/>
      <c r="R879" s="477"/>
      <c r="S879" s="477"/>
      <c r="T879" s="477"/>
      <c r="U879" s="477"/>
      <c r="V879" s="477"/>
      <c r="W879" s="477"/>
      <c r="X879" s="477"/>
      <c r="Y879" s="477"/>
      <c r="Z879" s="477"/>
    </row>
    <row r="880" spans="1:26" ht="15" customHeight="1" x14ac:dyDescent="0.35">
      <c r="A880" s="477"/>
      <c r="B880" s="477"/>
      <c r="C880" s="477"/>
      <c r="D880" s="477"/>
      <c r="E880" s="477"/>
      <c r="F880" s="477"/>
      <c r="G880" s="477"/>
      <c r="H880" s="477"/>
      <c r="I880" s="477"/>
      <c r="J880" s="477"/>
      <c r="K880" s="477"/>
      <c r="L880" s="477"/>
      <c r="M880" s="477"/>
      <c r="N880" s="477"/>
      <c r="O880" s="477"/>
      <c r="P880" s="477"/>
      <c r="Q880" s="477"/>
      <c r="R880" s="477"/>
      <c r="S880" s="477"/>
      <c r="T880" s="477"/>
      <c r="U880" s="477"/>
      <c r="V880" s="477"/>
      <c r="W880" s="477"/>
      <c r="X880" s="477"/>
      <c r="Y880" s="477"/>
      <c r="Z880" s="477"/>
    </row>
    <row r="881" spans="1:26" ht="15" customHeight="1" x14ac:dyDescent="0.35">
      <c r="A881" s="477"/>
      <c r="B881" s="477"/>
      <c r="C881" s="477"/>
      <c r="D881" s="477"/>
      <c r="E881" s="477"/>
      <c r="F881" s="477"/>
      <c r="G881" s="477"/>
      <c r="H881" s="477"/>
      <c r="I881" s="477"/>
      <c r="J881" s="477"/>
      <c r="K881" s="477"/>
      <c r="L881" s="477"/>
      <c r="M881" s="477"/>
      <c r="N881" s="477"/>
      <c r="O881" s="477"/>
      <c r="P881" s="477"/>
      <c r="Q881" s="477"/>
      <c r="R881" s="477"/>
      <c r="S881" s="477"/>
      <c r="T881" s="477"/>
      <c r="U881" s="477"/>
      <c r="V881" s="477"/>
      <c r="W881" s="477"/>
      <c r="X881" s="477"/>
      <c r="Y881" s="477"/>
      <c r="Z881" s="477"/>
    </row>
    <row r="882" spans="1:26" ht="15" customHeight="1" x14ac:dyDescent="0.35">
      <c r="A882" s="477"/>
      <c r="B882" s="477"/>
      <c r="C882" s="477"/>
      <c r="D882" s="477"/>
      <c r="E882" s="477"/>
      <c r="F882" s="477"/>
      <c r="G882" s="477"/>
      <c r="H882" s="477"/>
      <c r="I882" s="477"/>
      <c r="J882" s="477"/>
      <c r="K882" s="477"/>
      <c r="L882" s="477"/>
      <c r="M882" s="477"/>
      <c r="N882" s="477"/>
      <c r="O882" s="477"/>
      <c r="P882" s="477"/>
      <c r="Q882" s="477"/>
      <c r="R882" s="477"/>
      <c r="S882" s="477"/>
      <c r="T882" s="477"/>
      <c r="U882" s="477"/>
      <c r="V882" s="477"/>
      <c r="W882" s="477"/>
      <c r="X882" s="477"/>
      <c r="Y882" s="477"/>
      <c r="Z882" s="477"/>
    </row>
    <row r="883" spans="1:26" ht="15" customHeight="1" x14ac:dyDescent="0.35">
      <c r="A883" s="477"/>
      <c r="B883" s="477"/>
      <c r="C883" s="477"/>
      <c r="D883" s="477"/>
      <c r="E883" s="477"/>
      <c r="F883" s="477"/>
      <c r="G883" s="477"/>
      <c r="H883" s="477"/>
      <c r="I883" s="477"/>
      <c r="J883" s="477"/>
      <c r="K883" s="477"/>
      <c r="L883" s="477"/>
      <c r="M883" s="477"/>
      <c r="N883" s="477"/>
      <c r="O883" s="477"/>
      <c r="P883" s="477"/>
      <c r="Q883" s="477"/>
      <c r="R883" s="477"/>
      <c r="S883" s="477"/>
      <c r="T883" s="477"/>
      <c r="U883" s="477"/>
      <c r="V883" s="477"/>
      <c r="W883" s="477"/>
      <c r="X883" s="477"/>
      <c r="Y883" s="477"/>
      <c r="Z883" s="477"/>
    </row>
    <row r="884" spans="1:26" ht="15" customHeight="1" x14ac:dyDescent="0.35">
      <c r="A884" s="477"/>
      <c r="B884" s="477"/>
      <c r="C884" s="477"/>
      <c r="D884" s="477"/>
      <c r="E884" s="477"/>
      <c r="F884" s="477"/>
      <c r="G884" s="477"/>
      <c r="H884" s="477"/>
      <c r="I884" s="477"/>
      <c r="J884" s="477"/>
      <c r="K884" s="477"/>
      <c r="L884" s="477"/>
      <c r="M884" s="477"/>
      <c r="N884" s="477"/>
      <c r="O884" s="477"/>
      <c r="P884" s="477"/>
      <c r="Q884" s="477"/>
      <c r="R884" s="477"/>
      <c r="S884" s="477"/>
      <c r="T884" s="477"/>
      <c r="U884" s="477"/>
      <c r="V884" s="477"/>
      <c r="W884" s="477"/>
      <c r="X884" s="477"/>
      <c r="Y884" s="477"/>
      <c r="Z884" s="477"/>
    </row>
    <row r="885" spans="1:26" ht="15" customHeight="1" x14ac:dyDescent="0.35">
      <c r="A885" s="477"/>
      <c r="B885" s="477"/>
      <c r="C885" s="477"/>
      <c r="D885" s="477"/>
      <c r="E885" s="477"/>
      <c r="F885" s="477"/>
      <c r="G885" s="477"/>
      <c r="H885" s="477"/>
      <c r="I885" s="477"/>
      <c r="J885" s="477"/>
      <c r="K885" s="477"/>
      <c r="L885" s="477"/>
      <c r="M885" s="477"/>
      <c r="N885" s="477"/>
      <c r="O885" s="477"/>
      <c r="P885" s="477"/>
      <c r="Q885" s="477"/>
      <c r="R885" s="477"/>
      <c r="S885" s="477"/>
      <c r="T885" s="477"/>
      <c r="U885" s="477"/>
      <c r="V885" s="477"/>
      <c r="W885" s="477"/>
      <c r="X885" s="477"/>
      <c r="Y885" s="477"/>
      <c r="Z885" s="477"/>
    </row>
    <row r="886" spans="1:26" ht="15" customHeight="1" x14ac:dyDescent="0.35">
      <c r="A886" s="477"/>
      <c r="B886" s="477"/>
      <c r="C886" s="477"/>
      <c r="D886" s="477"/>
      <c r="E886" s="477"/>
      <c r="F886" s="477"/>
      <c r="G886" s="477"/>
      <c r="H886" s="477"/>
      <c r="I886" s="477"/>
      <c r="J886" s="477"/>
      <c r="K886" s="477"/>
      <c r="L886" s="477"/>
      <c r="M886" s="477"/>
      <c r="N886" s="477"/>
      <c r="O886" s="477"/>
      <c r="P886" s="477"/>
      <c r="Q886" s="477"/>
      <c r="R886" s="477"/>
      <c r="S886" s="477"/>
      <c r="T886" s="477"/>
      <c r="U886" s="477"/>
      <c r="V886" s="477"/>
      <c r="W886" s="477"/>
      <c r="X886" s="477"/>
      <c r="Y886" s="477"/>
      <c r="Z886" s="477"/>
    </row>
    <row r="887" spans="1:26" ht="15" customHeight="1" x14ac:dyDescent="0.35">
      <c r="A887" s="477"/>
      <c r="B887" s="477"/>
      <c r="C887" s="477"/>
      <c r="D887" s="477"/>
      <c r="E887" s="477"/>
      <c r="F887" s="477"/>
      <c r="G887" s="477"/>
      <c r="H887" s="477"/>
      <c r="I887" s="477"/>
      <c r="J887" s="477"/>
      <c r="K887" s="477"/>
      <c r="L887" s="477"/>
      <c r="M887" s="477"/>
      <c r="N887" s="477"/>
      <c r="O887" s="477"/>
      <c r="P887" s="477"/>
      <c r="Q887" s="477"/>
      <c r="R887" s="477"/>
      <c r="S887" s="477"/>
      <c r="T887" s="477"/>
      <c r="U887" s="477"/>
      <c r="V887" s="477"/>
      <c r="W887" s="477"/>
      <c r="X887" s="477"/>
      <c r="Y887" s="477"/>
      <c r="Z887" s="477"/>
    </row>
    <row r="888" spans="1:26" ht="15" customHeight="1" x14ac:dyDescent="0.35">
      <c r="A888" s="477"/>
      <c r="B888" s="477"/>
      <c r="C888" s="477"/>
      <c r="D888" s="477"/>
      <c r="E888" s="477"/>
      <c r="F888" s="477"/>
      <c r="G888" s="477"/>
      <c r="H888" s="477"/>
      <c r="I888" s="477"/>
      <c r="J888" s="477"/>
      <c r="K888" s="477"/>
      <c r="L888" s="477"/>
      <c r="M888" s="477"/>
      <c r="N888" s="477"/>
      <c r="O888" s="477"/>
      <c r="P888" s="477"/>
      <c r="Q888" s="477"/>
      <c r="R888" s="477"/>
      <c r="S888" s="477"/>
      <c r="T888" s="477"/>
      <c r="U888" s="477"/>
      <c r="V888" s="477"/>
      <c r="W888" s="477"/>
      <c r="X888" s="477"/>
      <c r="Y888" s="477"/>
      <c r="Z888" s="477"/>
    </row>
    <row r="889" spans="1:26" ht="15" customHeight="1" x14ac:dyDescent="0.35">
      <c r="A889" s="477"/>
      <c r="B889" s="477"/>
      <c r="C889" s="477"/>
      <c r="D889" s="477"/>
      <c r="E889" s="477"/>
      <c r="F889" s="477"/>
      <c r="G889" s="477"/>
      <c r="H889" s="477"/>
      <c r="I889" s="477"/>
      <c r="J889" s="477"/>
      <c r="K889" s="477"/>
      <c r="L889" s="477"/>
      <c r="M889" s="477"/>
      <c r="N889" s="477"/>
      <c r="O889" s="477"/>
      <c r="P889" s="477"/>
      <c r="Q889" s="477"/>
      <c r="R889" s="477"/>
      <c r="S889" s="477"/>
      <c r="T889" s="477"/>
      <c r="U889" s="477"/>
      <c r="V889" s="477"/>
      <c r="W889" s="477"/>
      <c r="X889" s="477"/>
      <c r="Y889" s="477"/>
      <c r="Z889" s="477"/>
    </row>
    <row r="890" spans="1:26" ht="15" customHeight="1" x14ac:dyDescent="0.35">
      <c r="A890" s="477"/>
      <c r="B890" s="477"/>
      <c r="C890" s="477"/>
      <c r="D890" s="477"/>
      <c r="E890" s="477"/>
      <c r="F890" s="477"/>
      <c r="G890" s="477"/>
      <c r="H890" s="477"/>
      <c r="I890" s="477"/>
      <c r="J890" s="477"/>
      <c r="K890" s="477"/>
      <c r="L890" s="477"/>
      <c r="M890" s="477"/>
      <c r="N890" s="477"/>
      <c r="O890" s="477"/>
      <c r="P890" s="477"/>
      <c r="Q890" s="477"/>
      <c r="R890" s="477"/>
      <c r="S890" s="477"/>
      <c r="T890" s="477"/>
      <c r="U890" s="477"/>
      <c r="V890" s="477"/>
      <c r="W890" s="477"/>
      <c r="X890" s="477"/>
      <c r="Y890" s="477"/>
      <c r="Z890" s="477"/>
    </row>
    <row r="891" spans="1:26" ht="15" customHeight="1" x14ac:dyDescent="0.35">
      <c r="A891" s="477"/>
      <c r="B891" s="477"/>
      <c r="C891" s="477"/>
      <c r="D891" s="477"/>
      <c r="E891" s="477"/>
      <c r="F891" s="477"/>
      <c r="G891" s="477"/>
      <c r="H891" s="477"/>
      <c r="I891" s="477"/>
      <c r="J891" s="477"/>
      <c r="K891" s="477"/>
      <c r="L891" s="477"/>
      <c r="M891" s="477"/>
      <c r="N891" s="477"/>
      <c r="O891" s="477"/>
      <c r="P891" s="477"/>
      <c r="Q891" s="477"/>
      <c r="R891" s="477"/>
      <c r="S891" s="477"/>
      <c r="T891" s="477"/>
      <c r="U891" s="477"/>
      <c r="V891" s="477"/>
      <c r="W891" s="477"/>
      <c r="X891" s="477"/>
      <c r="Y891" s="477"/>
      <c r="Z891" s="477"/>
    </row>
    <row r="892" spans="1:26" ht="15" customHeight="1" x14ac:dyDescent="0.35">
      <c r="A892" s="477"/>
      <c r="B892" s="477"/>
      <c r="C892" s="477"/>
      <c r="D892" s="477"/>
      <c r="E892" s="477"/>
      <c r="F892" s="477"/>
      <c r="G892" s="477"/>
      <c r="H892" s="477"/>
      <c r="I892" s="477"/>
      <c r="J892" s="477"/>
      <c r="K892" s="477"/>
      <c r="L892" s="477"/>
      <c r="M892" s="477"/>
      <c r="N892" s="477"/>
      <c r="O892" s="477"/>
      <c r="P892" s="477"/>
      <c r="Q892" s="477"/>
      <c r="R892" s="477"/>
      <c r="S892" s="477"/>
      <c r="T892" s="477"/>
      <c r="U892" s="477"/>
      <c r="V892" s="477"/>
      <c r="W892" s="477"/>
      <c r="X892" s="477"/>
      <c r="Y892" s="477"/>
      <c r="Z892" s="477"/>
    </row>
    <row r="893" spans="1:26" ht="15" customHeight="1" x14ac:dyDescent="0.35">
      <c r="A893" s="477"/>
      <c r="B893" s="477"/>
      <c r="C893" s="477"/>
      <c r="D893" s="477"/>
      <c r="E893" s="477"/>
      <c r="F893" s="477"/>
      <c r="G893" s="477"/>
      <c r="H893" s="477"/>
      <c r="I893" s="477"/>
      <c r="J893" s="477"/>
      <c r="K893" s="477"/>
      <c r="L893" s="477"/>
      <c r="M893" s="477"/>
      <c r="N893" s="477"/>
      <c r="O893" s="477"/>
      <c r="P893" s="477"/>
      <c r="Q893" s="477"/>
      <c r="R893" s="477"/>
      <c r="S893" s="477"/>
      <c r="T893" s="477"/>
      <c r="U893" s="477"/>
      <c r="V893" s="477"/>
      <c r="W893" s="477"/>
      <c r="X893" s="477"/>
      <c r="Y893" s="477"/>
      <c r="Z893" s="477"/>
    </row>
    <row r="894" spans="1:26" ht="15" customHeight="1" x14ac:dyDescent="0.35">
      <c r="A894" s="477"/>
      <c r="B894" s="477"/>
      <c r="C894" s="477"/>
      <c r="D894" s="477"/>
      <c r="E894" s="477"/>
      <c r="F894" s="477"/>
      <c r="G894" s="477"/>
      <c r="H894" s="477"/>
      <c r="I894" s="477"/>
      <c r="J894" s="477"/>
      <c r="K894" s="477"/>
      <c r="L894" s="477"/>
      <c r="M894" s="477"/>
      <c r="N894" s="477"/>
      <c r="O894" s="477"/>
      <c r="P894" s="477"/>
      <c r="Q894" s="477"/>
      <c r="R894" s="477"/>
      <c r="S894" s="477"/>
      <c r="T894" s="477"/>
      <c r="U894" s="477"/>
      <c r="V894" s="477"/>
      <c r="W894" s="477"/>
      <c r="X894" s="477"/>
      <c r="Y894" s="477"/>
      <c r="Z894" s="477"/>
    </row>
    <row r="895" spans="1:26" ht="15" customHeight="1" x14ac:dyDescent="0.35">
      <c r="A895" s="477"/>
      <c r="B895" s="477"/>
      <c r="C895" s="477"/>
      <c r="D895" s="477"/>
      <c r="E895" s="477"/>
      <c r="F895" s="477"/>
      <c r="G895" s="477"/>
      <c r="H895" s="477"/>
      <c r="I895" s="477"/>
      <c r="J895" s="477"/>
      <c r="K895" s="477"/>
      <c r="L895" s="477"/>
      <c r="M895" s="477"/>
      <c r="N895" s="477"/>
      <c r="O895" s="477"/>
      <c r="P895" s="477"/>
      <c r="Q895" s="477"/>
      <c r="R895" s="477"/>
      <c r="S895" s="477"/>
      <c r="T895" s="477"/>
      <c r="U895" s="477"/>
      <c r="V895" s="477"/>
      <c r="W895" s="477"/>
      <c r="X895" s="477"/>
      <c r="Y895" s="477"/>
      <c r="Z895" s="477"/>
    </row>
    <row r="896" spans="1:26" ht="15" customHeight="1" x14ac:dyDescent="0.35">
      <c r="A896" s="477"/>
      <c r="B896" s="477"/>
      <c r="C896" s="477"/>
      <c r="D896" s="477"/>
      <c r="E896" s="477"/>
      <c r="F896" s="477"/>
      <c r="G896" s="477"/>
      <c r="H896" s="477"/>
      <c r="I896" s="477"/>
      <c r="J896" s="477"/>
      <c r="K896" s="477"/>
      <c r="L896" s="477"/>
      <c r="M896" s="477"/>
      <c r="N896" s="477"/>
      <c r="O896" s="477"/>
      <c r="P896" s="477"/>
      <c r="Q896" s="477"/>
      <c r="R896" s="477"/>
      <c r="S896" s="477"/>
      <c r="T896" s="477"/>
      <c r="U896" s="477"/>
      <c r="V896" s="477"/>
      <c r="W896" s="477"/>
      <c r="X896" s="477"/>
      <c r="Y896" s="477"/>
      <c r="Z896" s="477"/>
    </row>
    <row r="897" spans="1:26" ht="15" customHeight="1" x14ac:dyDescent="0.35">
      <c r="A897" s="477"/>
      <c r="B897" s="477"/>
      <c r="C897" s="477"/>
      <c r="D897" s="477"/>
      <c r="E897" s="477"/>
      <c r="F897" s="477"/>
      <c r="G897" s="477"/>
      <c r="H897" s="477"/>
      <c r="I897" s="477"/>
      <c r="J897" s="477"/>
      <c r="K897" s="477"/>
      <c r="L897" s="477"/>
      <c r="M897" s="477"/>
      <c r="N897" s="477"/>
      <c r="O897" s="477"/>
      <c r="P897" s="477"/>
      <c r="Q897" s="477"/>
      <c r="R897" s="477"/>
      <c r="S897" s="477"/>
      <c r="T897" s="477"/>
      <c r="U897" s="477"/>
      <c r="V897" s="477"/>
      <c r="W897" s="477"/>
      <c r="X897" s="477"/>
      <c r="Y897" s="477"/>
      <c r="Z897" s="477"/>
    </row>
    <row r="898" spans="1:26" ht="15" customHeight="1" x14ac:dyDescent="0.35">
      <c r="A898" s="477"/>
      <c r="B898" s="477"/>
      <c r="C898" s="477"/>
      <c r="D898" s="477"/>
      <c r="E898" s="477"/>
      <c r="F898" s="477"/>
      <c r="G898" s="477"/>
      <c r="H898" s="477"/>
      <c r="I898" s="477"/>
      <c r="J898" s="477"/>
      <c r="K898" s="477"/>
      <c r="L898" s="477"/>
      <c r="M898" s="477"/>
      <c r="N898" s="477"/>
      <c r="O898" s="477"/>
      <c r="P898" s="477"/>
      <c r="Q898" s="477"/>
      <c r="R898" s="477"/>
      <c r="S898" s="477"/>
      <c r="T898" s="477"/>
      <c r="U898" s="477"/>
      <c r="V898" s="477"/>
      <c r="W898" s="477"/>
      <c r="X898" s="477"/>
      <c r="Y898" s="477"/>
      <c r="Z898" s="477"/>
    </row>
    <row r="899" spans="1:26" ht="15" customHeight="1" x14ac:dyDescent="0.35">
      <c r="A899" s="477"/>
      <c r="B899" s="477"/>
      <c r="C899" s="477"/>
      <c r="D899" s="477"/>
      <c r="E899" s="477"/>
      <c r="F899" s="477"/>
      <c r="G899" s="477"/>
      <c r="H899" s="477"/>
      <c r="I899" s="477"/>
      <c r="J899" s="477"/>
      <c r="K899" s="477"/>
      <c r="L899" s="477"/>
      <c r="M899" s="477"/>
      <c r="N899" s="477"/>
      <c r="O899" s="477"/>
      <c r="P899" s="477"/>
      <c r="Q899" s="477"/>
      <c r="R899" s="477"/>
      <c r="S899" s="477"/>
      <c r="T899" s="477"/>
      <c r="U899" s="477"/>
      <c r="V899" s="477"/>
      <c r="W899" s="477"/>
      <c r="X899" s="477"/>
      <c r="Y899" s="477"/>
      <c r="Z899" s="477"/>
    </row>
    <row r="900" spans="1:26" ht="15" customHeight="1" x14ac:dyDescent="0.35">
      <c r="A900" s="477"/>
      <c r="B900" s="477"/>
      <c r="C900" s="477"/>
      <c r="D900" s="477"/>
      <c r="E900" s="477"/>
      <c r="F900" s="477"/>
      <c r="G900" s="477"/>
      <c r="H900" s="477"/>
      <c r="I900" s="477"/>
      <c r="J900" s="477"/>
      <c r="K900" s="477"/>
      <c r="L900" s="477"/>
      <c r="M900" s="477"/>
      <c r="N900" s="477"/>
      <c r="O900" s="477"/>
      <c r="P900" s="477"/>
      <c r="Q900" s="477"/>
      <c r="R900" s="477"/>
      <c r="S900" s="477"/>
      <c r="T900" s="477"/>
      <c r="U900" s="477"/>
      <c r="V900" s="477"/>
      <c r="W900" s="477"/>
      <c r="X900" s="477"/>
      <c r="Y900" s="477"/>
      <c r="Z900" s="477"/>
    </row>
    <row r="901" spans="1:26" ht="15" customHeight="1" x14ac:dyDescent="0.35">
      <c r="A901" s="477"/>
      <c r="B901" s="477"/>
      <c r="C901" s="477"/>
      <c r="D901" s="477"/>
      <c r="E901" s="477"/>
      <c r="F901" s="477"/>
      <c r="G901" s="477"/>
      <c r="H901" s="477"/>
      <c r="I901" s="477"/>
      <c r="J901" s="477"/>
      <c r="K901" s="477"/>
      <c r="L901" s="477"/>
      <c r="M901" s="477"/>
      <c r="N901" s="477"/>
      <c r="O901" s="477"/>
      <c r="P901" s="477"/>
      <c r="Q901" s="477"/>
      <c r="R901" s="477"/>
      <c r="S901" s="477"/>
      <c r="T901" s="477"/>
      <c r="U901" s="477"/>
      <c r="V901" s="477"/>
      <c r="W901" s="477"/>
      <c r="X901" s="477"/>
      <c r="Y901" s="477"/>
      <c r="Z901" s="477"/>
    </row>
    <row r="902" spans="1:26" ht="15" customHeight="1" x14ac:dyDescent="0.35">
      <c r="A902" s="477"/>
      <c r="B902" s="477"/>
      <c r="C902" s="477"/>
      <c r="D902" s="477"/>
      <c r="E902" s="477"/>
      <c r="F902" s="477"/>
      <c r="G902" s="477"/>
      <c r="H902" s="477"/>
      <c r="I902" s="477"/>
      <c r="J902" s="477"/>
      <c r="K902" s="477"/>
      <c r="L902" s="477"/>
      <c r="M902" s="477"/>
      <c r="N902" s="477"/>
      <c r="O902" s="477"/>
      <c r="P902" s="477"/>
      <c r="Q902" s="477"/>
      <c r="R902" s="477"/>
      <c r="S902" s="477"/>
      <c r="T902" s="477"/>
      <c r="U902" s="477"/>
      <c r="V902" s="477"/>
      <c r="W902" s="477"/>
      <c r="X902" s="477"/>
      <c r="Y902" s="477"/>
      <c r="Z902" s="477"/>
    </row>
    <row r="903" spans="1:26" ht="15" customHeight="1" x14ac:dyDescent="0.35">
      <c r="A903" s="477"/>
      <c r="B903" s="477"/>
      <c r="C903" s="477"/>
      <c r="D903" s="477"/>
      <c r="E903" s="477"/>
      <c r="F903" s="477"/>
      <c r="G903" s="477"/>
      <c r="H903" s="477"/>
      <c r="I903" s="477"/>
      <c r="J903" s="477"/>
      <c r="K903" s="477"/>
      <c r="L903" s="477"/>
      <c r="M903" s="477"/>
      <c r="N903" s="477"/>
      <c r="O903" s="477"/>
      <c r="P903" s="477"/>
      <c r="Q903" s="477"/>
      <c r="R903" s="477"/>
      <c r="S903" s="477"/>
      <c r="T903" s="477"/>
      <c r="U903" s="477"/>
      <c r="V903" s="477"/>
      <c r="W903" s="477"/>
      <c r="X903" s="477"/>
      <c r="Y903" s="477"/>
      <c r="Z903" s="477"/>
    </row>
    <row r="904" spans="1:26" ht="15" customHeight="1" x14ac:dyDescent="0.35">
      <c r="A904" s="477"/>
      <c r="B904" s="477"/>
      <c r="C904" s="477"/>
      <c r="D904" s="477"/>
      <c r="E904" s="477"/>
      <c r="F904" s="477"/>
      <c r="G904" s="477"/>
      <c r="H904" s="477"/>
      <c r="I904" s="477"/>
      <c r="J904" s="477"/>
      <c r="K904" s="477"/>
      <c r="L904" s="477"/>
      <c r="M904" s="477"/>
      <c r="N904" s="477"/>
      <c r="O904" s="477"/>
      <c r="P904" s="477"/>
      <c r="Q904" s="477"/>
      <c r="R904" s="477"/>
      <c r="S904" s="477"/>
      <c r="T904" s="477"/>
      <c r="U904" s="477"/>
      <c r="V904" s="477"/>
      <c r="W904" s="477"/>
      <c r="X904" s="477"/>
      <c r="Y904" s="477"/>
      <c r="Z904" s="477"/>
    </row>
    <row r="905" spans="1:26" ht="15" customHeight="1" x14ac:dyDescent="0.35">
      <c r="A905" s="477"/>
      <c r="B905" s="477"/>
      <c r="C905" s="477"/>
      <c r="D905" s="477"/>
      <c r="E905" s="477"/>
      <c r="F905" s="477"/>
      <c r="G905" s="477"/>
      <c r="H905" s="477"/>
      <c r="I905" s="477"/>
      <c r="J905" s="477"/>
      <c r="K905" s="477"/>
      <c r="L905" s="477"/>
      <c r="M905" s="477"/>
      <c r="N905" s="477"/>
      <c r="O905" s="477"/>
      <c r="P905" s="477"/>
      <c r="Q905" s="477"/>
      <c r="R905" s="477"/>
      <c r="S905" s="477"/>
      <c r="T905" s="477"/>
      <c r="U905" s="477"/>
      <c r="V905" s="477"/>
      <c r="W905" s="477"/>
      <c r="X905" s="477"/>
      <c r="Y905" s="477"/>
      <c r="Z905" s="477"/>
    </row>
    <row r="906" spans="1:26" ht="15" customHeight="1" x14ac:dyDescent="0.35">
      <c r="A906" s="477"/>
      <c r="B906" s="477"/>
      <c r="C906" s="477"/>
      <c r="D906" s="477"/>
      <c r="E906" s="477"/>
      <c r="F906" s="477"/>
      <c r="G906" s="477"/>
      <c r="H906" s="477"/>
      <c r="I906" s="477"/>
      <c r="J906" s="477"/>
      <c r="K906" s="477"/>
      <c r="L906" s="477"/>
      <c r="M906" s="477"/>
      <c r="N906" s="477"/>
      <c r="O906" s="477"/>
      <c r="P906" s="477"/>
      <c r="Q906" s="477"/>
      <c r="R906" s="477"/>
      <c r="S906" s="477"/>
      <c r="T906" s="477"/>
      <c r="U906" s="477"/>
      <c r="V906" s="477"/>
      <c r="W906" s="477"/>
      <c r="X906" s="477"/>
      <c r="Y906" s="477"/>
      <c r="Z906" s="477"/>
    </row>
    <row r="907" spans="1:26" ht="15" customHeight="1" x14ac:dyDescent="0.35">
      <c r="A907" s="477"/>
      <c r="B907" s="477"/>
      <c r="C907" s="477"/>
      <c r="D907" s="477"/>
      <c r="E907" s="477"/>
      <c r="F907" s="477"/>
      <c r="G907" s="477"/>
      <c r="H907" s="477"/>
      <c r="I907" s="477"/>
      <c r="J907" s="477"/>
      <c r="K907" s="477"/>
      <c r="L907" s="477"/>
      <c r="M907" s="477"/>
      <c r="N907" s="477"/>
      <c r="O907" s="477"/>
      <c r="P907" s="477"/>
      <c r="Q907" s="477"/>
      <c r="R907" s="477"/>
      <c r="S907" s="477"/>
      <c r="T907" s="477"/>
      <c r="U907" s="477"/>
      <c r="V907" s="477"/>
      <c r="W907" s="477"/>
      <c r="X907" s="477"/>
      <c r="Y907" s="477"/>
      <c r="Z907" s="477"/>
    </row>
    <row r="908" spans="1:26" ht="15" customHeight="1" x14ac:dyDescent="0.35">
      <c r="A908" s="477"/>
      <c r="B908" s="477"/>
      <c r="C908" s="477"/>
      <c r="D908" s="477"/>
      <c r="E908" s="477"/>
      <c r="F908" s="477"/>
      <c r="G908" s="477"/>
      <c r="H908" s="477"/>
      <c r="I908" s="477"/>
      <c r="J908" s="477"/>
      <c r="K908" s="477"/>
      <c r="L908" s="477"/>
      <c r="M908" s="477"/>
      <c r="N908" s="477"/>
      <c r="O908" s="477"/>
      <c r="P908" s="477"/>
      <c r="Q908" s="477"/>
      <c r="R908" s="477"/>
      <c r="S908" s="477"/>
      <c r="T908" s="477"/>
      <c r="U908" s="477"/>
      <c r="V908" s="477"/>
      <c r="W908" s="477"/>
      <c r="X908" s="477"/>
      <c r="Y908" s="477"/>
      <c r="Z908" s="477"/>
    </row>
    <row r="909" spans="1:26" ht="15" customHeight="1" x14ac:dyDescent="0.35">
      <c r="A909" s="477"/>
      <c r="B909" s="477"/>
      <c r="C909" s="477"/>
      <c r="D909" s="477"/>
      <c r="E909" s="477"/>
      <c r="F909" s="477"/>
      <c r="G909" s="477"/>
      <c r="H909" s="477"/>
      <c r="I909" s="477"/>
      <c r="J909" s="477"/>
      <c r="K909" s="477"/>
      <c r="L909" s="477"/>
      <c r="M909" s="477"/>
      <c r="N909" s="477"/>
      <c r="O909" s="477"/>
      <c r="P909" s="477"/>
      <c r="Q909" s="477"/>
      <c r="R909" s="477"/>
      <c r="S909" s="477"/>
      <c r="T909" s="477"/>
      <c r="U909" s="477"/>
      <c r="V909" s="477"/>
      <c r="W909" s="477"/>
      <c r="X909" s="477"/>
      <c r="Y909" s="477"/>
      <c r="Z909" s="477"/>
    </row>
    <row r="910" spans="1:26" ht="15" customHeight="1" x14ac:dyDescent="0.35">
      <c r="A910" s="477"/>
      <c r="B910" s="477"/>
      <c r="C910" s="477"/>
      <c r="D910" s="477"/>
      <c r="E910" s="477"/>
      <c r="F910" s="477"/>
      <c r="G910" s="477"/>
      <c r="H910" s="477"/>
      <c r="I910" s="477"/>
      <c r="J910" s="477"/>
      <c r="K910" s="477"/>
      <c r="L910" s="477"/>
      <c r="M910" s="477"/>
      <c r="N910" s="477"/>
      <c r="O910" s="477"/>
      <c r="P910" s="477"/>
      <c r="Q910" s="477"/>
      <c r="R910" s="477"/>
      <c r="S910" s="477"/>
      <c r="T910" s="477"/>
      <c r="U910" s="477"/>
      <c r="V910" s="477"/>
      <c r="W910" s="477"/>
      <c r="X910" s="477"/>
      <c r="Y910" s="477"/>
      <c r="Z910" s="477"/>
    </row>
    <row r="911" spans="1:26" ht="15" customHeight="1" x14ac:dyDescent="0.35">
      <c r="A911" s="477"/>
      <c r="B911" s="477"/>
      <c r="C911" s="477"/>
      <c r="D911" s="477"/>
      <c r="E911" s="477"/>
      <c r="F911" s="477"/>
      <c r="G911" s="477"/>
      <c r="H911" s="477"/>
      <c r="I911" s="477"/>
      <c r="J911" s="477"/>
      <c r="K911" s="477"/>
      <c r="L911" s="477"/>
      <c r="M911" s="477"/>
      <c r="N911" s="477"/>
      <c r="O911" s="477"/>
      <c r="P911" s="477"/>
      <c r="Q911" s="477"/>
      <c r="R911" s="477"/>
      <c r="S911" s="477"/>
      <c r="T911" s="477"/>
      <c r="U911" s="477"/>
      <c r="V911" s="477"/>
      <c r="W911" s="477"/>
      <c r="X911" s="477"/>
      <c r="Y911" s="477"/>
      <c r="Z911" s="477"/>
    </row>
    <row r="912" spans="1:26" ht="15" customHeight="1" x14ac:dyDescent="0.35">
      <c r="A912" s="477"/>
      <c r="B912" s="477"/>
      <c r="C912" s="477"/>
      <c r="D912" s="477"/>
      <c r="E912" s="477"/>
      <c r="F912" s="477"/>
      <c r="G912" s="477"/>
      <c r="H912" s="477"/>
      <c r="I912" s="477"/>
      <c r="J912" s="477"/>
      <c r="K912" s="477"/>
      <c r="L912" s="477"/>
      <c r="M912" s="477"/>
      <c r="N912" s="477"/>
      <c r="O912" s="477"/>
      <c r="P912" s="477"/>
      <c r="Q912" s="477"/>
      <c r="R912" s="477"/>
      <c r="S912" s="477"/>
      <c r="T912" s="477"/>
      <c r="U912" s="477"/>
      <c r="V912" s="477"/>
      <c r="W912" s="477"/>
      <c r="X912" s="477"/>
      <c r="Y912" s="477"/>
      <c r="Z912" s="477"/>
    </row>
    <row r="913" spans="1:26" ht="15" customHeight="1" x14ac:dyDescent="0.35">
      <c r="A913" s="477"/>
      <c r="B913" s="477"/>
      <c r="C913" s="477"/>
      <c r="D913" s="477"/>
      <c r="E913" s="477"/>
      <c r="F913" s="477"/>
      <c r="G913" s="477"/>
      <c r="H913" s="477"/>
      <c r="I913" s="477"/>
      <c r="J913" s="477"/>
      <c r="K913" s="477"/>
      <c r="L913" s="477"/>
      <c r="M913" s="477"/>
      <c r="N913" s="477"/>
      <c r="O913" s="477"/>
      <c r="P913" s="477"/>
      <c r="Q913" s="477"/>
      <c r="R913" s="477"/>
      <c r="S913" s="477"/>
      <c r="T913" s="477"/>
      <c r="U913" s="477"/>
      <c r="V913" s="477"/>
      <c r="W913" s="477"/>
      <c r="X913" s="477"/>
      <c r="Y913" s="477"/>
      <c r="Z913" s="477"/>
    </row>
    <row r="914" spans="1:26" ht="15" customHeight="1" x14ac:dyDescent="0.35">
      <c r="A914" s="477"/>
      <c r="B914" s="477"/>
      <c r="C914" s="477"/>
      <c r="D914" s="477"/>
      <c r="E914" s="477"/>
      <c r="F914" s="477"/>
      <c r="G914" s="477"/>
      <c r="H914" s="477"/>
      <c r="I914" s="477"/>
      <c r="J914" s="477"/>
      <c r="K914" s="477"/>
      <c r="L914" s="477"/>
      <c r="M914" s="477"/>
      <c r="N914" s="477"/>
      <c r="O914" s="477"/>
      <c r="P914" s="477"/>
      <c r="Q914" s="477"/>
      <c r="R914" s="477"/>
      <c r="S914" s="477"/>
      <c r="T914" s="477"/>
      <c r="U914" s="477"/>
      <c r="V914" s="477"/>
      <c r="W914" s="477"/>
      <c r="X914" s="477"/>
      <c r="Y914" s="477"/>
      <c r="Z914" s="477"/>
    </row>
    <row r="915" spans="1:26" ht="15" customHeight="1" x14ac:dyDescent="0.35">
      <c r="A915" s="477"/>
      <c r="B915" s="477"/>
      <c r="C915" s="477"/>
      <c r="D915" s="477"/>
      <c r="E915" s="477"/>
      <c r="F915" s="477"/>
      <c r="G915" s="477"/>
      <c r="H915" s="477"/>
      <c r="I915" s="477"/>
      <c r="J915" s="477"/>
      <c r="K915" s="477"/>
      <c r="L915" s="477"/>
      <c r="M915" s="477"/>
      <c r="N915" s="477"/>
      <c r="O915" s="477"/>
      <c r="P915" s="477"/>
      <c r="Q915" s="477"/>
      <c r="R915" s="477"/>
      <c r="S915" s="477"/>
      <c r="T915" s="477"/>
      <c r="U915" s="477"/>
      <c r="V915" s="477"/>
      <c r="W915" s="477"/>
      <c r="X915" s="477"/>
      <c r="Y915" s="477"/>
      <c r="Z915" s="477"/>
    </row>
    <row r="916" spans="1:26" ht="15" customHeight="1" x14ac:dyDescent="0.35">
      <c r="A916" s="477"/>
      <c r="B916" s="477"/>
      <c r="C916" s="477"/>
      <c r="D916" s="477"/>
      <c r="E916" s="477"/>
      <c r="F916" s="477"/>
      <c r="G916" s="477"/>
      <c r="H916" s="477"/>
      <c r="I916" s="477"/>
      <c r="J916" s="477"/>
      <c r="K916" s="477"/>
      <c r="L916" s="477"/>
      <c r="M916" s="477"/>
      <c r="N916" s="477"/>
      <c r="O916" s="477"/>
      <c r="P916" s="477"/>
      <c r="Q916" s="477"/>
      <c r="R916" s="477"/>
      <c r="S916" s="477"/>
      <c r="T916" s="477"/>
      <c r="U916" s="477"/>
      <c r="V916" s="477"/>
      <c r="W916" s="477"/>
      <c r="X916" s="477"/>
      <c r="Y916" s="477"/>
      <c r="Z916" s="477"/>
    </row>
    <row r="917" spans="1:26" ht="15" customHeight="1" x14ac:dyDescent="0.35">
      <c r="A917" s="477"/>
      <c r="B917" s="477"/>
      <c r="C917" s="477"/>
      <c r="D917" s="477"/>
      <c r="E917" s="477"/>
      <c r="F917" s="477"/>
      <c r="G917" s="477"/>
      <c r="H917" s="477"/>
      <c r="I917" s="477"/>
      <c r="J917" s="477"/>
      <c r="K917" s="477"/>
      <c r="L917" s="477"/>
      <c r="M917" s="477"/>
      <c r="N917" s="477"/>
      <c r="O917" s="477"/>
      <c r="P917" s="477"/>
      <c r="Q917" s="477"/>
      <c r="R917" s="477"/>
      <c r="S917" s="477"/>
      <c r="T917" s="477"/>
      <c r="U917" s="477"/>
      <c r="V917" s="477"/>
      <c r="W917" s="477"/>
      <c r="X917" s="477"/>
      <c r="Y917" s="477"/>
      <c r="Z917" s="477"/>
    </row>
    <row r="918" spans="1:26" ht="15" customHeight="1" x14ac:dyDescent="0.35">
      <c r="A918" s="477"/>
      <c r="B918" s="477"/>
      <c r="C918" s="477"/>
      <c r="D918" s="477"/>
      <c r="E918" s="477"/>
      <c r="F918" s="477"/>
      <c r="G918" s="477"/>
      <c r="H918" s="477"/>
      <c r="I918" s="477"/>
      <c r="J918" s="477"/>
      <c r="K918" s="477"/>
      <c r="L918" s="477"/>
      <c r="M918" s="477"/>
      <c r="N918" s="477"/>
      <c r="O918" s="477"/>
      <c r="P918" s="477"/>
      <c r="Q918" s="477"/>
      <c r="R918" s="477"/>
      <c r="S918" s="477"/>
      <c r="T918" s="477"/>
      <c r="U918" s="477"/>
      <c r="V918" s="477"/>
      <c r="W918" s="477"/>
      <c r="X918" s="477"/>
      <c r="Y918" s="477"/>
      <c r="Z918" s="477"/>
    </row>
    <row r="919" spans="1:26" ht="15" customHeight="1" x14ac:dyDescent="0.35">
      <c r="A919" s="477"/>
      <c r="B919" s="477"/>
      <c r="C919" s="477"/>
      <c r="D919" s="477"/>
      <c r="E919" s="477"/>
      <c r="F919" s="477"/>
      <c r="G919" s="477"/>
      <c r="H919" s="477"/>
      <c r="I919" s="477"/>
      <c r="J919" s="477"/>
      <c r="K919" s="477"/>
      <c r="L919" s="477"/>
      <c r="M919" s="477"/>
      <c r="N919" s="477"/>
      <c r="O919" s="477"/>
      <c r="P919" s="477"/>
      <c r="Q919" s="477"/>
      <c r="R919" s="477"/>
      <c r="S919" s="477"/>
      <c r="T919" s="477"/>
      <c r="U919" s="477"/>
      <c r="V919" s="477"/>
      <c r="W919" s="477"/>
      <c r="X919" s="477"/>
      <c r="Y919" s="477"/>
      <c r="Z919" s="477"/>
    </row>
    <row r="920" spans="1:26" ht="15" customHeight="1" x14ac:dyDescent="0.35">
      <c r="A920" s="477"/>
      <c r="B920" s="477"/>
      <c r="C920" s="477"/>
      <c r="D920" s="477"/>
      <c r="E920" s="477"/>
      <c r="F920" s="477"/>
      <c r="G920" s="477"/>
      <c r="H920" s="477"/>
      <c r="I920" s="477"/>
      <c r="J920" s="477"/>
      <c r="K920" s="477"/>
      <c r="L920" s="477"/>
      <c r="M920" s="477"/>
      <c r="N920" s="477"/>
      <c r="O920" s="477"/>
      <c r="P920" s="477"/>
      <c r="Q920" s="477"/>
      <c r="R920" s="477"/>
      <c r="S920" s="477"/>
      <c r="T920" s="477"/>
      <c r="U920" s="477"/>
      <c r="V920" s="477"/>
      <c r="W920" s="477"/>
      <c r="X920" s="477"/>
      <c r="Y920" s="477"/>
      <c r="Z920" s="477"/>
    </row>
    <row r="921" spans="1:26" ht="15" customHeight="1" x14ac:dyDescent="0.35">
      <c r="A921" s="477"/>
      <c r="B921" s="477"/>
      <c r="C921" s="477"/>
      <c r="D921" s="477"/>
      <c r="E921" s="477"/>
      <c r="F921" s="477"/>
      <c r="G921" s="477"/>
      <c r="H921" s="477"/>
      <c r="I921" s="477"/>
      <c r="J921" s="477"/>
      <c r="K921" s="477"/>
      <c r="L921" s="477"/>
      <c r="M921" s="477"/>
      <c r="N921" s="477"/>
      <c r="O921" s="477"/>
      <c r="P921" s="477"/>
      <c r="Q921" s="477"/>
      <c r="R921" s="477"/>
      <c r="S921" s="477"/>
      <c r="T921" s="477"/>
      <c r="U921" s="477"/>
      <c r="V921" s="477"/>
      <c r="W921" s="477"/>
      <c r="X921" s="477"/>
      <c r="Y921" s="477"/>
      <c r="Z921" s="477"/>
    </row>
    <row r="922" spans="1:26" ht="15" customHeight="1" x14ac:dyDescent="0.35">
      <c r="A922" s="477"/>
      <c r="B922" s="477"/>
      <c r="C922" s="477"/>
      <c r="D922" s="477"/>
      <c r="E922" s="477"/>
      <c r="F922" s="477"/>
      <c r="G922" s="477"/>
      <c r="H922" s="477"/>
      <c r="I922" s="477"/>
      <c r="J922" s="477"/>
      <c r="K922" s="477"/>
      <c r="L922" s="477"/>
      <c r="M922" s="477"/>
      <c r="N922" s="477"/>
      <c r="O922" s="477"/>
      <c r="P922" s="477"/>
      <c r="Q922" s="477"/>
      <c r="R922" s="477"/>
      <c r="S922" s="477"/>
      <c r="T922" s="477"/>
      <c r="U922" s="477"/>
      <c r="V922" s="477"/>
      <c r="W922" s="477"/>
      <c r="X922" s="477"/>
      <c r="Y922" s="477"/>
      <c r="Z922" s="477"/>
    </row>
    <row r="923" spans="1:26" ht="15" customHeight="1" x14ac:dyDescent="0.35">
      <c r="A923" s="477"/>
      <c r="B923" s="477"/>
      <c r="C923" s="477"/>
      <c r="D923" s="477"/>
      <c r="E923" s="477"/>
      <c r="F923" s="477"/>
      <c r="G923" s="477"/>
      <c r="H923" s="477"/>
      <c r="I923" s="477"/>
      <c r="J923" s="477"/>
      <c r="K923" s="477"/>
      <c r="L923" s="477"/>
      <c r="M923" s="477"/>
      <c r="N923" s="477"/>
      <c r="O923" s="477"/>
      <c r="P923" s="477"/>
      <c r="Q923" s="477"/>
      <c r="R923" s="477"/>
      <c r="S923" s="477"/>
      <c r="T923" s="477"/>
      <c r="U923" s="477"/>
      <c r="V923" s="477"/>
      <c r="W923" s="477"/>
      <c r="X923" s="477"/>
      <c r="Y923" s="477"/>
      <c r="Z923" s="477"/>
    </row>
    <row r="924" spans="1:26" ht="15" customHeight="1" x14ac:dyDescent="0.35">
      <c r="A924" s="477"/>
      <c r="B924" s="477"/>
      <c r="C924" s="477"/>
      <c r="D924" s="477"/>
      <c r="E924" s="477"/>
      <c r="F924" s="477"/>
      <c r="G924" s="477"/>
      <c r="H924" s="477"/>
      <c r="I924" s="477"/>
      <c r="J924" s="477"/>
      <c r="K924" s="477"/>
      <c r="L924" s="477"/>
      <c r="M924" s="477"/>
      <c r="N924" s="477"/>
      <c r="O924" s="477"/>
      <c r="P924" s="477"/>
      <c r="Q924" s="477"/>
      <c r="R924" s="477"/>
      <c r="S924" s="477"/>
      <c r="T924" s="477"/>
      <c r="U924" s="477"/>
      <c r="V924" s="477"/>
      <c r="W924" s="477"/>
      <c r="X924" s="477"/>
      <c r="Y924" s="477"/>
      <c r="Z924" s="477"/>
    </row>
    <row r="925" spans="1:26" ht="15" customHeight="1" x14ac:dyDescent="0.35">
      <c r="A925" s="477"/>
      <c r="B925" s="477"/>
      <c r="C925" s="477"/>
      <c r="D925" s="477"/>
      <c r="E925" s="477"/>
      <c r="F925" s="477"/>
      <c r="G925" s="477"/>
      <c r="H925" s="477"/>
      <c r="I925" s="477"/>
      <c r="J925" s="477"/>
      <c r="K925" s="477"/>
      <c r="L925" s="477"/>
      <c r="M925" s="477"/>
      <c r="N925" s="477"/>
      <c r="O925" s="477"/>
      <c r="P925" s="477"/>
      <c r="Q925" s="477"/>
      <c r="R925" s="477"/>
      <c r="S925" s="477"/>
      <c r="T925" s="477"/>
      <c r="U925" s="477"/>
      <c r="V925" s="477"/>
      <c r="W925" s="477"/>
      <c r="X925" s="477"/>
      <c r="Y925" s="477"/>
      <c r="Z925" s="477"/>
    </row>
    <row r="926" spans="1:26" ht="15" customHeight="1" x14ac:dyDescent="0.35">
      <c r="A926" s="477"/>
      <c r="B926" s="477"/>
      <c r="C926" s="477"/>
      <c r="D926" s="477"/>
      <c r="E926" s="477"/>
      <c r="F926" s="477"/>
      <c r="G926" s="477"/>
      <c r="H926" s="477"/>
      <c r="I926" s="477"/>
      <c r="J926" s="477"/>
      <c r="K926" s="477"/>
      <c r="L926" s="477"/>
      <c r="M926" s="477"/>
      <c r="N926" s="477"/>
      <c r="O926" s="477"/>
      <c r="P926" s="477"/>
      <c r="Q926" s="477"/>
      <c r="R926" s="477"/>
      <c r="S926" s="477"/>
      <c r="T926" s="477"/>
      <c r="U926" s="477"/>
      <c r="V926" s="477"/>
      <c r="W926" s="477"/>
      <c r="X926" s="477"/>
      <c r="Y926" s="477"/>
      <c r="Z926" s="477"/>
    </row>
    <row r="927" spans="1:26" ht="15" customHeight="1" x14ac:dyDescent="0.35">
      <c r="A927" s="477"/>
      <c r="B927" s="477"/>
      <c r="C927" s="477"/>
      <c r="D927" s="477"/>
      <c r="E927" s="477"/>
      <c r="F927" s="477"/>
      <c r="G927" s="477"/>
      <c r="H927" s="477"/>
      <c r="I927" s="477"/>
      <c r="J927" s="477"/>
      <c r="K927" s="477"/>
      <c r="L927" s="477"/>
      <c r="M927" s="477"/>
      <c r="N927" s="477"/>
      <c r="O927" s="477"/>
      <c r="P927" s="477"/>
      <c r="Q927" s="477"/>
      <c r="R927" s="477"/>
      <c r="S927" s="477"/>
      <c r="T927" s="477"/>
      <c r="U927" s="477"/>
      <c r="V927" s="477"/>
      <c r="W927" s="477"/>
      <c r="X927" s="477"/>
      <c r="Y927" s="477"/>
      <c r="Z927" s="477"/>
    </row>
    <row r="928" spans="1:26" ht="15" customHeight="1" x14ac:dyDescent="0.35">
      <c r="A928" s="477"/>
      <c r="B928" s="477"/>
      <c r="C928" s="477"/>
      <c r="D928" s="477"/>
      <c r="E928" s="477"/>
      <c r="F928" s="477"/>
      <c r="G928" s="477"/>
      <c r="H928" s="477"/>
      <c r="I928" s="477"/>
      <c r="J928" s="477"/>
      <c r="K928" s="477"/>
      <c r="L928" s="477"/>
      <c r="M928" s="477"/>
      <c r="N928" s="477"/>
      <c r="O928" s="477"/>
      <c r="P928" s="477"/>
      <c r="Q928" s="477"/>
      <c r="R928" s="477"/>
      <c r="S928" s="477"/>
      <c r="T928" s="477"/>
      <c r="U928" s="477"/>
      <c r="V928" s="477"/>
      <c r="W928" s="477"/>
      <c r="X928" s="477"/>
      <c r="Y928" s="477"/>
      <c r="Z928" s="477"/>
    </row>
    <row r="929" spans="1:26" ht="15" customHeight="1" x14ac:dyDescent="0.35">
      <c r="A929" s="477"/>
      <c r="B929" s="477"/>
      <c r="C929" s="477"/>
      <c r="D929" s="477"/>
      <c r="E929" s="477"/>
      <c r="F929" s="477"/>
      <c r="G929" s="477"/>
      <c r="H929" s="477"/>
      <c r="I929" s="477"/>
      <c r="J929" s="477"/>
      <c r="K929" s="477"/>
      <c r="L929" s="477"/>
      <c r="M929" s="477"/>
      <c r="N929" s="477"/>
      <c r="O929" s="477"/>
      <c r="P929" s="477"/>
      <c r="Q929" s="477"/>
      <c r="R929" s="477"/>
      <c r="S929" s="477"/>
      <c r="T929" s="477"/>
      <c r="U929" s="477"/>
      <c r="V929" s="477"/>
      <c r="W929" s="477"/>
      <c r="X929" s="477"/>
      <c r="Y929" s="477"/>
      <c r="Z929" s="477"/>
    </row>
    <row r="930" spans="1:26" ht="15" customHeight="1" x14ac:dyDescent="0.35">
      <c r="A930" s="477"/>
      <c r="B930" s="477"/>
      <c r="C930" s="477"/>
      <c r="D930" s="477"/>
      <c r="E930" s="477"/>
      <c r="F930" s="477"/>
      <c r="G930" s="477"/>
      <c r="H930" s="477"/>
      <c r="I930" s="477"/>
      <c r="J930" s="477"/>
      <c r="K930" s="477"/>
      <c r="L930" s="477"/>
      <c r="M930" s="477"/>
      <c r="N930" s="477"/>
      <c r="O930" s="477"/>
      <c r="P930" s="477"/>
      <c r="Q930" s="477"/>
      <c r="R930" s="477"/>
      <c r="S930" s="477"/>
      <c r="T930" s="477"/>
      <c r="U930" s="477"/>
      <c r="V930" s="477"/>
      <c r="W930" s="477"/>
      <c r="X930" s="477"/>
      <c r="Y930" s="477"/>
      <c r="Z930" s="477"/>
    </row>
    <row r="931" spans="1:26" ht="15" customHeight="1" x14ac:dyDescent="0.35">
      <c r="A931" s="477"/>
      <c r="B931" s="477"/>
      <c r="C931" s="477"/>
      <c r="D931" s="477"/>
      <c r="E931" s="477"/>
      <c r="F931" s="477"/>
      <c r="G931" s="477"/>
      <c r="H931" s="477"/>
      <c r="I931" s="477"/>
      <c r="J931" s="477"/>
      <c r="K931" s="477"/>
      <c r="L931" s="477"/>
      <c r="M931" s="477"/>
      <c r="N931" s="477"/>
      <c r="O931" s="477"/>
      <c r="P931" s="477"/>
      <c r="Q931" s="477"/>
      <c r="R931" s="477"/>
      <c r="S931" s="477"/>
      <c r="T931" s="477"/>
      <c r="U931" s="477"/>
      <c r="V931" s="477"/>
      <c r="W931" s="477"/>
      <c r="X931" s="477"/>
      <c r="Y931" s="477"/>
      <c r="Z931" s="477"/>
    </row>
    <row r="932" spans="1:26" ht="15" customHeight="1" x14ac:dyDescent="0.35">
      <c r="A932" s="477"/>
      <c r="B932" s="477"/>
      <c r="C932" s="477"/>
      <c r="D932" s="477"/>
      <c r="E932" s="477"/>
      <c r="F932" s="477"/>
      <c r="G932" s="477"/>
      <c r="H932" s="477"/>
      <c r="I932" s="477"/>
      <c r="J932" s="477"/>
      <c r="K932" s="477"/>
      <c r="L932" s="477"/>
      <c r="M932" s="477"/>
      <c r="N932" s="477"/>
      <c r="O932" s="477"/>
      <c r="P932" s="477"/>
      <c r="Q932" s="477"/>
      <c r="R932" s="477"/>
      <c r="S932" s="477"/>
      <c r="T932" s="477"/>
      <c r="U932" s="477"/>
      <c r="V932" s="477"/>
      <c r="W932" s="477"/>
      <c r="X932" s="477"/>
      <c r="Y932" s="477"/>
      <c r="Z932" s="477"/>
    </row>
    <row r="933" spans="1:26" ht="15" customHeight="1" x14ac:dyDescent="0.35">
      <c r="A933" s="477"/>
      <c r="B933" s="477"/>
      <c r="C933" s="477"/>
      <c r="D933" s="477"/>
      <c r="E933" s="477"/>
      <c r="F933" s="477"/>
      <c r="G933" s="477"/>
      <c r="H933" s="477"/>
      <c r="I933" s="477"/>
      <c r="J933" s="477"/>
      <c r="K933" s="477"/>
      <c r="L933" s="477"/>
      <c r="M933" s="477"/>
      <c r="N933" s="477"/>
      <c r="O933" s="477"/>
      <c r="P933" s="477"/>
      <c r="Q933" s="477"/>
      <c r="R933" s="477"/>
      <c r="S933" s="477"/>
      <c r="T933" s="477"/>
      <c r="U933" s="477"/>
      <c r="V933" s="477"/>
      <c r="W933" s="477"/>
      <c r="X933" s="477"/>
      <c r="Y933" s="477"/>
      <c r="Z933" s="477"/>
    </row>
    <row r="934" spans="1:26" ht="15" customHeight="1" x14ac:dyDescent="0.35">
      <c r="A934" s="477"/>
      <c r="B934" s="477"/>
      <c r="C934" s="477"/>
      <c r="D934" s="477"/>
      <c r="E934" s="477"/>
      <c r="F934" s="477"/>
      <c r="G934" s="477"/>
      <c r="H934" s="477"/>
      <c r="I934" s="477"/>
      <c r="J934" s="477"/>
      <c r="K934" s="477"/>
      <c r="L934" s="477"/>
      <c r="M934" s="477"/>
      <c r="N934" s="477"/>
      <c r="O934" s="477"/>
      <c r="P934" s="477"/>
      <c r="Q934" s="477"/>
      <c r="R934" s="477"/>
      <c r="S934" s="477"/>
      <c r="T934" s="477"/>
      <c r="U934" s="477"/>
      <c r="V934" s="477"/>
      <c r="W934" s="477"/>
      <c r="X934" s="477"/>
      <c r="Y934" s="477"/>
      <c r="Z934" s="477"/>
    </row>
    <row r="935" spans="1:26" ht="15" customHeight="1" x14ac:dyDescent="0.35">
      <c r="A935" s="477"/>
      <c r="B935" s="477"/>
      <c r="C935" s="477"/>
      <c r="D935" s="477"/>
      <c r="E935" s="477"/>
      <c r="F935" s="477"/>
      <c r="G935" s="477"/>
      <c r="H935" s="477"/>
      <c r="I935" s="477"/>
      <c r="J935" s="477"/>
      <c r="K935" s="477"/>
      <c r="L935" s="477"/>
      <c r="M935" s="477"/>
      <c r="N935" s="477"/>
      <c r="O935" s="477"/>
      <c r="P935" s="477"/>
      <c r="Q935" s="477"/>
      <c r="R935" s="477"/>
      <c r="S935" s="477"/>
      <c r="T935" s="477"/>
      <c r="U935" s="477"/>
      <c r="V935" s="477"/>
      <c r="W935" s="477"/>
      <c r="X935" s="477"/>
      <c r="Y935" s="477"/>
      <c r="Z935" s="477"/>
    </row>
    <row r="936" spans="1:26" ht="15" customHeight="1" x14ac:dyDescent="0.35">
      <c r="A936" s="477"/>
      <c r="B936" s="477"/>
      <c r="C936" s="477"/>
      <c r="D936" s="477"/>
      <c r="E936" s="477"/>
      <c r="F936" s="477"/>
      <c r="G936" s="477"/>
      <c r="H936" s="477"/>
      <c r="I936" s="477"/>
      <c r="J936" s="477"/>
      <c r="K936" s="477"/>
      <c r="L936" s="477"/>
      <c r="M936" s="477"/>
      <c r="N936" s="477"/>
      <c r="O936" s="477"/>
      <c r="P936" s="477"/>
      <c r="Q936" s="477"/>
      <c r="R936" s="477"/>
      <c r="S936" s="477"/>
      <c r="T936" s="477"/>
      <c r="U936" s="477"/>
      <c r="V936" s="477"/>
      <c r="W936" s="477"/>
      <c r="X936" s="477"/>
      <c r="Y936" s="477"/>
      <c r="Z936" s="477"/>
    </row>
    <row r="937" spans="1:26" ht="15" customHeight="1" x14ac:dyDescent="0.35">
      <c r="A937" s="477"/>
      <c r="B937" s="477"/>
      <c r="C937" s="477"/>
      <c r="D937" s="477"/>
      <c r="E937" s="477"/>
      <c r="F937" s="477"/>
      <c r="G937" s="477"/>
      <c r="H937" s="477"/>
      <c r="I937" s="477"/>
      <c r="J937" s="477"/>
      <c r="K937" s="477"/>
      <c r="L937" s="477"/>
      <c r="M937" s="477"/>
      <c r="N937" s="477"/>
      <c r="O937" s="477"/>
      <c r="P937" s="477"/>
      <c r="Q937" s="477"/>
      <c r="R937" s="477"/>
      <c r="S937" s="477"/>
      <c r="T937" s="477"/>
      <c r="U937" s="477"/>
      <c r="V937" s="477"/>
      <c r="W937" s="477"/>
      <c r="X937" s="477"/>
      <c r="Y937" s="477"/>
      <c r="Z937" s="477"/>
    </row>
    <row r="938" spans="1:26" ht="15" customHeight="1" x14ac:dyDescent="0.35">
      <c r="A938" s="477"/>
      <c r="B938" s="477"/>
      <c r="C938" s="477"/>
      <c r="D938" s="477"/>
      <c r="E938" s="477"/>
      <c r="F938" s="477"/>
      <c r="G938" s="477"/>
      <c r="H938" s="477"/>
      <c r="I938" s="477"/>
      <c r="J938" s="477"/>
      <c r="K938" s="477"/>
      <c r="L938" s="477"/>
      <c r="M938" s="477"/>
      <c r="N938" s="477"/>
      <c r="O938" s="477"/>
      <c r="P938" s="477"/>
      <c r="Q938" s="477"/>
      <c r="R938" s="477"/>
      <c r="S938" s="477"/>
      <c r="T938" s="477"/>
      <c r="U938" s="477"/>
      <c r="V938" s="477"/>
      <c r="W938" s="477"/>
      <c r="X938" s="477"/>
      <c r="Y938" s="477"/>
      <c r="Z938" s="477"/>
    </row>
    <row r="939" spans="1:26" ht="15" customHeight="1" x14ac:dyDescent="0.35">
      <c r="A939" s="477"/>
      <c r="B939" s="477"/>
      <c r="C939" s="477"/>
      <c r="D939" s="477"/>
      <c r="E939" s="477"/>
      <c r="F939" s="477"/>
      <c r="G939" s="477"/>
      <c r="H939" s="477"/>
      <c r="I939" s="477"/>
      <c r="J939" s="477"/>
      <c r="K939" s="477"/>
      <c r="L939" s="477"/>
      <c r="M939" s="477"/>
      <c r="N939" s="477"/>
      <c r="O939" s="477"/>
      <c r="P939" s="477"/>
      <c r="Q939" s="477"/>
      <c r="R939" s="477"/>
      <c r="S939" s="477"/>
      <c r="T939" s="477"/>
      <c r="U939" s="477"/>
      <c r="V939" s="477"/>
      <c r="W939" s="477"/>
      <c r="X939" s="477"/>
      <c r="Y939" s="477"/>
      <c r="Z939" s="477"/>
    </row>
    <row r="940" spans="1:26" ht="15" customHeight="1" x14ac:dyDescent="0.35">
      <c r="A940" s="477"/>
      <c r="B940" s="477"/>
      <c r="C940" s="477"/>
      <c r="D940" s="477"/>
      <c r="E940" s="477"/>
      <c r="F940" s="477"/>
      <c r="G940" s="477"/>
      <c r="H940" s="477"/>
      <c r="I940" s="477"/>
      <c r="J940" s="477"/>
      <c r="K940" s="477"/>
      <c r="L940" s="477"/>
      <c r="M940" s="477"/>
      <c r="N940" s="477"/>
      <c r="O940" s="477"/>
      <c r="P940" s="477"/>
      <c r="Q940" s="477"/>
      <c r="R940" s="477"/>
      <c r="S940" s="477"/>
      <c r="T940" s="477"/>
      <c r="U940" s="477"/>
      <c r="V940" s="477"/>
      <c r="W940" s="477"/>
      <c r="X940" s="477"/>
      <c r="Y940" s="477"/>
      <c r="Z940" s="477"/>
    </row>
    <row r="941" spans="1:26" ht="15" customHeight="1" x14ac:dyDescent="0.35">
      <c r="A941" s="477"/>
      <c r="B941" s="477"/>
      <c r="C941" s="477"/>
      <c r="D941" s="477"/>
      <c r="E941" s="477"/>
      <c r="F941" s="477"/>
      <c r="G941" s="477"/>
      <c r="H941" s="477"/>
      <c r="I941" s="477"/>
      <c r="J941" s="477"/>
      <c r="K941" s="477"/>
      <c r="L941" s="477"/>
      <c r="M941" s="477"/>
      <c r="N941" s="477"/>
      <c r="O941" s="477"/>
      <c r="P941" s="477"/>
      <c r="Q941" s="477"/>
      <c r="R941" s="477"/>
      <c r="S941" s="477"/>
      <c r="T941" s="477"/>
      <c r="U941" s="477"/>
      <c r="V941" s="477"/>
      <c r="W941" s="477"/>
      <c r="X941" s="477"/>
      <c r="Y941" s="477"/>
      <c r="Z941" s="477"/>
    </row>
    <row r="942" spans="1:26" ht="15" customHeight="1" x14ac:dyDescent="0.35">
      <c r="A942" s="477"/>
      <c r="B942" s="477"/>
      <c r="C942" s="477"/>
      <c r="D942" s="477"/>
      <c r="E942" s="477"/>
      <c r="F942" s="477"/>
      <c r="G942" s="477"/>
      <c r="H942" s="477"/>
      <c r="I942" s="477"/>
      <c r="J942" s="477"/>
      <c r="K942" s="477"/>
      <c r="L942" s="477"/>
      <c r="M942" s="477"/>
      <c r="N942" s="477"/>
      <c r="O942" s="477"/>
      <c r="P942" s="477"/>
      <c r="Q942" s="477"/>
      <c r="R942" s="477"/>
      <c r="S942" s="477"/>
      <c r="T942" s="477"/>
      <c r="U942" s="477"/>
      <c r="V942" s="477"/>
      <c r="W942" s="477"/>
      <c r="X942" s="477"/>
      <c r="Y942" s="477"/>
      <c r="Z942" s="477"/>
    </row>
    <row r="943" spans="1:26" ht="15" customHeight="1" x14ac:dyDescent="0.35">
      <c r="A943" s="477"/>
      <c r="B943" s="477"/>
      <c r="C943" s="477"/>
      <c r="D943" s="477"/>
      <c r="E943" s="477"/>
      <c r="F943" s="477"/>
      <c r="G943" s="477"/>
      <c r="H943" s="477"/>
      <c r="I943" s="477"/>
      <c r="J943" s="477"/>
      <c r="K943" s="477"/>
      <c r="L943" s="477"/>
      <c r="M943" s="477"/>
      <c r="N943" s="477"/>
      <c r="O943" s="477"/>
      <c r="P943" s="477"/>
      <c r="Q943" s="477"/>
      <c r="R943" s="477"/>
      <c r="S943" s="477"/>
      <c r="T943" s="477"/>
      <c r="U943" s="477"/>
      <c r="V943" s="477"/>
      <c r="W943" s="477"/>
      <c r="X943" s="477"/>
      <c r="Y943" s="477"/>
      <c r="Z943" s="477"/>
    </row>
    <row r="944" spans="1:26" ht="15" customHeight="1" x14ac:dyDescent="0.35">
      <c r="A944" s="477"/>
      <c r="B944" s="477"/>
      <c r="C944" s="477"/>
      <c r="D944" s="477"/>
      <c r="E944" s="477"/>
      <c r="F944" s="477"/>
      <c r="G944" s="477"/>
      <c r="H944" s="477"/>
      <c r="I944" s="477"/>
      <c r="J944" s="477"/>
      <c r="K944" s="477"/>
      <c r="L944" s="477"/>
      <c r="M944" s="477"/>
      <c r="N944" s="477"/>
      <c r="O944" s="477"/>
      <c r="P944" s="477"/>
      <c r="Q944" s="477"/>
      <c r="R944" s="477"/>
      <c r="S944" s="477"/>
      <c r="T944" s="477"/>
      <c r="U944" s="477"/>
      <c r="V944" s="477"/>
      <c r="W944" s="477"/>
      <c r="X944" s="477"/>
      <c r="Y944" s="477"/>
      <c r="Z944" s="477"/>
    </row>
    <row r="945" spans="1:26" ht="15" customHeight="1" x14ac:dyDescent="0.35">
      <c r="A945" s="477"/>
      <c r="B945" s="477"/>
      <c r="C945" s="477"/>
      <c r="D945" s="477"/>
      <c r="E945" s="477"/>
      <c r="F945" s="477"/>
      <c r="G945" s="477"/>
      <c r="H945" s="477"/>
      <c r="I945" s="477"/>
      <c r="J945" s="477"/>
      <c r="K945" s="477"/>
      <c r="L945" s="477"/>
      <c r="M945" s="477"/>
      <c r="N945" s="477"/>
      <c r="O945" s="477"/>
      <c r="P945" s="477"/>
      <c r="Q945" s="477"/>
      <c r="R945" s="477"/>
      <c r="S945" s="477"/>
      <c r="T945" s="477"/>
      <c r="U945" s="477"/>
      <c r="V945" s="477"/>
      <c r="W945" s="477"/>
      <c r="X945" s="477"/>
      <c r="Y945" s="477"/>
      <c r="Z945" s="477"/>
    </row>
    <row r="946" spans="1:26" ht="15" customHeight="1" x14ac:dyDescent="0.35">
      <c r="A946" s="477"/>
      <c r="B946" s="477"/>
      <c r="C946" s="477"/>
      <c r="D946" s="477"/>
      <c r="E946" s="477"/>
      <c r="F946" s="477"/>
      <c r="G946" s="477"/>
      <c r="H946" s="477"/>
      <c r="I946" s="477"/>
      <c r="J946" s="477"/>
      <c r="K946" s="477"/>
      <c r="L946" s="477"/>
      <c r="M946" s="477"/>
      <c r="N946" s="477"/>
      <c r="O946" s="477"/>
      <c r="P946" s="477"/>
      <c r="Q946" s="477"/>
      <c r="R946" s="477"/>
      <c r="S946" s="477"/>
      <c r="T946" s="477"/>
      <c r="U946" s="477"/>
      <c r="V946" s="477"/>
      <c r="W946" s="477"/>
      <c r="X946" s="477"/>
      <c r="Y946" s="477"/>
      <c r="Z946" s="477"/>
    </row>
    <row r="947" spans="1:26" ht="15" customHeight="1" x14ac:dyDescent="0.35">
      <c r="A947" s="477"/>
      <c r="B947" s="477"/>
      <c r="C947" s="477"/>
      <c r="D947" s="477"/>
      <c r="E947" s="477"/>
      <c r="F947" s="477"/>
      <c r="G947" s="477"/>
      <c r="H947" s="477"/>
      <c r="I947" s="477"/>
      <c r="J947" s="477"/>
      <c r="K947" s="477"/>
      <c r="L947" s="477"/>
      <c r="M947" s="477"/>
      <c r="N947" s="477"/>
      <c r="O947" s="477"/>
      <c r="P947" s="477"/>
      <c r="Q947" s="477"/>
      <c r="R947" s="477"/>
      <c r="S947" s="477"/>
      <c r="T947" s="477"/>
      <c r="U947" s="477"/>
      <c r="V947" s="477"/>
      <c r="W947" s="477"/>
      <c r="X947" s="477"/>
      <c r="Y947" s="477"/>
      <c r="Z947" s="477"/>
    </row>
    <row r="948" spans="1:26" ht="15" customHeight="1" x14ac:dyDescent="0.35">
      <c r="A948" s="477"/>
      <c r="B948" s="477"/>
      <c r="C948" s="477"/>
      <c r="D948" s="477"/>
      <c r="E948" s="477"/>
      <c r="F948" s="477"/>
      <c r="G948" s="477"/>
      <c r="H948" s="477"/>
      <c r="I948" s="477"/>
      <c r="J948" s="477"/>
      <c r="K948" s="477"/>
      <c r="L948" s="477"/>
      <c r="M948" s="477"/>
      <c r="N948" s="477"/>
      <c r="O948" s="477"/>
      <c r="P948" s="477"/>
      <c r="Q948" s="477"/>
      <c r="R948" s="477"/>
      <c r="S948" s="477"/>
      <c r="T948" s="477"/>
      <c r="U948" s="477"/>
      <c r="V948" s="477"/>
      <c r="W948" s="477"/>
      <c r="X948" s="477"/>
      <c r="Y948" s="477"/>
      <c r="Z948" s="477"/>
    </row>
    <row r="949" spans="1:26" ht="15" customHeight="1" x14ac:dyDescent="0.35">
      <c r="A949" s="477"/>
      <c r="B949" s="477"/>
      <c r="C949" s="477"/>
      <c r="D949" s="477"/>
      <c r="E949" s="477"/>
      <c r="F949" s="477"/>
      <c r="G949" s="477"/>
      <c r="H949" s="477"/>
      <c r="I949" s="477"/>
      <c r="J949" s="477"/>
      <c r="K949" s="477"/>
      <c r="L949" s="477"/>
      <c r="M949" s="477"/>
      <c r="N949" s="477"/>
      <c r="O949" s="477"/>
      <c r="P949" s="477"/>
      <c r="Q949" s="477"/>
      <c r="R949" s="477"/>
      <c r="S949" s="477"/>
      <c r="T949" s="477"/>
      <c r="U949" s="477"/>
      <c r="V949" s="477"/>
      <c r="W949" s="477"/>
      <c r="X949" s="477"/>
      <c r="Y949" s="477"/>
      <c r="Z949" s="477"/>
    </row>
    <row r="950" spans="1:26" ht="15" customHeight="1" x14ac:dyDescent="0.35">
      <c r="A950" s="477"/>
      <c r="B950" s="477"/>
      <c r="C950" s="477"/>
      <c r="D950" s="477"/>
      <c r="E950" s="477"/>
      <c r="F950" s="477"/>
      <c r="G950" s="477"/>
      <c r="H950" s="477"/>
      <c r="I950" s="477"/>
      <c r="J950" s="477"/>
      <c r="K950" s="477"/>
      <c r="L950" s="477"/>
      <c r="M950" s="477"/>
      <c r="N950" s="477"/>
      <c r="O950" s="477"/>
      <c r="P950" s="477"/>
      <c r="Q950" s="477"/>
      <c r="R950" s="477"/>
      <c r="S950" s="477"/>
      <c r="T950" s="477"/>
      <c r="U950" s="477"/>
      <c r="V950" s="477"/>
      <c r="W950" s="477"/>
      <c r="X950" s="477"/>
      <c r="Y950" s="477"/>
      <c r="Z950" s="477"/>
    </row>
    <row r="951" spans="1:26" ht="15" customHeight="1" x14ac:dyDescent="0.35">
      <c r="A951" s="477"/>
      <c r="B951" s="477"/>
      <c r="C951" s="477"/>
      <c r="D951" s="477"/>
      <c r="E951" s="477"/>
      <c r="F951" s="477"/>
      <c r="G951" s="477"/>
      <c r="H951" s="477"/>
      <c r="I951" s="477"/>
      <c r="J951" s="477"/>
      <c r="K951" s="477"/>
      <c r="L951" s="477"/>
      <c r="M951" s="477"/>
      <c r="N951" s="477"/>
      <c r="O951" s="477"/>
      <c r="P951" s="477"/>
      <c r="Q951" s="477"/>
      <c r="R951" s="477"/>
      <c r="S951" s="477"/>
      <c r="T951" s="477"/>
      <c r="U951" s="477"/>
      <c r="V951" s="477"/>
      <c r="W951" s="477"/>
      <c r="X951" s="477"/>
      <c r="Y951" s="477"/>
      <c r="Z951" s="477"/>
    </row>
    <row r="952" spans="1:26" ht="15" customHeight="1" x14ac:dyDescent="0.35">
      <c r="A952" s="477"/>
      <c r="B952" s="477"/>
      <c r="C952" s="477"/>
      <c r="D952" s="477"/>
      <c r="E952" s="477"/>
      <c r="F952" s="477"/>
      <c r="G952" s="477"/>
      <c r="H952" s="477"/>
      <c r="I952" s="477"/>
      <c r="J952" s="477"/>
      <c r="K952" s="477"/>
      <c r="L952" s="477"/>
      <c r="M952" s="477"/>
      <c r="N952" s="477"/>
      <c r="O952" s="477"/>
      <c r="P952" s="477"/>
      <c r="Q952" s="477"/>
      <c r="R952" s="477"/>
      <c r="S952" s="477"/>
      <c r="T952" s="477"/>
      <c r="U952" s="477"/>
      <c r="V952" s="477"/>
      <c r="W952" s="477"/>
      <c r="X952" s="477"/>
      <c r="Y952" s="477"/>
      <c r="Z952" s="477"/>
    </row>
    <row r="953" spans="1:26" ht="15" customHeight="1" x14ac:dyDescent="0.35">
      <c r="A953" s="477"/>
      <c r="B953" s="477"/>
      <c r="C953" s="477"/>
      <c r="D953" s="477"/>
      <c r="E953" s="477"/>
      <c r="F953" s="477"/>
      <c r="G953" s="477"/>
      <c r="H953" s="477"/>
      <c r="I953" s="477"/>
      <c r="J953" s="477"/>
      <c r="K953" s="477"/>
      <c r="L953" s="477"/>
      <c r="M953" s="477"/>
      <c r="N953" s="477"/>
      <c r="O953" s="477"/>
      <c r="P953" s="477"/>
      <c r="Q953" s="477"/>
      <c r="R953" s="477"/>
      <c r="S953" s="477"/>
      <c r="T953" s="477"/>
      <c r="U953" s="477"/>
      <c r="V953" s="477"/>
      <c r="W953" s="477"/>
      <c r="X953" s="477"/>
      <c r="Y953" s="477"/>
      <c r="Z953" s="477"/>
    </row>
    <row r="954" spans="1:26" ht="15" customHeight="1" x14ac:dyDescent="0.35">
      <c r="A954" s="477"/>
      <c r="B954" s="477"/>
      <c r="C954" s="477"/>
      <c r="D954" s="477"/>
      <c r="E954" s="477"/>
      <c r="F954" s="477"/>
      <c r="G954" s="477"/>
      <c r="H954" s="477"/>
      <c r="I954" s="477"/>
      <c r="J954" s="477"/>
      <c r="K954" s="477"/>
      <c r="L954" s="477"/>
      <c r="M954" s="477"/>
      <c r="N954" s="477"/>
      <c r="O954" s="477"/>
      <c r="P954" s="477"/>
      <c r="Q954" s="477"/>
      <c r="R954" s="477"/>
      <c r="S954" s="477"/>
      <c r="T954" s="477"/>
      <c r="U954" s="477"/>
      <c r="V954" s="477"/>
      <c r="W954" s="477"/>
      <c r="X954" s="477"/>
      <c r="Y954" s="477"/>
      <c r="Z954" s="477"/>
    </row>
    <row r="955" spans="1:26" ht="15" customHeight="1" x14ac:dyDescent="0.35">
      <c r="A955" s="477"/>
      <c r="B955" s="477"/>
      <c r="C955" s="477"/>
      <c r="D955" s="477"/>
      <c r="E955" s="477"/>
      <c r="F955" s="477"/>
      <c r="G955" s="477"/>
      <c r="H955" s="477"/>
      <c r="I955" s="477"/>
      <c r="J955" s="477"/>
      <c r="K955" s="477"/>
      <c r="L955" s="477"/>
      <c r="M955" s="477"/>
      <c r="N955" s="477"/>
      <c r="O955" s="477"/>
      <c r="P955" s="477"/>
      <c r="Q955" s="477"/>
      <c r="R955" s="477"/>
      <c r="S955" s="477"/>
      <c r="T955" s="477"/>
      <c r="U955" s="477"/>
      <c r="V955" s="477"/>
      <c r="W955" s="477"/>
      <c r="X955" s="477"/>
      <c r="Y955" s="477"/>
      <c r="Z955" s="477"/>
    </row>
    <row r="956" spans="1:26" ht="15" customHeight="1" x14ac:dyDescent="0.35">
      <c r="A956" s="477"/>
      <c r="B956" s="477"/>
      <c r="C956" s="477"/>
      <c r="D956" s="477"/>
      <c r="E956" s="477"/>
      <c r="F956" s="477"/>
      <c r="G956" s="477"/>
      <c r="H956" s="477"/>
      <c r="I956" s="477"/>
      <c r="J956" s="477"/>
      <c r="K956" s="477"/>
      <c r="L956" s="477"/>
      <c r="M956" s="477"/>
      <c r="N956" s="477"/>
      <c r="O956" s="477"/>
      <c r="P956" s="477"/>
      <c r="Q956" s="477"/>
      <c r="R956" s="477"/>
      <c r="S956" s="477"/>
      <c r="T956" s="477"/>
      <c r="U956" s="477"/>
      <c r="V956" s="477"/>
      <c r="W956" s="477"/>
      <c r="X956" s="477"/>
      <c r="Y956" s="477"/>
      <c r="Z956" s="477"/>
    </row>
    <row r="957" spans="1:26" ht="15" customHeight="1" x14ac:dyDescent="0.35">
      <c r="A957" s="477"/>
      <c r="B957" s="477"/>
      <c r="C957" s="477"/>
      <c r="D957" s="477"/>
      <c r="E957" s="477"/>
      <c r="F957" s="477"/>
      <c r="G957" s="477"/>
      <c r="H957" s="477"/>
      <c r="I957" s="477"/>
      <c r="J957" s="477"/>
      <c r="K957" s="477"/>
      <c r="L957" s="477"/>
      <c r="M957" s="477"/>
      <c r="N957" s="477"/>
      <c r="O957" s="477"/>
      <c r="P957" s="477"/>
      <c r="Q957" s="477"/>
      <c r="R957" s="477"/>
      <c r="S957" s="477"/>
      <c r="T957" s="477"/>
      <c r="U957" s="477"/>
      <c r="V957" s="477"/>
      <c r="W957" s="477"/>
      <c r="X957" s="477"/>
      <c r="Y957" s="477"/>
      <c r="Z957" s="477"/>
    </row>
    <row r="958" spans="1:26" ht="15" customHeight="1" x14ac:dyDescent="0.35">
      <c r="A958" s="477"/>
      <c r="B958" s="477"/>
      <c r="C958" s="477"/>
      <c r="D958" s="477"/>
      <c r="E958" s="477"/>
      <c r="F958" s="477"/>
      <c r="G958" s="477"/>
      <c r="H958" s="477"/>
      <c r="I958" s="477"/>
      <c r="J958" s="477"/>
      <c r="K958" s="477"/>
      <c r="L958" s="477"/>
      <c r="M958" s="477"/>
      <c r="N958" s="477"/>
      <c r="O958" s="477"/>
      <c r="P958" s="477"/>
      <c r="Q958" s="477"/>
      <c r="R958" s="477"/>
      <c r="S958" s="477"/>
      <c r="T958" s="477"/>
      <c r="U958" s="477"/>
      <c r="V958" s="477"/>
      <c r="W958" s="477"/>
      <c r="X958" s="477"/>
      <c r="Y958" s="477"/>
      <c r="Z958" s="477"/>
    </row>
    <row r="959" spans="1:26" ht="15" customHeight="1" x14ac:dyDescent="0.35">
      <c r="A959" s="477"/>
      <c r="B959" s="477"/>
      <c r="C959" s="477"/>
      <c r="D959" s="477"/>
      <c r="E959" s="477"/>
      <c r="F959" s="477"/>
      <c r="G959" s="477"/>
      <c r="H959" s="477"/>
      <c r="I959" s="477"/>
      <c r="J959" s="477"/>
      <c r="K959" s="477"/>
      <c r="L959" s="477"/>
      <c r="M959" s="477"/>
      <c r="N959" s="477"/>
      <c r="O959" s="477"/>
      <c r="P959" s="477"/>
      <c r="Q959" s="477"/>
      <c r="R959" s="477"/>
      <c r="S959" s="477"/>
      <c r="T959" s="477"/>
      <c r="U959" s="477"/>
      <c r="V959" s="477"/>
      <c r="W959" s="477"/>
      <c r="X959" s="477"/>
      <c r="Y959" s="477"/>
      <c r="Z959" s="477"/>
    </row>
    <row r="960" spans="1:26" ht="15" customHeight="1" x14ac:dyDescent="0.35">
      <c r="A960" s="477"/>
      <c r="B960" s="477"/>
      <c r="C960" s="477"/>
      <c r="D960" s="477"/>
      <c r="E960" s="477"/>
      <c r="F960" s="477"/>
      <c r="G960" s="477"/>
      <c r="H960" s="477"/>
      <c r="I960" s="477"/>
      <c r="J960" s="477"/>
      <c r="K960" s="477"/>
      <c r="L960" s="477"/>
      <c r="M960" s="477"/>
      <c r="N960" s="477"/>
      <c r="O960" s="477"/>
      <c r="P960" s="477"/>
      <c r="Q960" s="477"/>
      <c r="R960" s="477"/>
      <c r="S960" s="477"/>
      <c r="T960" s="477"/>
      <c r="U960" s="477"/>
      <c r="V960" s="477"/>
      <c r="W960" s="477"/>
      <c r="X960" s="477"/>
      <c r="Y960" s="477"/>
      <c r="Z960" s="477"/>
    </row>
    <row r="961" spans="1:26" ht="15" customHeight="1" x14ac:dyDescent="0.35">
      <c r="A961" s="477"/>
      <c r="B961" s="477"/>
      <c r="C961" s="477"/>
      <c r="D961" s="477"/>
      <c r="E961" s="477"/>
      <c r="F961" s="477"/>
      <c r="G961" s="477"/>
      <c r="H961" s="477"/>
      <c r="I961" s="477"/>
      <c r="J961" s="477"/>
      <c r="K961" s="477"/>
      <c r="L961" s="477"/>
      <c r="M961" s="477"/>
      <c r="N961" s="477"/>
      <c r="O961" s="477"/>
      <c r="P961" s="477"/>
      <c r="Q961" s="477"/>
      <c r="R961" s="477"/>
      <c r="S961" s="477"/>
      <c r="T961" s="477"/>
      <c r="U961" s="477"/>
      <c r="V961" s="477"/>
      <c r="W961" s="477"/>
      <c r="X961" s="477"/>
      <c r="Y961" s="477"/>
      <c r="Z961" s="477"/>
    </row>
    <row r="962" spans="1:26" ht="15" customHeight="1" x14ac:dyDescent="0.35">
      <c r="A962" s="477"/>
      <c r="B962" s="477"/>
      <c r="C962" s="477"/>
      <c r="D962" s="477"/>
      <c r="E962" s="477"/>
      <c r="F962" s="477"/>
      <c r="G962" s="477"/>
      <c r="H962" s="477"/>
      <c r="I962" s="477"/>
      <c r="J962" s="477"/>
      <c r="K962" s="477"/>
      <c r="L962" s="477"/>
      <c r="M962" s="477"/>
      <c r="N962" s="477"/>
      <c r="O962" s="477"/>
      <c r="P962" s="477"/>
      <c r="Q962" s="477"/>
      <c r="R962" s="477"/>
      <c r="S962" s="477"/>
      <c r="T962" s="477"/>
      <c r="U962" s="477"/>
      <c r="V962" s="477"/>
      <c r="W962" s="477"/>
      <c r="X962" s="477"/>
      <c r="Y962" s="477"/>
      <c r="Z962" s="477"/>
    </row>
    <row r="963" spans="1:26" ht="15" customHeight="1" x14ac:dyDescent="0.35">
      <c r="A963" s="477"/>
      <c r="B963" s="477"/>
      <c r="C963" s="477"/>
      <c r="D963" s="477"/>
      <c r="E963" s="477"/>
      <c r="F963" s="477"/>
      <c r="G963" s="477"/>
      <c r="H963" s="477"/>
      <c r="I963" s="477"/>
      <c r="J963" s="477"/>
      <c r="K963" s="477"/>
      <c r="L963" s="477"/>
      <c r="M963" s="477"/>
      <c r="N963" s="477"/>
      <c r="O963" s="477"/>
      <c r="P963" s="477"/>
      <c r="Q963" s="477"/>
      <c r="R963" s="477"/>
      <c r="S963" s="477"/>
      <c r="T963" s="477"/>
      <c r="U963" s="477"/>
      <c r="V963" s="477"/>
      <c r="W963" s="477"/>
      <c r="X963" s="477"/>
      <c r="Y963" s="477"/>
      <c r="Z963" s="477"/>
    </row>
    <row r="964" spans="1:26" ht="15" customHeight="1" x14ac:dyDescent="0.35">
      <c r="A964" s="477"/>
      <c r="B964" s="477"/>
      <c r="C964" s="477"/>
      <c r="D964" s="477"/>
      <c r="E964" s="477"/>
      <c r="F964" s="477"/>
      <c r="G964" s="477"/>
      <c r="H964" s="477"/>
      <c r="I964" s="477"/>
      <c r="J964" s="477"/>
      <c r="K964" s="477"/>
      <c r="L964" s="477"/>
      <c r="M964" s="477"/>
      <c r="N964" s="477"/>
      <c r="O964" s="477"/>
      <c r="P964" s="477"/>
      <c r="Q964" s="477"/>
      <c r="R964" s="477"/>
      <c r="S964" s="477"/>
      <c r="T964" s="477"/>
      <c r="U964" s="477"/>
      <c r="V964" s="477"/>
      <c r="W964" s="477"/>
      <c r="X964" s="477"/>
      <c r="Y964" s="477"/>
      <c r="Z964" s="477"/>
    </row>
    <row r="965" spans="1:26" ht="15" customHeight="1" x14ac:dyDescent="0.35">
      <c r="A965" s="477"/>
      <c r="B965" s="477"/>
      <c r="C965" s="477"/>
      <c r="D965" s="477"/>
      <c r="E965" s="477"/>
      <c r="F965" s="477"/>
      <c r="G965" s="477"/>
      <c r="H965" s="477"/>
      <c r="I965" s="477"/>
      <c r="J965" s="477"/>
      <c r="K965" s="477"/>
      <c r="L965" s="477"/>
      <c r="M965" s="477"/>
      <c r="N965" s="477"/>
      <c r="O965" s="477"/>
      <c r="P965" s="477"/>
      <c r="Q965" s="477"/>
      <c r="R965" s="477"/>
      <c r="S965" s="477"/>
      <c r="T965" s="477"/>
      <c r="U965" s="477"/>
      <c r="V965" s="477"/>
      <c r="W965" s="477"/>
      <c r="X965" s="477"/>
      <c r="Y965" s="477"/>
      <c r="Z965" s="477"/>
    </row>
    <row r="966" spans="1:26" ht="15" customHeight="1" x14ac:dyDescent="0.35">
      <c r="A966" s="477"/>
      <c r="B966" s="477"/>
      <c r="C966" s="477"/>
      <c r="D966" s="477"/>
      <c r="E966" s="477"/>
      <c r="F966" s="477"/>
      <c r="G966" s="477"/>
      <c r="H966" s="477"/>
      <c r="I966" s="477"/>
      <c r="J966" s="477"/>
      <c r="K966" s="477"/>
      <c r="L966" s="477"/>
      <c r="M966" s="477"/>
      <c r="N966" s="477"/>
      <c r="O966" s="477"/>
      <c r="P966" s="477"/>
      <c r="Q966" s="477"/>
      <c r="R966" s="477"/>
      <c r="S966" s="477"/>
      <c r="T966" s="477"/>
      <c r="U966" s="477"/>
      <c r="V966" s="477"/>
      <c r="W966" s="477"/>
      <c r="X966" s="477"/>
      <c r="Y966" s="477"/>
      <c r="Z966" s="477"/>
    </row>
    <row r="967" spans="1:26" ht="15" customHeight="1" x14ac:dyDescent="0.35">
      <c r="A967" s="477"/>
      <c r="B967" s="477"/>
      <c r="C967" s="477"/>
      <c r="D967" s="477"/>
      <c r="E967" s="477"/>
      <c r="F967" s="477"/>
      <c r="G967" s="477"/>
      <c r="H967" s="477"/>
      <c r="I967" s="477"/>
      <c r="J967" s="477"/>
      <c r="K967" s="477"/>
      <c r="L967" s="477"/>
      <c r="M967" s="477"/>
      <c r="N967" s="477"/>
      <c r="O967" s="477"/>
      <c r="P967" s="477"/>
      <c r="Q967" s="477"/>
      <c r="R967" s="477"/>
      <c r="S967" s="477"/>
      <c r="T967" s="477"/>
      <c r="U967" s="477"/>
      <c r="V967" s="477"/>
      <c r="W967" s="477"/>
      <c r="X967" s="477"/>
      <c r="Y967" s="477"/>
      <c r="Z967" s="477"/>
    </row>
    <row r="968" spans="1:26" ht="15" customHeight="1" x14ac:dyDescent="0.35">
      <c r="A968" s="477"/>
      <c r="B968" s="477"/>
      <c r="C968" s="477"/>
      <c r="D968" s="477"/>
      <c r="E968" s="477"/>
      <c r="F968" s="477"/>
      <c r="G968" s="477"/>
      <c r="H968" s="477"/>
      <c r="I968" s="477"/>
      <c r="J968" s="477"/>
      <c r="K968" s="477"/>
      <c r="L968" s="477"/>
      <c r="M968" s="477"/>
      <c r="N968" s="477"/>
      <c r="O968" s="477"/>
      <c r="P968" s="477"/>
      <c r="Q968" s="477"/>
      <c r="R968" s="477"/>
      <c r="S968" s="477"/>
      <c r="T968" s="477"/>
      <c r="U968" s="477"/>
      <c r="V968" s="477"/>
      <c r="W968" s="477"/>
      <c r="X968" s="477"/>
      <c r="Y968" s="477"/>
      <c r="Z968" s="477"/>
    </row>
    <row r="969" spans="1:26" ht="15" customHeight="1" x14ac:dyDescent="0.35">
      <c r="A969" s="477"/>
      <c r="B969" s="477"/>
      <c r="C969" s="477"/>
      <c r="D969" s="477"/>
      <c r="E969" s="477"/>
      <c r="F969" s="477"/>
      <c r="G969" s="477"/>
      <c r="H969" s="477"/>
      <c r="I969" s="477"/>
      <c r="J969" s="477"/>
      <c r="K969" s="477"/>
      <c r="L969" s="477"/>
      <c r="M969" s="477"/>
      <c r="N969" s="477"/>
      <c r="O969" s="477"/>
      <c r="P969" s="477"/>
      <c r="Q969" s="477"/>
      <c r="R969" s="477"/>
      <c r="S969" s="477"/>
      <c r="T969" s="477"/>
      <c r="U969" s="477"/>
      <c r="V969" s="477"/>
      <c r="W969" s="477"/>
      <c r="X969" s="477"/>
      <c r="Y969" s="477"/>
      <c r="Z969" s="477"/>
    </row>
    <row r="970" spans="1:26" ht="15" customHeight="1" x14ac:dyDescent="0.35">
      <c r="A970" s="477"/>
      <c r="B970" s="477"/>
      <c r="C970" s="477"/>
      <c r="D970" s="477"/>
      <c r="E970" s="477"/>
      <c r="F970" s="477"/>
      <c r="G970" s="477"/>
      <c r="H970" s="477"/>
      <c r="I970" s="477"/>
      <c r="J970" s="477"/>
      <c r="K970" s="477"/>
      <c r="L970" s="477"/>
      <c r="M970" s="477"/>
      <c r="N970" s="477"/>
      <c r="O970" s="477"/>
      <c r="P970" s="477"/>
      <c r="Q970" s="477"/>
      <c r="R970" s="477"/>
      <c r="S970" s="477"/>
      <c r="T970" s="477"/>
      <c r="U970" s="477"/>
      <c r="V970" s="477"/>
      <c r="W970" s="477"/>
      <c r="X970" s="477"/>
      <c r="Y970" s="477"/>
      <c r="Z970" s="477"/>
    </row>
    <row r="971" spans="1:26" ht="15" customHeight="1" x14ac:dyDescent="0.35">
      <c r="A971" s="477"/>
      <c r="B971" s="477"/>
      <c r="C971" s="477"/>
      <c r="D971" s="477"/>
      <c r="E971" s="477"/>
      <c r="F971" s="477"/>
      <c r="G971" s="477"/>
      <c r="H971" s="477"/>
      <c r="I971" s="477"/>
      <c r="J971" s="477"/>
      <c r="K971" s="477"/>
      <c r="L971" s="477"/>
      <c r="M971" s="477"/>
      <c r="N971" s="477"/>
      <c r="O971" s="477"/>
      <c r="P971" s="477"/>
      <c r="Q971" s="477"/>
      <c r="R971" s="477"/>
      <c r="S971" s="477"/>
      <c r="T971" s="477"/>
      <c r="U971" s="477"/>
      <c r="V971" s="477"/>
      <c r="W971" s="477"/>
      <c r="X971" s="477"/>
      <c r="Y971" s="477"/>
      <c r="Z971" s="477"/>
    </row>
    <row r="972" spans="1:26" ht="15" customHeight="1" x14ac:dyDescent="0.35">
      <c r="A972" s="477"/>
      <c r="B972" s="477"/>
      <c r="C972" s="477"/>
      <c r="D972" s="477"/>
      <c r="E972" s="477"/>
      <c r="F972" s="477"/>
      <c r="G972" s="477"/>
      <c r="H972" s="477"/>
      <c r="I972" s="477"/>
      <c r="J972" s="477"/>
      <c r="K972" s="477"/>
      <c r="L972" s="477"/>
      <c r="M972" s="477"/>
      <c r="N972" s="477"/>
      <c r="O972" s="477"/>
      <c r="P972" s="477"/>
      <c r="Q972" s="477"/>
      <c r="R972" s="477"/>
      <c r="S972" s="477"/>
      <c r="T972" s="477"/>
      <c r="U972" s="477"/>
      <c r="V972" s="477"/>
      <c r="W972" s="477"/>
      <c r="X972" s="477"/>
      <c r="Y972" s="477"/>
      <c r="Z972" s="477"/>
    </row>
    <row r="973" spans="1:26" ht="15" customHeight="1" x14ac:dyDescent="0.35">
      <c r="A973" s="477"/>
      <c r="B973" s="477"/>
      <c r="C973" s="477"/>
      <c r="D973" s="477"/>
      <c r="E973" s="477"/>
      <c r="F973" s="477"/>
      <c r="G973" s="477"/>
      <c r="H973" s="477"/>
      <c r="I973" s="477"/>
      <c r="J973" s="477"/>
      <c r="K973" s="477"/>
      <c r="L973" s="477"/>
      <c r="M973" s="477"/>
      <c r="N973" s="477"/>
      <c r="O973" s="477"/>
      <c r="P973" s="477"/>
      <c r="Q973" s="477"/>
      <c r="R973" s="477"/>
      <c r="S973" s="477"/>
      <c r="T973" s="477"/>
      <c r="U973" s="477"/>
      <c r="V973" s="477"/>
      <c r="W973" s="477"/>
      <c r="X973" s="477"/>
      <c r="Y973" s="477"/>
      <c r="Z973" s="477"/>
    </row>
    <row r="974" spans="1:26" ht="15" customHeight="1" x14ac:dyDescent="0.35">
      <c r="A974" s="477"/>
      <c r="B974" s="477"/>
      <c r="C974" s="477"/>
      <c r="D974" s="477"/>
      <c r="E974" s="477"/>
      <c r="F974" s="477"/>
      <c r="G974" s="477"/>
      <c r="H974" s="477"/>
      <c r="I974" s="477"/>
      <c r="J974" s="477"/>
      <c r="K974" s="477"/>
      <c r="L974" s="477"/>
      <c r="M974" s="477"/>
      <c r="N974" s="477"/>
      <c r="O974" s="477"/>
      <c r="P974" s="477"/>
      <c r="Q974" s="477"/>
      <c r="R974" s="477"/>
      <c r="S974" s="477"/>
      <c r="T974" s="477"/>
      <c r="U974" s="477"/>
      <c r="V974" s="477"/>
      <c r="W974" s="477"/>
      <c r="X974" s="477"/>
      <c r="Y974" s="477"/>
      <c r="Z974" s="477"/>
    </row>
    <row r="975" spans="1:26" ht="15" customHeight="1" x14ac:dyDescent="0.35">
      <c r="A975" s="477"/>
      <c r="B975" s="477"/>
      <c r="C975" s="477"/>
      <c r="D975" s="477"/>
      <c r="E975" s="477"/>
      <c r="F975" s="477"/>
      <c r="G975" s="477"/>
      <c r="H975" s="477"/>
      <c r="I975" s="477"/>
      <c r="J975" s="477"/>
      <c r="K975" s="477"/>
      <c r="L975" s="477"/>
      <c r="M975" s="477"/>
      <c r="N975" s="477"/>
      <c r="O975" s="477"/>
      <c r="P975" s="477"/>
      <c r="Q975" s="477"/>
      <c r="R975" s="477"/>
      <c r="S975" s="477"/>
      <c r="T975" s="477"/>
      <c r="U975" s="477"/>
      <c r="V975" s="477"/>
      <c r="W975" s="477"/>
      <c r="X975" s="477"/>
      <c r="Y975" s="477"/>
      <c r="Z975" s="477"/>
    </row>
    <row r="976" spans="1:26" ht="15" customHeight="1" x14ac:dyDescent="0.35">
      <c r="A976" s="477"/>
      <c r="B976" s="477"/>
      <c r="C976" s="477"/>
      <c r="D976" s="477"/>
      <c r="E976" s="477"/>
      <c r="F976" s="477"/>
      <c r="G976" s="477"/>
      <c r="H976" s="477"/>
      <c r="I976" s="477"/>
      <c r="J976" s="477"/>
      <c r="K976" s="477"/>
      <c r="L976" s="477"/>
      <c r="M976" s="477"/>
      <c r="N976" s="477"/>
      <c r="O976" s="477"/>
      <c r="P976" s="477"/>
      <c r="Q976" s="477"/>
      <c r="R976" s="477"/>
      <c r="S976" s="477"/>
      <c r="T976" s="477"/>
      <c r="U976" s="477"/>
      <c r="V976" s="477"/>
      <c r="W976" s="477"/>
      <c r="X976" s="477"/>
      <c r="Y976" s="477"/>
      <c r="Z976" s="477"/>
    </row>
    <row r="977" spans="1:26" ht="15" customHeight="1" x14ac:dyDescent="0.35">
      <c r="A977" s="477"/>
      <c r="B977" s="477"/>
      <c r="C977" s="477"/>
      <c r="D977" s="477"/>
      <c r="E977" s="477"/>
      <c r="F977" s="477"/>
      <c r="G977" s="477"/>
      <c r="H977" s="477"/>
      <c r="I977" s="477"/>
      <c r="J977" s="477"/>
      <c r="K977" s="477"/>
      <c r="L977" s="477"/>
      <c r="M977" s="477"/>
      <c r="N977" s="477"/>
      <c r="O977" s="477"/>
      <c r="P977" s="477"/>
      <c r="Q977" s="477"/>
      <c r="R977" s="477"/>
      <c r="S977" s="477"/>
      <c r="T977" s="477"/>
      <c r="U977" s="477"/>
      <c r="V977" s="477"/>
      <c r="W977" s="477"/>
      <c r="X977" s="477"/>
      <c r="Y977" s="477"/>
      <c r="Z977" s="477"/>
    </row>
    <row r="978" spans="1:26" ht="15" customHeight="1" x14ac:dyDescent="0.35">
      <c r="A978" s="477"/>
      <c r="B978" s="477"/>
      <c r="C978" s="477"/>
      <c r="D978" s="477"/>
      <c r="E978" s="477"/>
      <c r="F978" s="477"/>
      <c r="G978" s="477"/>
      <c r="H978" s="477"/>
      <c r="I978" s="477"/>
      <c r="J978" s="477"/>
      <c r="K978" s="477"/>
      <c r="L978" s="477"/>
      <c r="M978" s="477"/>
      <c r="N978" s="477"/>
      <c r="O978" s="477"/>
      <c r="P978" s="477"/>
      <c r="Q978" s="477"/>
      <c r="R978" s="477"/>
      <c r="S978" s="477"/>
      <c r="T978" s="477"/>
      <c r="U978" s="477"/>
      <c r="V978" s="477"/>
      <c r="W978" s="477"/>
      <c r="X978" s="477"/>
      <c r="Y978" s="477"/>
      <c r="Z978" s="477"/>
    </row>
    <row r="979" spans="1:26" ht="15" customHeight="1" x14ac:dyDescent="0.35">
      <c r="A979" s="477"/>
      <c r="B979" s="477"/>
      <c r="C979" s="477"/>
      <c r="D979" s="477"/>
      <c r="E979" s="477"/>
      <c r="F979" s="477"/>
      <c r="G979" s="477"/>
      <c r="H979" s="477"/>
      <c r="I979" s="477"/>
      <c r="J979" s="477"/>
      <c r="K979" s="477"/>
      <c r="L979" s="477"/>
      <c r="M979" s="477"/>
      <c r="N979" s="477"/>
      <c r="O979" s="477"/>
      <c r="P979" s="477"/>
      <c r="Q979" s="477"/>
      <c r="R979" s="477"/>
      <c r="S979" s="477"/>
      <c r="T979" s="477"/>
      <c r="U979" s="477"/>
      <c r="V979" s="477"/>
      <c r="W979" s="477"/>
      <c r="X979" s="477"/>
      <c r="Y979" s="477"/>
      <c r="Z979" s="477"/>
    </row>
    <row r="980" spans="1:26" ht="15" customHeight="1" x14ac:dyDescent="0.35">
      <c r="A980" s="477"/>
      <c r="B980" s="477"/>
      <c r="C980" s="477"/>
      <c r="D980" s="477"/>
      <c r="E980" s="477"/>
      <c r="F980" s="477"/>
      <c r="G980" s="477"/>
      <c r="H980" s="477"/>
      <c r="I980" s="477"/>
      <c r="J980" s="477"/>
      <c r="K980" s="477"/>
      <c r="L980" s="477"/>
      <c r="M980" s="477"/>
      <c r="N980" s="477"/>
      <c r="O980" s="477"/>
      <c r="P980" s="477"/>
      <c r="Q980" s="477"/>
      <c r="R980" s="477"/>
      <c r="S980" s="477"/>
      <c r="T980" s="477"/>
      <c r="U980" s="477"/>
      <c r="V980" s="477"/>
      <c r="W980" s="477"/>
      <c r="X980" s="477"/>
      <c r="Y980" s="477"/>
      <c r="Z980" s="477"/>
    </row>
    <row r="981" spans="1:26" ht="15" customHeight="1" x14ac:dyDescent="0.35">
      <c r="A981" s="477"/>
      <c r="B981" s="477"/>
      <c r="C981" s="477"/>
      <c r="D981" s="477"/>
      <c r="E981" s="477"/>
      <c r="F981" s="477"/>
      <c r="G981" s="477"/>
      <c r="H981" s="477"/>
      <c r="I981" s="477"/>
      <c r="J981" s="477"/>
      <c r="K981" s="477"/>
      <c r="L981" s="477"/>
      <c r="M981" s="477"/>
      <c r="N981" s="477"/>
      <c r="O981" s="477"/>
      <c r="P981" s="477"/>
      <c r="Q981" s="477"/>
      <c r="R981" s="477"/>
      <c r="S981" s="477"/>
      <c r="T981" s="477"/>
      <c r="U981" s="477"/>
      <c r="V981" s="477"/>
      <c r="W981" s="477"/>
      <c r="X981" s="477"/>
      <c r="Y981" s="477"/>
      <c r="Z981" s="477"/>
    </row>
    <row r="982" spans="1:26" ht="15" customHeight="1" x14ac:dyDescent="0.35">
      <c r="A982" s="477"/>
      <c r="B982" s="477"/>
      <c r="C982" s="477"/>
      <c r="D982" s="477"/>
      <c r="E982" s="477"/>
      <c r="F982" s="477"/>
      <c r="G982" s="477"/>
      <c r="H982" s="477"/>
      <c r="I982" s="477"/>
      <c r="J982" s="477"/>
      <c r="K982" s="477"/>
      <c r="L982" s="477"/>
      <c r="M982" s="477"/>
      <c r="N982" s="477"/>
      <c r="O982" s="477"/>
      <c r="P982" s="477"/>
      <c r="Q982" s="477"/>
      <c r="R982" s="477"/>
      <c r="S982" s="477"/>
      <c r="T982" s="477"/>
      <c r="U982" s="477"/>
      <c r="V982" s="477"/>
      <c r="W982" s="477"/>
      <c r="X982" s="477"/>
      <c r="Y982" s="477"/>
      <c r="Z982" s="477"/>
    </row>
    <row r="983" spans="1:26" ht="15" customHeight="1" x14ac:dyDescent="0.35">
      <c r="A983" s="477"/>
      <c r="B983" s="477"/>
      <c r="C983" s="477"/>
      <c r="D983" s="477"/>
      <c r="E983" s="477"/>
      <c r="F983" s="477"/>
      <c r="G983" s="477"/>
      <c r="H983" s="477"/>
      <c r="I983" s="477"/>
      <c r="J983" s="477"/>
      <c r="K983" s="477"/>
      <c r="L983" s="477"/>
      <c r="M983" s="477"/>
      <c r="N983" s="477"/>
      <c r="O983" s="477"/>
      <c r="P983" s="477"/>
      <c r="Q983" s="477"/>
      <c r="R983" s="477"/>
      <c r="S983" s="477"/>
      <c r="T983" s="477"/>
      <c r="U983" s="477"/>
      <c r="V983" s="477"/>
      <c r="W983" s="477"/>
      <c r="X983" s="477"/>
      <c r="Y983" s="477"/>
      <c r="Z983" s="477"/>
    </row>
    <row r="984" spans="1:26" ht="15" customHeight="1" x14ac:dyDescent="0.35">
      <c r="A984" s="477"/>
      <c r="B984" s="477"/>
      <c r="C984" s="477"/>
      <c r="D984" s="477"/>
      <c r="E984" s="477"/>
      <c r="F984" s="477"/>
      <c r="G984" s="477"/>
      <c r="H984" s="477"/>
      <c r="I984" s="477"/>
      <c r="J984" s="477"/>
      <c r="K984" s="477"/>
      <c r="L984" s="477"/>
      <c r="M984" s="477"/>
      <c r="N984" s="477"/>
      <c r="O984" s="477"/>
      <c r="P984" s="477"/>
      <c r="Q984" s="477"/>
      <c r="R984" s="477"/>
      <c r="S984" s="477"/>
      <c r="T984" s="477"/>
      <c r="U984" s="477"/>
      <c r="V984" s="477"/>
      <c r="W984" s="477"/>
      <c r="X984" s="477"/>
      <c r="Y984" s="477"/>
      <c r="Z984" s="477"/>
    </row>
    <row r="985" spans="1:26" ht="15" customHeight="1" x14ac:dyDescent="0.35">
      <c r="A985" s="477"/>
      <c r="B985" s="477"/>
      <c r="C985" s="477"/>
      <c r="D985" s="477"/>
      <c r="E985" s="477"/>
      <c r="F985" s="477"/>
      <c r="G985" s="477"/>
      <c r="H985" s="477"/>
      <c r="I985" s="477"/>
      <c r="J985" s="477"/>
      <c r="K985" s="477"/>
      <c r="L985" s="477"/>
      <c r="M985" s="477"/>
      <c r="N985" s="477"/>
      <c r="O985" s="477"/>
      <c r="P985" s="477"/>
      <c r="Q985" s="477"/>
      <c r="R985" s="477"/>
      <c r="S985" s="477"/>
      <c r="T985" s="477"/>
      <c r="U985" s="477"/>
      <c r="V985" s="477"/>
      <c r="W985" s="477"/>
      <c r="X985" s="477"/>
      <c r="Y985" s="477"/>
      <c r="Z985" s="477"/>
    </row>
    <row r="986" spans="1:26" ht="15" customHeight="1" x14ac:dyDescent="0.35">
      <c r="A986" s="477"/>
      <c r="B986" s="477"/>
      <c r="C986" s="477"/>
      <c r="D986" s="477"/>
      <c r="E986" s="477"/>
      <c r="F986" s="477"/>
      <c r="G986" s="477"/>
      <c r="H986" s="477"/>
      <c r="I986" s="477"/>
      <c r="J986" s="477"/>
      <c r="K986" s="477"/>
      <c r="L986" s="477"/>
      <c r="M986" s="477"/>
      <c r="N986" s="477"/>
      <c r="O986" s="477"/>
      <c r="P986" s="477"/>
      <c r="Q986" s="477"/>
      <c r="R986" s="477"/>
      <c r="S986" s="477"/>
      <c r="T986" s="477"/>
      <c r="U986" s="477"/>
      <c r="V986" s="477"/>
      <c r="W986" s="477"/>
      <c r="X986" s="477"/>
      <c r="Y986" s="477"/>
      <c r="Z986" s="477"/>
    </row>
    <row r="987" spans="1:26" ht="15" customHeight="1" x14ac:dyDescent="0.35">
      <c r="A987" s="477"/>
      <c r="B987" s="477"/>
      <c r="C987" s="477"/>
      <c r="D987" s="477"/>
      <c r="E987" s="477"/>
      <c r="F987" s="477"/>
      <c r="G987" s="477"/>
      <c r="H987" s="477"/>
      <c r="I987" s="477"/>
      <c r="J987" s="477"/>
      <c r="K987" s="477"/>
      <c r="L987" s="477"/>
      <c r="M987" s="477"/>
      <c r="N987" s="477"/>
      <c r="O987" s="477"/>
      <c r="P987" s="477"/>
      <c r="Q987" s="477"/>
      <c r="R987" s="477"/>
      <c r="S987" s="477"/>
      <c r="T987" s="477"/>
      <c r="U987" s="477"/>
      <c r="V987" s="477"/>
      <c r="W987" s="477"/>
      <c r="X987" s="477"/>
      <c r="Y987" s="477"/>
      <c r="Z987" s="477"/>
    </row>
    <row r="988" spans="1:26" ht="15" customHeight="1" x14ac:dyDescent="0.35">
      <c r="A988" s="477"/>
      <c r="B988" s="477"/>
      <c r="C988" s="477"/>
      <c r="D988" s="477"/>
      <c r="E988" s="477"/>
      <c r="F988" s="477"/>
      <c r="G988" s="477"/>
      <c r="H988" s="477"/>
      <c r="I988" s="477"/>
      <c r="J988" s="477"/>
      <c r="K988" s="477"/>
      <c r="L988" s="477"/>
      <c r="M988" s="477"/>
      <c r="N988" s="477"/>
      <c r="O988" s="477"/>
      <c r="P988" s="477"/>
      <c r="Q988" s="477"/>
      <c r="R988" s="477"/>
      <c r="S988" s="477"/>
      <c r="T988" s="477"/>
      <c r="U988" s="477"/>
      <c r="V988" s="477"/>
      <c r="W988" s="477"/>
      <c r="X988" s="477"/>
      <c r="Y988" s="477"/>
      <c r="Z988" s="477"/>
    </row>
    <row r="989" spans="1:26" ht="15" customHeight="1" x14ac:dyDescent="0.35">
      <c r="A989" s="477"/>
      <c r="B989" s="477"/>
      <c r="C989" s="477"/>
      <c r="D989" s="477"/>
      <c r="E989" s="477"/>
      <c r="F989" s="477"/>
      <c r="G989" s="477"/>
      <c r="H989" s="477"/>
      <c r="I989" s="477"/>
      <c r="J989" s="477"/>
      <c r="K989" s="477"/>
      <c r="L989" s="477"/>
      <c r="M989" s="477"/>
      <c r="N989" s="477"/>
      <c r="O989" s="477"/>
      <c r="P989" s="477"/>
      <c r="Q989" s="477"/>
      <c r="R989" s="477"/>
      <c r="S989" s="477"/>
      <c r="T989" s="477"/>
      <c r="U989" s="477"/>
      <c r="V989" s="477"/>
      <c r="W989" s="477"/>
      <c r="X989" s="477"/>
      <c r="Y989" s="477"/>
      <c r="Z989" s="477"/>
    </row>
    <row r="990" spans="1:26" ht="15" customHeight="1" x14ac:dyDescent="0.35">
      <c r="A990" s="477"/>
      <c r="B990" s="477"/>
      <c r="C990" s="477"/>
      <c r="D990" s="477"/>
      <c r="E990" s="477"/>
      <c r="F990" s="477"/>
      <c r="G990" s="477"/>
      <c r="H990" s="477"/>
      <c r="I990" s="477"/>
      <c r="J990" s="477"/>
      <c r="K990" s="477"/>
      <c r="L990" s="477"/>
      <c r="M990" s="477"/>
      <c r="N990" s="477"/>
      <c r="O990" s="477"/>
      <c r="P990" s="477"/>
      <c r="Q990" s="477"/>
      <c r="R990" s="477"/>
      <c r="S990" s="477"/>
      <c r="T990" s="477"/>
      <c r="U990" s="477"/>
      <c r="V990" s="477"/>
      <c r="W990" s="477"/>
      <c r="X990" s="477"/>
      <c r="Y990" s="477"/>
      <c r="Z990" s="477"/>
    </row>
    <row r="991" spans="1:26" ht="15" customHeight="1" x14ac:dyDescent="0.35">
      <c r="A991" s="477"/>
      <c r="B991" s="477"/>
      <c r="C991" s="477"/>
      <c r="D991" s="477"/>
      <c r="E991" s="477"/>
      <c r="F991" s="477"/>
      <c r="G991" s="477"/>
      <c r="H991" s="477"/>
      <c r="I991" s="477"/>
      <c r="J991" s="477"/>
      <c r="K991" s="477"/>
      <c r="L991" s="477"/>
      <c r="M991" s="477"/>
      <c r="N991" s="477"/>
      <c r="O991" s="477"/>
      <c r="P991" s="477"/>
      <c r="Q991" s="477"/>
      <c r="R991" s="477"/>
      <c r="S991" s="477"/>
      <c r="T991" s="477"/>
      <c r="U991" s="477"/>
      <c r="V991" s="477"/>
      <c r="W991" s="477"/>
      <c r="X991" s="477"/>
      <c r="Y991" s="477"/>
      <c r="Z991" s="477"/>
    </row>
    <row r="992" spans="1:26" ht="15" customHeight="1" x14ac:dyDescent="0.35">
      <c r="A992" s="477"/>
      <c r="B992" s="477"/>
      <c r="C992" s="477"/>
      <c r="D992" s="477"/>
      <c r="E992" s="477"/>
      <c r="F992" s="477"/>
      <c r="G992" s="477"/>
      <c r="H992" s="477"/>
      <c r="I992" s="477"/>
      <c r="J992" s="477"/>
      <c r="K992" s="477"/>
      <c r="L992" s="477"/>
      <c r="M992" s="477"/>
      <c r="N992" s="477"/>
      <c r="O992" s="477"/>
      <c r="P992" s="477"/>
      <c r="Q992" s="477"/>
      <c r="R992" s="477"/>
      <c r="S992" s="477"/>
      <c r="T992" s="477"/>
      <c r="U992" s="477"/>
      <c r="V992" s="477"/>
      <c r="W992" s="477"/>
      <c r="X992" s="477"/>
      <c r="Y992" s="477"/>
      <c r="Z992" s="477"/>
    </row>
    <row r="993" spans="1:26" ht="15" customHeight="1" x14ac:dyDescent="0.35">
      <c r="A993" s="477"/>
      <c r="B993" s="477"/>
      <c r="C993" s="477"/>
      <c r="D993" s="477"/>
      <c r="E993" s="477"/>
      <c r="F993" s="477"/>
      <c r="G993" s="477"/>
      <c r="H993" s="477"/>
      <c r="I993" s="477"/>
      <c r="J993" s="477"/>
      <c r="K993" s="477"/>
      <c r="L993" s="477"/>
      <c r="M993" s="477"/>
      <c r="N993" s="477"/>
      <c r="O993" s="477"/>
      <c r="P993" s="477"/>
      <c r="Q993" s="477"/>
      <c r="R993" s="477"/>
      <c r="S993" s="477"/>
      <c r="T993" s="477"/>
      <c r="U993" s="477"/>
      <c r="V993" s="477"/>
      <c r="W993" s="477"/>
      <c r="X993" s="477"/>
      <c r="Y993" s="477"/>
      <c r="Z993" s="477"/>
    </row>
    <row r="994" spans="1:26" ht="15" customHeight="1" x14ac:dyDescent="0.35">
      <c r="A994" s="477"/>
      <c r="B994" s="477"/>
      <c r="C994" s="477"/>
      <c r="D994" s="477"/>
      <c r="E994" s="477"/>
      <c r="F994" s="477"/>
      <c r="G994" s="477"/>
      <c r="H994" s="477"/>
      <c r="I994" s="477"/>
      <c r="J994" s="477"/>
      <c r="K994" s="477"/>
      <c r="L994" s="477"/>
      <c r="M994" s="477"/>
      <c r="N994" s="477"/>
      <c r="O994" s="477"/>
      <c r="P994" s="477"/>
      <c r="Q994" s="477"/>
      <c r="R994" s="477"/>
      <c r="S994" s="477"/>
      <c r="T994" s="477"/>
      <c r="U994" s="477"/>
      <c r="V994" s="477"/>
      <c r="W994" s="477"/>
      <c r="X994" s="477"/>
      <c r="Y994" s="477"/>
      <c r="Z994" s="477"/>
    </row>
    <row r="995" spans="1:26" ht="15" customHeight="1" x14ac:dyDescent="0.35">
      <c r="A995" s="477"/>
      <c r="B995" s="477"/>
      <c r="C995" s="477"/>
      <c r="D995" s="477"/>
      <c r="E995" s="477"/>
      <c r="F995" s="477"/>
      <c r="G995" s="477"/>
      <c r="H995" s="477"/>
      <c r="I995" s="477"/>
      <c r="J995" s="477"/>
      <c r="K995" s="477"/>
      <c r="L995" s="477"/>
      <c r="M995" s="477"/>
      <c r="N995" s="477"/>
      <c r="O995" s="477"/>
      <c r="P995" s="477"/>
      <c r="Q995" s="477"/>
      <c r="R995" s="477"/>
      <c r="S995" s="477"/>
      <c r="T995" s="477"/>
      <c r="U995" s="477"/>
      <c r="V995" s="477"/>
      <c r="W995" s="477"/>
      <c r="X995" s="477"/>
      <c r="Y995" s="477"/>
      <c r="Z995" s="477"/>
    </row>
    <row r="996" spans="1:26" ht="15" customHeight="1" x14ac:dyDescent="0.35">
      <c r="A996" s="477"/>
      <c r="B996" s="477"/>
      <c r="C996" s="477"/>
      <c r="D996" s="477"/>
      <c r="E996" s="477"/>
      <c r="F996" s="477"/>
      <c r="G996" s="477"/>
      <c r="H996" s="477"/>
      <c r="I996" s="477"/>
      <c r="J996" s="477"/>
      <c r="K996" s="477"/>
      <c r="L996" s="477"/>
      <c r="M996" s="477"/>
      <c r="N996" s="477"/>
      <c r="O996" s="477"/>
      <c r="P996" s="477"/>
      <c r="Q996" s="477"/>
      <c r="R996" s="477"/>
      <c r="S996" s="477"/>
      <c r="T996" s="477"/>
      <c r="U996" s="477"/>
      <c r="V996" s="477"/>
      <c r="W996" s="477"/>
      <c r="X996" s="477"/>
      <c r="Y996" s="477"/>
      <c r="Z996" s="477"/>
    </row>
    <row r="997" spans="1:26" ht="15" customHeight="1" x14ac:dyDescent="0.35">
      <c r="A997" s="477"/>
      <c r="B997" s="477"/>
      <c r="C997" s="477"/>
      <c r="D997" s="477"/>
      <c r="E997" s="477"/>
      <c r="F997" s="477"/>
      <c r="G997" s="477"/>
      <c r="H997" s="477"/>
      <c r="I997" s="477"/>
      <c r="J997" s="477"/>
      <c r="K997" s="477"/>
      <c r="L997" s="477"/>
      <c r="M997" s="477"/>
      <c r="N997" s="477"/>
      <c r="O997" s="477"/>
      <c r="P997" s="477"/>
      <c r="Q997" s="477"/>
      <c r="R997" s="477"/>
      <c r="S997" s="477"/>
      <c r="T997" s="477"/>
      <c r="U997" s="477"/>
      <c r="V997" s="477"/>
      <c r="W997" s="477"/>
      <c r="X997" s="477"/>
      <c r="Y997" s="477"/>
      <c r="Z997" s="477"/>
    </row>
    <row r="998" spans="1:26" ht="15" customHeight="1" x14ac:dyDescent="0.35">
      <c r="A998" s="477"/>
      <c r="B998" s="477"/>
      <c r="C998" s="477"/>
      <c r="D998" s="477"/>
      <c r="E998" s="477"/>
      <c r="F998" s="477"/>
      <c r="G998" s="477"/>
      <c r="H998" s="477"/>
      <c r="I998" s="477"/>
      <c r="J998" s="477"/>
      <c r="K998" s="477"/>
      <c r="L998" s="477"/>
      <c r="M998" s="477"/>
      <c r="N998" s="477"/>
      <c r="O998" s="477"/>
      <c r="P998" s="477"/>
      <c r="Q998" s="477"/>
      <c r="R998" s="477"/>
      <c r="S998" s="477"/>
      <c r="T998" s="477"/>
      <c r="U998" s="477"/>
      <c r="V998" s="477"/>
      <c r="W998" s="477"/>
      <c r="X998" s="477"/>
      <c r="Y998" s="477"/>
      <c r="Z998" s="477"/>
    </row>
    <row r="999" spans="1:26" ht="15" customHeight="1" x14ac:dyDescent="0.35">
      <c r="A999" s="477"/>
      <c r="B999" s="477"/>
      <c r="C999" s="477"/>
      <c r="D999" s="477"/>
      <c r="E999" s="477"/>
      <c r="F999" s="477"/>
      <c r="G999" s="477"/>
      <c r="H999" s="477"/>
      <c r="I999" s="477"/>
      <c r="J999" s="477"/>
      <c r="K999" s="477"/>
      <c r="L999" s="477"/>
      <c r="M999" s="477"/>
      <c r="N999" s="477"/>
      <c r="O999" s="477"/>
      <c r="P999" s="477"/>
      <c r="Q999" s="477"/>
      <c r="R999" s="477"/>
      <c r="S999" s="477"/>
      <c r="T999" s="477"/>
      <c r="U999" s="477"/>
      <c r="V999" s="477"/>
      <c r="W999" s="477"/>
      <c r="X999" s="477"/>
      <c r="Y999" s="477"/>
      <c r="Z999" s="477"/>
    </row>
    <row r="1000" spans="1:26" ht="15" customHeight="1" x14ac:dyDescent="0.35">
      <c r="A1000" s="477"/>
      <c r="B1000" s="477"/>
      <c r="C1000" s="477"/>
      <c r="D1000" s="477"/>
      <c r="E1000" s="477"/>
      <c r="F1000" s="477"/>
      <c r="G1000" s="477"/>
      <c r="H1000" s="477"/>
      <c r="I1000" s="477"/>
      <c r="J1000" s="477"/>
      <c r="K1000" s="477"/>
      <c r="L1000" s="477"/>
      <c r="M1000" s="477"/>
      <c r="N1000" s="477"/>
      <c r="O1000" s="477"/>
      <c r="P1000" s="477"/>
      <c r="Q1000" s="477"/>
      <c r="R1000" s="477"/>
      <c r="S1000" s="477"/>
      <c r="T1000" s="477"/>
      <c r="U1000" s="477"/>
      <c r="V1000" s="477"/>
      <c r="W1000" s="477"/>
      <c r="X1000" s="477"/>
      <c r="Y1000" s="477"/>
      <c r="Z1000" s="477"/>
    </row>
  </sheetData>
  <mergeCells count="1">
    <mergeCell ref="A1:D1"/>
  </mergeCells>
  <dataValidations count="4">
    <dataValidation type="decimal" operator="greaterThan" allowBlank="1" showInputMessage="1" showErrorMessage="1" prompt="Valid input - Greater than 0." sqref="C8:C10 G8:G10 C17:C19 G17:G19 C26:C28 G26:G28" xr:uid="{00000000-0002-0000-0500-000000000000}">
      <formula1>0</formula1>
    </dataValidation>
    <dataValidation type="list" allowBlank="1" showInputMessage="1" showErrorMessage="1" prompt="Valid input - 150, 200, 230" sqref="D26:D28" xr:uid="{00000000-0002-0000-0500-000001000000}">
      <formula1>"150.0,200.0,230.0"</formula1>
    </dataValidation>
    <dataValidation type="list" allowBlank="1" showInputMessage="1" showErrorMessage="1" prompt="Valid input - 150 or 200" sqref="D8:D10" xr:uid="{00000000-0002-0000-0500-000002000000}">
      <formula1>"150.0,200.0"</formula1>
    </dataValidation>
    <dataValidation type="list" allowBlank="1" showDropDown="1" showInputMessage="1" showErrorMessage="1" prompt="Valid input - 50" sqref="D17:D19" xr:uid="{00000000-0002-0000-0500-000003000000}">
      <formula1>"50.0"</formula1>
    </dataValidation>
  </dataValidations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L537"/>
  <sheetViews>
    <sheetView view="pageBreakPreview" topLeftCell="A338" zoomScale="80" zoomScaleNormal="100" zoomScaleSheetLayoutView="80" workbookViewId="0">
      <selection activeCell="R66" sqref="R66"/>
    </sheetView>
  </sheetViews>
  <sheetFormatPr defaultRowHeight="15.5" x14ac:dyDescent="0.35"/>
  <cols>
    <col min="1" max="1" width="22.81640625" style="95" customWidth="1"/>
    <col min="2" max="2" width="27.453125" style="2" customWidth="1"/>
    <col min="3" max="3" width="11.26953125" style="3" customWidth="1"/>
    <col min="4" max="4" width="10" style="582" hidden="1" customWidth="1"/>
    <col min="5" max="5" width="10.54296875" style="3" customWidth="1"/>
    <col min="6" max="6" width="9.7265625" style="3" customWidth="1"/>
    <col min="7" max="7" width="9.54296875" style="3" customWidth="1"/>
    <col min="8" max="9" width="12.54296875" style="3" customWidth="1"/>
    <col min="10" max="10" width="11.54296875" style="3" customWidth="1"/>
    <col min="11" max="12" width="27.1796875" style="2" customWidth="1"/>
    <col min="13" max="238" width="8.81640625" style="3"/>
    <col min="239" max="239" width="13.26953125" style="3" customWidth="1"/>
    <col min="240" max="240" width="27.453125" style="3" customWidth="1"/>
    <col min="241" max="242" width="9.54296875" style="3" customWidth="1"/>
    <col min="243" max="243" width="9.7265625" style="3" customWidth="1"/>
    <col min="244" max="244" width="9.54296875" style="3" customWidth="1"/>
    <col min="245" max="245" width="12.54296875" style="3" customWidth="1"/>
    <col min="246" max="246" width="10" style="3" customWidth="1"/>
    <col min="247" max="247" width="9.7265625" style="3" customWidth="1"/>
    <col min="248" max="250" width="0" style="3" hidden="1" customWidth="1"/>
    <col min="251" max="494" width="8.81640625" style="3"/>
    <col min="495" max="495" width="13.26953125" style="3" customWidth="1"/>
    <col min="496" max="496" width="27.453125" style="3" customWidth="1"/>
    <col min="497" max="498" width="9.54296875" style="3" customWidth="1"/>
    <col min="499" max="499" width="9.7265625" style="3" customWidth="1"/>
    <col min="500" max="500" width="9.54296875" style="3" customWidth="1"/>
    <col min="501" max="501" width="12.54296875" style="3" customWidth="1"/>
    <col min="502" max="502" width="10" style="3" customWidth="1"/>
    <col min="503" max="503" width="9.7265625" style="3" customWidth="1"/>
    <col min="504" max="506" width="0" style="3" hidden="1" customWidth="1"/>
    <col min="507" max="750" width="8.81640625" style="3"/>
    <col min="751" max="751" width="13.26953125" style="3" customWidth="1"/>
    <col min="752" max="752" width="27.453125" style="3" customWidth="1"/>
    <col min="753" max="754" width="9.54296875" style="3" customWidth="1"/>
    <col min="755" max="755" width="9.7265625" style="3" customWidth="1"/>
    <col min="756" max="756" width="9.54296875" style="3" customWidth="1"/>
    <col min="757" max="757" width="12.54296875" style="3" customWidth="1"/>
    <col min="758" max="758" width="10" style="3" customWidth="1"/>
    <col min="759" max="759" width="9.7265625" style="3" customWidth="1"/>
    <col min="760" max="762" width="0" style="3" hidden="1" customWidth="1"/>
    <col min="763" max="1006" width="8.81640625" style="3"/>
    <col min="1007" max="1007" width="13.26953125" style="3" customWidth="1"/>
    <col min="1008" max="1008" width="27.453125" style="3" customWidth="1"/>
    <col min="1009" max="1010" width="9.54296875" style="3" customWidth="1"/>
    <col min="1011" max="1011" width="9.7265625" style="3" customWidth="1"/>
    <col min="1012" max="1012" width="9.54296875" style="3" customWidth="1"/>
    <col min="1013" max="1013" width="12.54296875" style="3" customWidth="1"/>
    <col min="1014" max="1014" width="10" style="3" customWidth="1"/>
    <col min="1015" max="1015" width="9.7265625" style="3" customWidth="1"/>
    <col min="1016" max="1018" width="0" style="3" hidden="1" customWidth="1"/>
    <col min="1019" max="1262" width="8.81640625" style="3"/>
    <col min="1263" max="1263" width="13.26953125" style="3" customWidth="1"/>
    <col min="1264" max="1264" width="27.453125" style="3" customWidth="1"/>
    <col min="1265" max="1266" width="9.54296875" style="3" customWidth="1"/>
    <col min="1267" max="1267" width="9.7265625" style="3" customWidth="1"/>
    <col min="1268" max="1268" width="9.54296875" style="3" customWidth="1"/>
    <col min="1269" max="1269" width="12.54296875" style="3" customWidth="1"/>
    <col min="1270" max="1270" width="10" style="3" customWidth="1"/>
    <col min="1271" max="1271" width="9.7265625" style="3" customWidth="1"/>
    <col min="1272" max="1274" width="0" style="3" hidden="1" customWidth="1"/>
    <col min="1275" max="1518" width="8.81640625" style="3"/>
    <col min="1519" max="1519" width="13.26953125" style="3" customWidth="1"/>
    <col min="1520" max="1520" width="27.453125" style="3" customWidth="1"/>
    <col min="1521" max="1522" width="9.54296875" style="3" customWidth="1"/>
    <col min="1523" max="1523" width="9.7265625" style="3" customWidth="1"/>
    <col min="1524" max="1524" width="9.54296875" style="3" customWidth="1"/>
    <col min="1525" max="1525" width="12.54296875" style="3" customWidth="1"/>
    <col min="1526" max="1526" width="10" style="3" customWidth="1"/>
    <col min="1527" max="1527" width="9.7265625" style="3" customWidth="1"/>
    <col min="1528" max="1530" width="0" style="3" hidden="1" customWidth="1"/>
    <col min="1531" max="1774" width="8.81640625" style="3"/>
    <col min="1775" max="1775" width="13.26953125" style="3" customWidth="1"/>
    <col min="1776" max="1776" width="27.453125" style="3" customWidth="1"/>
    <col min="1777" max="1778" width="9.54296875" style="3" customWidth="1"/>
    <col min="1779" max="1779" width="9.7265625" style="3" customWidth="1"/>
    <col min="1780" max="1780" width="9.54296875" style="3" customWidth="1"/>
    <col min="1781" max="1781" width="12.54296875" style="3" customWidth="1"/>
    <col min="1782" max="1782" width="10" style="3" customWidth="1"/>
    <col min="1783" max="1783" width="9.7265625" style="3" customWidth="1"/>
    <col min="1784" max="1786" width="0" style="3" hidden="1" customWidth="1"/>
    <col min="1787" max="2030" width="8.81640625" style="3"/>
    <col min="2031" max="2031" width="13.26953125" style="3" customWidth="1"/>
    <col min="2032" max="2032" width="27.453125" style="3" customWidth="1"/>
    <col min="2033" max="2034" width="9.54296875" style="3" customWidth="1"/>
    <col min="2035" max="2035" width="9.7265625" style="3" customWidth="1"/>
    <col min="2036" max="2036" width="9.54296875" style="3" customWidth="1"/>
    <col min="2037" max="2037" width="12.54296875" style="3" customWidth="1"/>
    <col min="2038" max="2038" width="10" style="3" customWidth="1"/>
    <col min="2039" max="2039" width="9.7265625" style="3" customWidth="1"/>
    <col min="2040" max="2042" width="0" style="3" hidden="1" customWidth="1"/>
    <col min="2043" max="2286" width="8.81640625" style="3"/>
    <col min="2287" max="2287" width="13.26953125" style="3" customWidth="1"/>
    <col min="2288" max="2288" width="27.453125" style="3" customWidth="1"/>
    <col min="2289" max="2290" width="9.54296875" style="3" customWidth="1"/>
    <col min="2291" max="2291" width="9.7265625" style="3" customWidth="1"/>
    <col min="2292" max="2292" width="9.54296875" style="3" customWidth="1"/>
    <col min="2293" max="2293" width="12.54296875" style="3" customWidth="1"/>
    <col min="2294" max="2294" width="10" style="3" customWidth="1"/>
    <col min="2295" max="2295" width="9.7265625" style="3" customWidth="1"/>
    <col min="2296" max="2298" width="0" style="3" hidden="1" customWidth="1"/>
    <col min="2299" max="2542" width="8.81640625" style="3"/>
    <col min="2543" max="2543" width="13.26953125" style="3" customWidth="1"/>
    <col min="2544" max="2544" width="27.453125" style="3" customWidth="1"/>
    <col min="2545" max="2546" width="9.54296875" style="3" customWidth="1"/>
    <col min="2547" max="2547" width="9.7265625" style="3" customWidth="1"/>
    <col min="2548" max="2548" width="9.54296875" style="3" customWidth="1"/>
    <col min="2549" max="2549" width="12.54296875" style="3" customWidth="1"/>
    <col min="2550" max="2550" width="10" style="3" customWidth="1"/>
    <col min="2551" max="2551" width="9.7265625" style="3" customWidth="1"/>
    <col min="2552" max="2554" width="0" style="3" hidden="1" customWidth="1"/>
    <col min="2555" max="2798" width="8.81640625" style="3"/>
    <col min="2799" max="2799" width="13.26953125" style="3" customWidth="1"/>
    <col min="2800" max="2800" width="27.453125" style="3" customWidth="1"/>
    <col min="2801" max="2802" width="9.54296875" style="3" customWidth="1"/>
    <col min="2803" max="2803" width="9.7265625" style="3" customWidth="1"/>
    <col min="2804" max="2804" width="9.54296875" style="3" customWidth="1"/>
    <col min="2805" max="2805" width="12.54296875" style="3" customWidth="1"/>
    <col min="2806" max="2806" width="10" style="3" customWidth="1"/>
    <col min="2807" max="2807" width="9.7265625" style="3" customWidth="1"/>
    <col min="2808" max="2810" width="0" style="3" hidden="1" customWidth="1"/>
    <col min="2811" max="3054" width="8.81640625" style="3"/>
    <col min="3055" max="3055" width="13.26953125" style="3" customWidth="1"/>
    <col min="3056" max="3056" width="27.453125" style="3" customWidth="1"/>
    <col min="3057" max="3058" width="9.54296875" style="3" customWidth="1"/>
    <col min="3059" max="3059" width="9.7265625" style="3" customWidth="1"/>
    <col min="3060" max="3060" width="9.54296875" style="3" customWidth="1"/>
    <col min="3061" max="3061" width="12.54296875" style="3" customWidth="1"/>
    <col min="3062" max="3062" width="10" style="3" customWidth="1"/>
    <col min="3063" max="3063" width="9.7265625" style="3" customWidth="1"/>
    <col min="3064" max="3066" width="0" style="3" hidden="1" customWidth="1"/>
    <col min="3067" max="3310" width="8.81640625" style="3"/>
    <col min="3311" max="3311" width="13.26953125" style="3" customWidth="1"/>
    <col min="3312" max="3312" width="27.453125" style="3" customWidth="1"/>
    <col min="3313" max="3314" width="9.54296875" style="3" customWidth="1"/>
    <col min="3315" max="3315" width="9.7265625" style="3" customWidth="1"/>
    <col min="3316" max="3316" width="9.54296875" style="3" customWidth="1"/>
    <col min="3317" max="3317" width="12.54296875" style="3" customWidth="1"/>
    <col min="3318" max="3318" width="10" style="3" customWidth="1"/>
    <col min="3319" max="3319" width="9.7265625" style="3" customWidth="1"/>
    <col min="3320" max="3322" width="0" style="3" hidden="1" customWidth="1"/>
    <col min="3323" max="3566" width="8.81640625" style="3"/>
    <col min="3567" max="3567" width="13.26953125" style="3" customWidth="1"/>
    <col min="3568" max="3568" width="27.453125" style="3" customWidth="1"/>
    <col min="3569" max="3570" width="9.54296875" style="3" customWidth="1"/>
    <col min="3571" max="3571" width="9.7265625" style="3" customWidth="1"/>
    <col min="3572" max="3572" width="9.54296875" style="3" customWidth="1"/>
    <col min="3573" max="3573" width="12.54296875" style="3" customWidth="1"/>
    <col min="3574" max="3574" width="10" style="3" customWidth="1"/>
    <col min="3575" max="3575" width="9.7265625" style="3" customWidth="1"/>
    <col min="3576" max="3578" width="0" style="3" hidden="1" customWidth="1"/>
    <col min="3579" max="3822" width="8.81640625" style="3"/>
    <col min="3823" max="3823" width="13.26953125" style="3" customWidth="1"/>
    <col min="3824" max="3824" width="27.453125" style="3" customWidth="1"/>
    <col min="3825" max="3826" width="9.54296875" style="3" customWidth="1"/>
    <col min="3827" max="3827" width="9.7265625" style="3" customWidth="1"/>
    <col min="3828" max="3828" width="9.54296875" style="3" customWidth="1"/>
    <col min="3829" max="3829" width="12.54296875" style="3" customWidth="1"/>
    <col min="3830" max="3830" width="10" style="3" customWidth="1"/>
    <col min="3831" max="3831" width="9.7265625" style="3" customWidth="1"/>
    <col min="3832" max="3834" width="0" style="3" hidden="1" customWidth="1"/>
    <col min="3835" max="4078" width="8.81640625" style="3"/>
    <col min="4079" max="4079" width="13.26953125" style="3" customWidth="1"/>
    <col min="4080" max="4080" width="27.453125" style="3" customWidth="1"/>
    <col min="4081" max="4082" width="9.54296875" style="3" customWidth="1"/>
    <col min="4083" max="4083" width="9.7265625" style="3" customWidth="1"/>
    <col min="4084" max="4084" width="9.54296875" style="3" customWidth="1"/>
    <col min="4085" max="4085" width="12.54296875" style="3" customWidth="1"/>
    <col min="4086" max="4086" width="10" style="3" customWidth="1"/>
    <col min="4087" max="4087" width="9.7265625" style="3" customWidth="1"/>
    <col min="4088" max="4090" width="0" style="3" hidden="1" customWidth="1"/>
    <col min="4091" max="4334" width="8.81640625" style="3"/>
    <col min="4335" max="4335" width="13.26953125" style="3" customWidth="1"/>
    <col min="4336" max="4336" width="27.453125" style="3" customWidth="1"/>
    <col min="4337" max="4338" width="9.54296875" style="3" customWidth="1"/>
    <col min="4339" max="4339" width="9.7265625" style="3" customWidth="1"/>
    <col min="4340" max="4340" width="9.54296875" style="3" customWidth="1"/>
    <col min="4341" max="4341" width="12.54296875" style="3" customWidth="1"/>
    <col min="4342" max="4342" width="10" style="3" customWidth="1"/>
    <col min="4343" max="4343" width="9.7265625" style="3" customWidth="1"/>
    <col min="4344" max="4346" width="0" style="3" hidden="1" customWidth="1"/>
    <col min="4347" max="4590" width="8.81640625" style="3"/>
    <col min="4591" max="4591" width="13.26953125" style="3" customWidth="1"/>
    <col min="4592" max="4592" width="27.453125" style="3" customWidth="1"/>
    <col min="4593" max="4594" width="9.54296875" style="3" customWidth="1"/>
    <col min="4595" max="4595" width="9.7265625" style="3" customWidth="1"/>
    <col min="4596" max="4596" width="9.54296875" style="3" customWidth="1"/>
    <col min="4597" max="4597" width="12.54296875" style="3" customWidth="1"/>
    <col min="4598" max="4598" width="10" style="3" customWidth="1"/>
    <col min="4599" max="4599" width="9.7265625" style="3" customWidth="1"/>
    <col min="4600" max="4602" width="0" style="3" hidden="1" customWidth="1"/>
    <col min="4603" max="4846" width="8.81640625" style="3"/>
    <col min="4847" max="4847" width="13.26953125" style="3" customWidth="1"/>
    <col min="4848" max="4848" width="27.453125" style="3" customWidth="1"/>
    <col min="4849" max="4850" width="9.54296875" style="3" customWidth="1"/>
    <col min="4851" max="4851" width="9.7265625" style="3" customWidth="1"/>
    <col min="4852" max="4852" width="9.54296875" style="3" customWidth="1"/>
    <col min="4853" max="4853" width="12.54296875" style="3" customWidth="1"/>
    <col min="4854" max="4854" width="10" style="3" customWidth="1"/>
    <col min="4855" max="4855" width="9.7265625" style="3" customWidth="1"/>
    <col min="4856" max="4858" width="0" style="3" hidden="1" customWidth="1"/>
    <col min="4859" max="5102" width="8.81640625" style="3"/>
    <col min="5103" max="5103" width="13.26953125" style="3" customWidth="1"/>
    <col min="5104" max="5104" width="27.453125" style="3" customWidth="1"/>
    <col min="5105" max="5106" width="9.54296875" style="3" customWidth="1"/>
    <col min="5107" max="5107" width="9.7265625" style="3" customWidth="1"/>
    <col min="5108" max="5108" width="9.54296875" style="3" customWidth="1"/>
    <col min="5109" max="5109" width="12.54296875" style="3" customWidth="1"/>
    <col min="5110" max="5110" width="10" style="3" customWidth="1"/>
    <col min="5111" max="5111" width="9.7265625" style="3" customWidth="1"/>
    <col min="5112" max="5114" width="0" style="3" hidden="1" customWidth="1"/>
    <col min="5115" max="5358" width="8.81640625" style="3"/>
    <col min="5359" max="5359" width="13.26953125" style="3" customWidth="1"/>
    <col min="5360" max="5360" width="27.453125" style="3" customWidth="1"/>
    <col min="5361" max="5362" width="9.54296875" style="3" customWidth="1"/>
    <col min="5363" max="5363" width="9.7265625" style="3" customWidth="1"/>
    <col min="5364" max="5364" width="9.54296875" style="3" customWidth="1"/>
    <col min="5365" max="5365" width="12.54296875" style="3" customWidth="1"/>
    <col min="5366" max="5366" width="10" style="3" customWidth="1"/>
    <col min="5367" max="5367" width="9.7265625" style="3" customWidth="1"/>
    <col min="5368" max="5370" width="0" style="3" hidden="1" customWidth="1"/>
    <col min="5371" max="5614" width="8.81640625" style="3"/>
    <col min="5615" max="5615" width="13.26953125" style="3" customWidth="1"/>
    <col min="5616" max="5616" width="27.453125" style="3" customWidth="1"/>
    <col min="5617" max="5618" width="9.54296875" style="3" customWidth="1"/>
    <col min="5619" max="5619" width="9.7265625" style="3" customWidth="1"/>
    <col min="5620" max="5620" width="9.54296875" style="3" customWidth="1"/>
    <col min="5621" max="5621" width="12.54296875" style="3" customWidth="1"/>
    <col min="5622" max="5622" width="10" style="3" customWidth="1"/>
    <col min="5623" max="5623" width="9.7265625" style="3" customWidth="1"/>
    <col min="5624" max="5626" width="0" style="3" hidden="1" customWidth="1"/>
    <col min="5627" max="5870" width="8.81640625" style="3"/>
    <col min="5871" max="5871" width="13.26953125" style="3" customWidth="1"/>
    <col min="5872" max="5872" width="27.453125" style="3" customWidth="1"/>
    <col min="5873" max="5874" width="9.54296875" style="3" customWidth="1"/>
    <col min="5875" max="5875" width="9.7265625" style="3" customWidth="1"/>
    <col min="5876" max="5876" width="9.54296875" style="3" customWidth="1"/>
    <col min="5877" max="5877" width="12.54296875" style="3" customWidth="1"/>
    <col min="5878" max="5878" width="10" style="3" customWidth="1"/>
    <col min="5879" max="5879" width="9.7265625" style="3" customWidth="1"/>
    <col min="5880" max="5882" width="0" style="3" hidden="1" customWidth="1"/>
    <col min="5883" max="6126" width="8.81640625" style="3"/>
    <col min="6127" max="6127" width="13.26953125" style="3" customWidth="1"/>
    <col min="6128" max="6128" width="27.453125" style="3" customWidth="1"/>
    <col min="6129" max="6130" width="9.54296875" style="3" customWidth="1"/>
    <col min="6131" max="6131" width="9.7265625" style="3" customWidth="1"/>
    <col min="6132" max="6132" width="9.54296875" style="3" customWidth="1"/>
    <col min="6133" max="6133" width="12.54296875" style="3" customWidth="1"/>
    <col min="6134" max="6134" width="10" style="3" customWidth="1"/>
    <col min="6135" max="6135" width="9.7265625" style="3" customWidth="1"/>
    <col min="6136" max="6138" width="0" style="3" hidden="1" customWidth="1"/>
    <col min="6139" max="6382" width="8.81640625" style="3"/>
    <col min="6383" max="6383" width="13.26953125" style="3" customWidth="1"/>
    <col min="6384" max="6384" width="27.453125" style="3" customWidth="1"/>
    <col min="6385" max="6386" width="9.54296875" style="3" customWidth="1"/>
    <col min="6387" max="6387" width="9.7265625" style="3" customWidth="1"/>
    <col min="6388" max="6388" width="9.54296875" style="3" customWidth="1"/>
    <col min="6389" max="6389" width="12.54296875" style="3" customWidth="1"/>
    <col min="6390" max="6390" width="10" style="3" customWidth="1"/>
    <col min="6391" max="6391" width="9.7265625" style="3" customWidth="1"/>
    <col min="6392" max="6394" width="0" style="3" hidden="1" customWidth="1"/>
    <col min="6395" max="6638" width="8.81640625" style="3"/>
    <col min="6639" max="6639" width="13.26953125" style="3" customWidth="1"/>
    <col min="6640" max="6640" width="27.453125" style="3" customWidth="1"/>
    <col min="6641" max="6642" width="9.54296875" style="3" customWidth="1"/>
    <col min="6643" max="6643" width="9.7265625" style="3" customWidth="1"/>
    <col min="6644" max="6644" width="9.54296875" style="3" customWidth="1"/>
    <col min="6645" max="6645" width="12.54296875" style="3" customWidth="1"/>
    <col min="6646" max="6646" width="10" style="3" customWidth="1"/>
    <col min="6647" max="6647" width="9.7265625" style="3" customWidth="1"/>
    <col min="6648" max="6650" width="0" style="3" hidden="1" customWidth="1"/>
    <col min="6651" max="6894" width="8.81640625" style="3"/>
    <col min="6895" max="6895" width="13.26953125" style="3" customWidth="1"/>
    <col min="6896" max="6896" width="27.453125" style="3" customWidth="1"/>
    <col min="6897" max="6898" width="9.54296875" style="3" customWidth="1"/>
    <col min="6899" max="6899" width="9.7265625" style="3" customWidth="1"/>
    <col min="6900" max="6900" width="9.54296875" style="3" customWidth="1"/>
    <col min="6901" max="6901" width="12.54296875" style="3" customWidth="1"/>
    <col min="6902" max="6902" width="10" style="3" customWidth="1"/>
    <col min="6903" max="6903" width="9.7265625" style="3" customWidth="1"/>
    <col min="6904" max="6906" width="0" style="3" hidden="1" customWidth="1"/>
    <col min="6907" max="7150" width="8.81640625" style="3"/>
    <col min="7151" max="7151" width="13.26953125" style="3" customWidth="1"/>
    <col min="7152" max="7152" width="27.453125" style="3" customWidth="1"/>
    <col min="7153" max="7154" width="9.54296875" style="3" customWidth="1"/>
    <col min="7155" max="7155" width="9.7265625" style="3" customWidth="1"/>
    <col min="7156" max="7156" width="9.54296875" style="3" customWidth="1"/>
    <col min="7157" max="7157" width="12.54296875" style="3" customWidth="1"/>
    <col min="7158" max="7158" width="10" style="3" customWidth="1"/>
    <col min="7159" max="7159" width="9.7265625" style="3" customWidth="1"/>
    <col min="7160" max="7162" width="0" style="3" hidden="1" customWidth="1"/>
    <col min="7163" max="7406" width="8.81640625" style="3"/>
    <col min="7407" max="7407" width="13.26953125" style="3" customWidth="1"/>
    <col min="7408" max="7408" width="27.453125" style="3" customWidth="1"/>
    <col min="7409" max="7410" width="9.54296875" style="3" customWidth="1"/>
    <col min="7411" max="7411" width="9.7265625" style="3" customWidth="1"/>
    <col min="7412" max="7412" width="9.54296875" style="3" customWidth="1"/>
    <col min="7413" max="7413" width="12.54296875" style="3" customWidth="1"/>
    <col min="7414" max="7414" width="10" style="3" customWidth="1"/>
    <col min="7415" max="7415" width="9.7265625" style="3" customWidth="1"/>
    <col min="7416" max="7418" width="0" style="3" hidden="1" customWidth="1"/>
    <col min="7419" max="7662" width="8.81640625" style="3"/>
    <col min="7663" max="7663" width="13.26953125" style="3" customWidth="1"/>
    <col min="7664" max="7664" width="27.453125" style="3" customWidth="1"/>
    <col min="7665" max="7666" width="9.54296875" style="3" customWidth="1"/>
    <col min="7667" max="7667" width="9.7265625" style="3" customWidth="1"/>
    <col min="7668" max="7668" width="9.54296875" style="3" customWidth="1"/>
    <col min="7669" max="7669" width="12.54296875" style="3" customWidth="1"/>
    <col min="7670" max="7670" width="10" style="3" customWidth="1"/>
    <col min="7671" max="7671" width="9.7265625" style="3" customWidth="1"/>
    <col min="7672" max="7674" width="0" style="3" hidden="1" customWidth="1"/>
    <col min="7675" max="7918" width="8.81640625" style="3"/>
    <col min="7919" max="7919" width="13.26953125" style="3" customWidth="1"/>
    <col min="7920" max="7920" width="27.453125" style="3" customWidth="1"/>
    <col min="7921" max="7922" width="9.54296875" style="3" customWidth="1"/>
    <col min="7923" max="7923" width="9.7265625" style="3" customWidth="1"/>
    <col min="7924" max="7924" width="9.54296875" style="3" customWidth="1"/>
    <col min="7925" max="7925" width="12.54296875" style="3" customWidth="1"/>
    <col min="7926" max="7926" width="10" style="3" customWidth="1"/>
    <col min="7927" max="7927" width="9.7265625" style="3" customWidth="1"/>
    <col min="7928" max="7930" width="0" style="3" hidden="1" customWidth="1"/>
    <col min="7931" max="8174" width="8.81640625" style="3"/>
    <col min="8175" max="8175" width="13.26953125" style="3" customWidth="1"/>
    <col min="8176" max="8176" width="27.453125" style="3" customWidth="1"/>
    <col min="8177" max="8178" width="9.54296875" style="3" customWidth="1"/>
    <col min="8179" max="8179" width="9.7265625" style="3" customWidth="1"/>
    <col min="8180" max="8180" width="9.54296875" style="3" customWidth="1"/>
    <col min="8181" max="8181" width="12.54296875" style="3" customWidth="1"/>
    <col min="8182" max="8182" width="10" style="3" customWidth="1"/>
    <col min="8183" max="8183" width="9.7265625" style="3" customWidth="1"/>
    <col min="8184" max="8186" width="0" style="3" hidden="1" customWidth="1"/>
    <col min="8187" max="8430" width="8.81640625" style="3"/>
    <col min="8431" max="8431" width="13.26953125" style="3" customWidth="1"/>
    <col min="8432" max="8432" width="27.453125" style="3" customWidth="1"/>
    <col min="8433" max="8434" width="9.54296875" style="3" customWidth="1"/>
    <col min="8435" max="8435" width="9.7265625" style="3" customWidth="1"/>
    <col min="8436" max="8436" width="9.54296875" style="3" customWidth="1"/>
    <col min="8437" max="8437" width="12.54296875" style="3" customWidth="1"/>
    <col min="8438" max="8438" width="10" style="3" customWidth="1"/>
    <col min="8439" max="8439" width="9.7265625" style="3" customWidth="1"/>
    <col min="8440" max="8442" width="0" style="3" hidden="1" customWidth="1"/>
    <col min="8443" max="8686" width="8.81640625" style="3"/>
    <col min="8687" max="8687" width="13.26953125" style="3" customWidth="1"/>
    <col min="8688" max="8688" width="27.453125" style="3" customWidth="1"/>
    <col min="8689" max="8690" width="9.54296875" style="3" customWidth="1"/>
    <col min="8691" max="8691" width="9.7265625" style="3" customWidth="1"/>
    <col min="8692" max="8692" width="9.54296875" style="3" customWidth="1"/>
    <col min="8693" max="8693" width="12.54296875" style="3" customWidth="1"/>
    <col min="8694" max="8694" width="10" style="3" customWidth="1"/>
    <col min="8695" max="8695" width="9.7265625" style="3" customWidth="1"/>
    <col min="8696" max="8698" width="0" style="3" hidden="1" customWidth="1"/>
    <col min="8699" max="8942" width="8.81640625" style="3"/>
    <col min="8943" max="8943" width="13.26953125" style="3" customWidth="1"/>
    <col min="8944" max="8944" width="27.453125" style="3" customWidth="1"/>
    <col min="8945" max="8946" width="9.54296875" style="3" customWidth="1"/>
    <col min="8947" max="8947" width="9.7265625" style="3" customWidth="1"/>
    <col min="8948" max="8948" width="9.54296875" style="3" customWidth="1"/>
    <col min="8949" max="8949" width="12.54296875" style="3" customWidth="1"/>
    <col min="8950" max="8950" width="10" style="3" customWidth="1"/>
    <col min="8951" max="8951" width="9.7265625" style="3" customWidth="1"/>
    <col min="8952" max="8954" width="0" style="3" hidden="1" customWidth="1"/>
    <col min="8955" max="9198" width="8.81640625" style="3"/>
    <col min="9199" max="9199" width="13.26953125" style="3" customWidth="1"/>
    <col min="9200" max="9200" width="27.453125" style="3" customWidth="1"/>
    <col min="9201" max="9202" width="9.54296875" style="3" customWidth="1"/>
    <col min="9203" max="9203" width="9.7265625" style="3" customWidth="1"/>
    <col min="9204" max="9204" width="9.54296875" style="3" customWidth="1"/>
    <col min="9205" max="9205" width="12.54296875" style="3" customWidth="1"/>
    <col min="9206" max="9206" width="10" style="3" customWidth="1"/>
    <col min="9207" max="9207" width="9.7265625" style="3" customWidth="1"/>
    <col min="9208" max="9210" width="0" style="3" hidden="1" customWidth="1"/>
    <col min="9211" max="9454" width="8.81640625" style="3"/>
    <col min="9455" max="9455" width="13.26953125" style="3" customWidth="1"/>
    <col min="9456" max="9456" width="27.453125" style="3" customWidth="1"/>
    <col min="9457" max="9458" width="9.54296875" style="3" customWidth="1"/>
    <col min="9459" max="9459" width="9.7265625" style="3" customWidth="1"/>
    <col min="9460" max="9460" width="9.54296875" style="3" customWidth="1"/>
    <col min="9461" max="9461" width="12.54296875" style="3" customWidth="1"/>
    <col min="9462" max="9462" width="10" style="3" customWidth="1"/>
    <col min="9463" max="9463" width="9.7265625" style="3" customWidth="1"/>
    <col min="9464" max="9466" width="0" style="3" hidden="1" customWidth="1"/>
    <col min="9467" max="9710" width="8.81640625" style="3"/>
    <col min="9711" max="9711" width="13.26953125" style="3" customWidth="1"/>
    <col min="9712" max="9712" width="27.453125" style="3" customWidth="1"/>
    <col min="9713" max="9714" width="9.54296875" style="3" customWidth="1"/>
    <col min="9715" max="9715" width="9.7265625" style="3" customWidth="1"/>
    <col min="9716" max="9716" width="9.54296875" style="3" customWidth="1"/>
    <col min="9717" max="9717" width="12.54296875" style="3" customWidth="1"/>
    <col min="9718" max="9718" width="10" style="3" customWidth="1"/>
    <col min="9719" max="9719" width="9.7265625" style="3" customWidth="1"/>
    <col min="9720" max="9722" width="0" style="3" hidden="1" customWidth="1"/>
    <col min="9723" max="9966" width="8.81640625" style="3"/>
    <col min="9967" max="9967" width="13.26953125" style="3" customWidth="1"/>
    <col min="9968" max="9968" width="27.453125" style="3" customWidth="1"/>
    <col min="9969" max="9970" width="9.54296875" style="3" customWidth="1"/>
    <col min="9971" max="9971" width="9.7265625" style="3" customWidth="1"/>
    <col min="9972" max="9972" width="9.54296875" style="3" customWidth="1"/>
    <col min="9973" max="9973" width="12.54296875" style="3" customWidth="1"/>
    <col min="9974" max="9974" width="10" style="3" customWidth="1"/>
    <col min="9975" max="9975" width="9.7265625" style="3" customWidth="1"/>
    <col min="9976" max="9978" width="0" style="3" hidden="1" customWidth="1"/>
    <col min="9979" max="10222" width="8.81640625" style="3"/>
    <col min="10223" max="10223" width="13.26953125" style="3" customWidth="1"/>
    <col min="10224" max="10224" width="27.453125" style="3" customWidth="1"/>
    <col min="10225" max="10226" width="9.54296875" style="3" customWidth="1"/>
    <col min="10227" max="10227" width="9.7265625" style="3" customWidth="1"/>
    <col min="10228" max="10228" width="9.54296875" style="3" customWidth="1"/>
    <col min="10229" max="10229" width="12.54296875" style="3" customWidth="1"/>
    <col min="10230" max="10230" width="10" style="3" customWidth="1"/>
    <col min="10231" max="10231" width="9.7265625" style="3" customWidth="1"/>
    <col min="10232" max="10234" width="0" style="3" hidden="1" customWidth="1"/>
    <col min="10235" max="10478" width="8.81640625" style="3"/>
    <col min="10479" max="10479" width="13.26953125" style="3" customWidth="1"/>
    <col min="10480" max="10480" width="27.453125" style="3" customWidth="1"/>
    <col min="10481" max="10482" width="9.54296875" style="3" customWidth="1"/>
    <col min="10483" max="10483" width="9.7265625" style="3" customWidth="1"/>
    <col min="10484" max="10484" width="9.54296875" style="3" customWidth="1"/>
    <col min="10485" max="10485" width="12.54296875" style="3" customWidth="1"/>
    <col min="10486" max="10486" width="10" style="3" customWidth="1"/>
    <col min="10487" max="10487" width="9.7265625" style="3" customWidth="1"/>
    <col min="10488" max="10490" width="0" style="3" hidden="1" customWidth="1"/>
    <col min="10491" max="10734" width="8.81640625" style="3"/>
    <col min="10735" max="10735" width="13.26953125" style="3" customWidth="1"/>
    <col min="10736" max="10736" width="27.453125" style="3" customWidth="1"/>
    <col min="10737" max="10738" width="9.54296875" style="3" customWidth="1"/>
    <col min="10739" max="10739" width="9.7265625" style="3" customWidth="1"/>
    <col min="10740" max="10740" width="9.54296875" style="3" customWidth="1"/>
    <col min="10741" max="10741" width="12.54296875" style="3" customWidth="1"/>
    <col min="10742" max="10742" width="10" style="3" customWidth="1"/>
    <col min="10743" max="10743" width="9.7265625" style="3" customWidth="1"/>
    <col min="10744" max="10746" width="0" style="3" hidden="1" customWidth="1"/>
    <col min="10747" max="10990" width="8.81640625" style="3"/>
    <col min="10991" max="10991" width="13.26953125" style="3" customWidth="1"/>
    <col min="10992" max="10992" width="27.453125" style="3" customWidth="1"/>
    <col min="10993" max="10994" width="9.54296875" style="3" customWidth="1"/>
    <col min="10995" max="10995" width="9.7265625" style="3" customWidth="1"/>
    <col min="10996" max="10996" width="9.54296875" style="3" customWidth="1"/>
    <col min="10997" max="10997" width="12.54296875" style="3" customWidth="1"/>
    <col min="10998" max="10998" width="10" style="3" customWidth="1"/>
    <col min="10999" max="10999" width="9.7265625" style="3" customWidth="1"/>
    <col min="11000" max="11002" width="0" style="3" hidden="1" customWidth="1"/>
    <col min="11003" max="11246" width="8.81640625" style="3"/>
    <col min="11247" max="11247" width="13.26953125" style="3" customWidth="1"/>
    <col min="11248" max="11248" width="27.453125" style="3" customWidth="1"/>
    <col min="11249" max="11250" width="9.54296875" style="3" customWidth="1"/>
    <col min="11251" max="11251" width="9.7265625" style="3" customWidth="1"/>
    <col min="11252" max="11252" width="9.54296875" style="3" customWidth="1"/>
    <col min="11253" max="11253" width="12.54296875" style="3" customWidth="1"/>
    <col min="11254" max="11254" width="10" style="3" customWidth="1"/>
    <col min="11255" max="11255" width="9.7265625" style="3" customWidth="1"/>
    <col min="11256" max="11258" width="0" style="3" hidden="1" customWidth="1"/>
    <col min="11259" max="11502" width="8.81640625" style="3"/>
    <col min="11503" max="11503" width="13.26953125" style="3" customWidth="1"/>
    <col min="11504" max="11504" width="27.453125" style="3" customWidth="1"/>
    <col min="11505" max="11506" width="9.54296875" style="3" customWidth="1"/>
    <col min="11507" max="11507" width="9.7265625" style="3" customWidth="1"/>
    <col min="11508" max="11508" width="9.54296875" style="3" customWidth="1"/>
    <col min="11509" max="11509" width="12.54296875" style="3" customWidth="1"/>
    <col min="11510" max="11510" width="10" style="3" customWidth="1"/>
    <col min="11511" max="11511" width="9.7265625" style="3" customWidth="1"/>
    <col min="11512" max="11514" width="0" style="3" hidden="1" customWidth="1"/>
    <col min="11515" max="11758" width="8.81640625" style="3"/>
    <col min="11759" max="11759" width="13.26953125" style="3" customWidth="1"/>
    <col min="11760" max="11760" width="27.453125" style="3" customWidth="1"/>
    <col min="11761" max="11762" width="9.54296875" style="3" customWidth="1"/>
    <col min="11763" max="11763" width="9.7265625" style="3" customWidth="1"/>
    <col min="11764" max="11764" width="9.54296875" style="3" customWidth="1"/>
    <col min="11765" max="11765" width="12.54296875" style="3" customWidth="1"/>
    <col min="11766" max="11766" width="10" style="3" customWidth="1"/>
    <col min="11767" max="11767" width="9.7265625" style="3" customWidth="1"/>
    <col min="11768" max="11770" width="0" style="3" hidden="1" customWidth="1"/>
    <col min="11771" max="12014" width="8.81640625" style="3"/>
    <col min="12015" max="12015" width="13.26953125" style="3" customWidth="1"/>
    <col min="12016" max="12016" width="27.453125" style="3" customWidth="1"/>
    <col min="12017" max="12018" width="9.54296875" style="3" customWidth="1"/>
    <col min="12019" max="12019" width="9.7265625" style="3" customWidth="1"/>
    <col min="12020" max="12020" width="9.54296875" style="3" customWidth="1"/>
    <col min="12021" max="12021" width="12.54296875" style="3" customWidth="1"/>
    <col min="12022" max="12022" width="10" style="3" customWidth="1"/>
    <col min="12023" max="12023" width="9.7265625" style="3" customWidth="1"/>
    <col min="12024" max="12026" width="0" style="3" hidden="1" customWidth="1"/>
    <col min="12027" max="12270" width="8.81640625" style="3"/>
    <col min="12271" max="12271" width="13.26953125" style="3" customWidth="1"/>
    <col min="12272" max="12272" width="27.453125" style="3" customWidth="1"/>
    <col min="12273" max="12274" width="9.54296875" style="3" customWidth="1"/>
    <col min="12275" max="12275" width="9.7265625" style="3" customWidth="1"/>
    <col min="12276" max="12276" width="9.54296875" style="3" customWidth="1"/>
    <col min="12277" max="12277" width="12.54296875" style="3" customWidth="1"/>
    <col min="12278" max="12278" width="10" style="3" customWidth="1"/>
    <col min="12279" max="12279" width="9.7265625" style="3" customWidth="1"/>
    <col min="12280" max="12282" width="0" style="3" hidden="1" customWidth="1"/>
    <col min="12283" max="12526" width="8.81640625" style="3"/>
    <col min="12527" max="12527" width="13.26953125" style="3" customWidth="1"/>
    <col min="12528" max="12528" width="27.453125" style="3" customWidth="1"/>
    <col min="12529" max="12530" width="9.54296875" style="3" customWidth="1"/>
    <col min="12531" max="12531" width="9.7265625" style="3" customWidth="1"/>
    <col min="12532" max="12532" width="9.54296875" style="3" customWidth="1"/>
    <col min="12533" max="12533" width="12.54296875" style="3" customWidth="1"/>
    <col min="12534" max="12534" width="10" style="3" customWidth="1"/>
    <col min="12535" max="12535" width="9.7265625" style="3" customWidth="1"/>
    <col min="12536" max="12538" width="0" style="3" hidden="1" customWidth="1"/>
    <col min="12539" max="12782" width="8.81640625" style="3"/>
    <col min="12783" max="12783" width="13.26953125" style="3" customWidth="1"/>
    <col min="12784" max="12784" width="27.453125" style="3" customWidth="1"/>
    <col min="12785" max="12786" width="9.54296875" style="3" customWidth="1"/>
    <col min="12787" max="12787" width="9.7265625" style="3" customWidth="1"/>
    <col min="12788" max="12788" width="9.54296875" style="3" customWidth="1"/>
    <col min="12789" max="12789" width="12.54296875" style="3" customWidth="1"/>
    <col min="12790" max="12790" width="10" style="3" customWidth="1"/>
    <col min="12791" max="12791" width="9.7265625" style="3" customWidth="1"/>
    <col min="12792" max="12794" width="0" style="3" hidden="1" customWidth="1"/>
    <col min="12795" max="13038" width="8.81640625" style="3"/>
    <col min="13039" max="13039" width="13.26953125" style="3" customWidth="1"/>
    <col min="13040" max="13040" width="27.453125" style="3" customWidth="1"/>
    <col min="13041" max="13042" width="9.54296875" style="3" customWidth="1"/>
    <col min="13043" max="13043" width="9.7265625" style="3" customWidth="1"/>
    <col min="13044" max="13044" width="9.54296875" style="3" customWidth="1"/>
    <col min="13045" max="13045" width="12.54296875" style="3" customWidth="1"/>
    <col min="13046" max="13046" width="10" style="3" customWidth="1"/>
    <col min="13047" max="13047" width="9.7265625" style="3" customWidth="1"/>
    <col min="13048" max="13050" width="0" style="3" hidden="1" customWidth="1"/>
    <col min="13051" max="13294" width="8.81640625" style="3"/>
    <col min="13295" max="13295" width="13.26953125" style="3" customWidth="1"/>
    <col min="13296" max="13296" width="27.453125" style="3" customWidth="1"/>
    <col min="13297" max="13298" width="9.54296875" style="3" customWidth="1"/>
    <col min="13299" max="13299" width="9.7265625" style="3" customWidth="1"/>
    <col min="13300" max="13300" width="9.54296875" style="3" customWidth="1"/>
    <col min="13301" max="13301" width="12.54296875" style="3" customWidth="1"/>
    <col min="13302" max="13302" width="10" style="3" customWidth="1"/>
    <col min="13303" max="13303" width="9.7265625" style="3" customWidth="1"/>
    <col min="13304" max="13306" width="0" style="3" hidden="1" customWidth="1"/>
    <col min="13307" max="13550" width="8.81640625" style="3"/>
    <col min="13551" max="13551" width="13.26953125" style="3" customWidth="1"/>
    <col min="13552" max="13552" width="27.453125" style="3" customWidth="1"/>
    <col min="13553" max="13554" width="9.54296875" style="3" customWidth="1"/>
    <col min="13555" max="13555" width="9.7265625" style="3" customWidth="1"/>
    <col min="13556" max="13556" width="9.54296875" style="3" customWidth="1"/>
    <col min="13557" max="13557" width="12.54296875" style="3" customWidth="1"/>
    <col min="13558" max="13558" width="10" style="3" customWidth="1"/>
    <col min="13559" max="13559" width="9.7265625" style="3" customWidth="1"/>
    <col min="13560" max="13562" width="0" style="3" hidden="1" customWidth="1"/>
    <col min="13563" max="13806" width="8.81640625" style="3"/>
    <col min="13807" max="13807" width="13.26953125" style="3" customWidth="1"/>
    <col min="13808" max="13808" width="27.453125" style="3" customWidth="1"/>
    <col min="13809" max="13810" width="9.54296875" style="3" customWidth="1"/>
    <col min="13811" max="13811" width="9.7265625" style="3" customWidth="1"/>
    <col min="13812" max="13812" width="9.54296875" style="3" customWidth="1"/>
    <col min="13813" max="13813" width="12.54296875" style="3" customWidth="1"/>
    <col min="13814" max="13814" width="10" style="3" customWidth="1"/>
    <col min="13815" max="13815" width="9.7265625" style="3" customWidth="1"/>
    <col min="13816" max="13818" width="0" style="3" hidden="1" customWidth="1"/>
    <col min="13819" max="14062" width="8.81640625" style="3"/>
    <col min="14063" max="14063" width="13.26953125" style="3" customWidth="1"/>
    <col min="14064" max="14064" width="27.453125" style="3" customWidth="1"/>
    <col min="14065" max="14066" width="9.54296875" style="3" customWidth="1"/>
    <col min="14067" max="14067" width="9.7265625" style="3" customWidth="1"/>
    <col min="14068" max="14068" width="9.54296875" style="3" customWidth="1"/>
    <col min="14069" max="14069" width="12.54296875" style="3" customWidth="1"/>
    <col min="14070" max="14070" width="10" style="3" customWidth="1"/>
    <col min="14071" max="14071" width="9.7265625" style="3" customWidth="1"/>
    <col min="14072" max="14074" width="0" style="3" hidden="1" customWidth="1"/>
    <col min="14075" max="14318" width="8.81640625" style="3"/>
    <col min="14319" max="14319" width="13.26953125" style="3" customWidth="1"/>
    <col min="14320" max="14320" width="27.453125" style="3" customWidth="1"/>
    <col min="14321" max="14322" width="9.54296875" style="3" customWidth="1"/>
    <col min="14323" max="14323" width="9.7265625" style="3" customWidth="1"/>
    <col min="14324" max="14324" width="9.54296875" style="3" customWidth="1"/>
    <col min="14325" max="14325" width="12.54296875" style="3" customWidth="1"/>
    <col min="14326" max="14326" width="10" style="3" customWidth="1"/>
    <col min="14327" max="14327" width="9.7265625" style="3" customWidth="1"/>
    <col min="14328" max="14330" width="0" style="3" hidden="1" customWidth="1"/>
    <col min="14331" max="14574" width="8.81640625" style="3"/>
    <col min="14575" max="14575" width="13.26953125" style="3" customWidth="1"/>
    <col min="14576" max="14576" width="27.453125" style="3" customWidth="1"/>
    <col min="14577" max="14578" width="9.54296875" style="3" customWidth="1"/>
    <col min="14579" max="14579" width="9.7265625" style="3" customWidth="1"/>
    <col min="14580" max="14580" width="9.54296875" style="3" customWidth="1"/>
    <col min="14581" max="14581" width="12.54296875" style="3" customWidth="1"/>
    <col min="14582" max="14582" width="10" style="3" customWidth="1"/>
    <col min="14583" max="14583" width="9.7265625" style="3" customWidth="1"/>
    <col min="14584" max="14586" width="0" style="3" hidden="1" customWidth="1"/>
    <col min="14587" max="14830" width="8.81640625" style="3"/>
    <col min="14831" max="14831" width="13.26953125" style="3" customWidth="1"/>
    <col min="14832" max="14832" width="27.453125" style="3" customWidth="1"/>
    <col min="14833" max="14834" width="9.54296875" style="3" customWidth="1"/>
    <col min="14835" max="14835" width="9.7265625" style="3" customWidth="1"/>
    <col min="14836" max="14836" width="9.54296875" style="3" customWidth="1"/>
    <col min="14837" max="14837" width="12.54296875" style="3" customWidth="1"/>
    <col min="14838" max="14838" width="10" style="3" customWidth="1"/>
    <col min="14839" max="14839" width="9.7265625" style="3" customWidth="1"/>
    <col min="14840" max="14842" width="0" style="3" hidden="1" customWidth="1"/>
    <col min="14843" max="15086" width="8.81640625" style="3"/>
    <col min="15087" max="15087" width="13.26953125" style="3" customWidth="1"/>
    <col min="15088" max="15088" width="27.453125" style="3" customWidth="1"/>
    <col min="15089" max="15090" width="9.54296875" style="3" customWidth="1"/>
    <col min="15091" max="15091" width="9.7265625" style="3" customWidth="1"/>
    <col min="15092" max="15092" width="9.54296875" style="3" customWidth="1"/>
    <col min="15093" max="15093" width="12.54296875" style="3" customWidth="1"/>
    <col min="15094" max="15094" width="10" style="3" customWidth="1"/>
    <col min="15095" max="15095" width="9.7265625" style="3" customWidth="1"/>
    <col min="15096" max="15098" width="0" style="3" hidden="1" customWidth="1"/>
    <col min="15099" max="15342" width="8.81640625" style="3"/>
    <col min="15343" max="15343" width="13.26953125" style="3" customWidth="1"/>
    <col min="15344" max="15344" width="27.453125" style="3" customWidth="1"/>
    <col min="15345" max="15346" width="9.54296875" style="3" customWidth="1"/>
    <col min="15347" max="15347" width="9.7265625" style="3" customWidth="1"/>
    <col min="15348" max="15348" width="9.54296875" style="3" customWidth="1"/>
    <col min="15349" max="15349" width="12.54296875" style="3" customWidth="1"/>
    <col min="15350" max="15350" width="10" style="3" customWidth="1"/>
    <col min="15351" max="15351" width="9.7265625" style="3" customWidth="1"/>
    <col min="15352" max="15354" width="0" style="3" hidden="1" customWidth="1"/>
    <col min="15355" max="15598" width="8.81640625" style="3"/>
    <col min="15599" max="15599" width="13.26953125" style="3" customWidth="1"/>
    <col min="15600" max="15600" width="27.453125" style="3" customWidth="1"/>
    <col min="15601" max="15602" width="9.54296875" style="3" customWidth="1"/>
    <col min="15603" max="15603" width="9.7265625" style="3" customWidth="1"/>
    <col min="15604" max="15604" width="9.54296875" style="3" customWidth="1"/>
    <col min="15605" max="15605" width="12.54296875" style="3" customWidth="1"/>
    <col min="15606" max="15606" width="10" style="3" customWidth="1"/>
    <col min="15607" max="15607" width="9.7265625" style="3" customWidth="1"/>
    <col min="15608" max="15610" width="0" style="3" hidden="1" customWidth="1"/>
    <col min="15611" max="15854" width="8.81640625" style="3"/>
    <col min="15855" max="15855" width="13.26953125" style="3" customWidth="1"/>
    <col min="15856" max="15856" width="27.453125" style="3" customWidth="1"/>
    <col min="15857" max="15858" width="9.54296875" style="3" customWidth="1"/>
    <col min="15859" max="15859" width="9.7265625" style="3" customWidth="1"/>
    <col min="15860" max="15860" width="9.54296875" style="3" customWidth="1"/>
    <col min="15861" max="15861" width="12.54296875" style="3" customWidth="1"/>
    <col min="15862" max="15862" width="10" style="3" customWidth="1"/>
    <col min="15863" max="15863" width="9.7265625" style="3" customWidth="1"/>
    <col min="15864" max="15866" width="0" style="3" hidden="1" customWidth="1"/>
    <col min="15867" max="16110" width="8.81640625" style="3"/>
    <col min="16111" max="16111" width="13.26953125" style="3" customWidth="1"/>
    <col min="16112" max="16112" width="27.453125" style="3" customWidth="1"/>
    <col min="16113" max="16114" width="9.54296875" style="3" customWidth="1"/>
    <col min="16115" max="16115" width="9.7265625" style="3" customWidth="1"/>
    <col min="16116" max="16116" width="9.54296875" style="3" customWidth="1"/>
    <col min="16117" max="16117" width="12.54296875" style="3" customWidth="1"/>
    <col min="16118" max="16118" width="10" style="3" customWidth="1"/>
    <col min="16119" max="16119" width="9.7265625" style="3" customWidth="1"/>
    <col min="16120" max="16122" width="0" style="3" hidden="1" customWidth="1"/>
    <col min="16123" max="16365" width="8.81640625" style="3"/>
    <col min="16366" max="16384" width="9.1796875" style="3" customWidth="1"/>
  </cols>
  <sheetData>
    <row r="1" spans="1:12" s="1" customFormat="1" x14ac:dyDescent="0.35">
      <c r="A1" s="1228" t="s">
        <v>0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279"/>
    </row>
    <row r="2" spans="1:12" s="1" customFormat="1" x14ac:dyDescent="0.35">
      <c r="A2" s="1228" t="s">
        <v>297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279"/>
    </row>
    <row r="3" spans="1:12" s="1" customFormat="1" ht="16" thickBot="1" x14ac:dyDescent="0.4">
      <c r="A3" s="1229">
        <v>2019</v>
      </c>
      <c r="B3" s="1229"/>
      <c r="C3" s="1229"/>
      <c r="D3" s="1229"/>
      <c r="E3" s="1229"/>
      <c r="F3" s="1229"/>
      <c r="G3" s="1229"/>
      <c r="H3" s="1229"/>
      <c r="I3" s="1229"/>
      <c r="J3" s="1229"/>
      <c r="K3" s="1229"/>
      <c r="L3" s="544"/>
    </row>
    <row r="4" spans="1:12" s="1" customFormat="1" x14ac:dyDescent="0.35">
      <c r="A4" s="1217" t="s">
        <v>3</v>
      </c>
      <c r="B4" s="1218"/>
      <c r="C4" s="1218"/>
      <c r="D4" s="1218"/>
      <c r="E4" s="1218"/>
      <c r="F4" s="1218"/>
      <c r="G4" s="1218"/>
      <c r="H4" s="1218"/>
      <c r="I4" s="1218"/>
      <c r="J4" s="1218"/>
      <c r="K4" s="1218"/>
      <c r="L4" s="1230"/>
    </row>
    <row r="5" spans="1:12" s="1" customFormat="1" ht="16" thickBot="1" x14ac:dyDescent="0.4">
      <c r="A5" s="585"/>
      <c r="B5" s="2"/>
      <c r="C5" s="5"/>
      <c r="D5" s="586"/>
      <c r="E5" s="5"/>
      <c r="F5" s="5"/>
      <c r="G5" s="5"/>
      <c r="H5" s="5"/>
      <c r="I5" s="5"/>
      <c r="J5" s="3"/>
      <c r="K5" s="21"/>
      <c r="L5" s="587"/>
    </row>
    <row r="6" spans="1:12" s="1" customFormat="1" x14ac:dyDescent="0.35">
      <c r="A6" s="1206" t="s">
        <v>302</v>
      </c>
      <c r="B6" s="1208" t="s">
        <v>28</v>
      </c>
      <c r="C6" s="1210" t="s">
        <v>303</v>
      </c>
      <c r="D6" s="1231" t="s">
        <v>304</v>
      </c>
      <c r="E6" s="1212" t="s">
        <v>305</v>
      </c>
      <c r="F6" s="1212"/>
      <c r="G6" s="1212"/>
      <c r="H6" s="1212"/>
      <c r="I6" s="1212"/>
      <c r="J6" s="1208" t="s">
        <v>29</v>
      </c>
      <c r="K6" s="1213" t="s">
        <v>306</v>
      </c>
      <c r="L6" s="1222" t="s">
        <v>307</v>
      </c>
    </row>
    <row r="7" spans="1:12" s="1" customFormat="1" ht="31.15" customHeight="1" thickBot="1" x14ac:dyDescent="0.4">
      <c r="A7" s="1207"/>
      <c r="B7" s="1209"/>
      <c r="C7" s="1211"/>
      <c r="D7" s="1232"/>
      <c r="E7" s="7" t="s">
        <v>308</v>
      </c>
      <c r="F7" s="7" t="s">
        <v>309</v>
      </c>
      <c r="G7" s="7" t="s">
        <v>310</v>
      </c>
      <c r="H7" s="7" t="s">
        <v>311</v>
      </c>
      <c r="I7" s="7" t="s">
        <v>312</v>
      </c>
      <c r="J7" s="1209"/>
      <c r="K7" s="1214"/>
      <c r="L7" s="1223"/>
    </row>
    <row r="8" spans="1:12" s="16" customFormat="1" ht="17.149999999999999" customHeight="1" x14ac:dyDescent="0.35">
      <c r="A8" s="589">
        <v>219</v>
      </c>
      <c r="B8" s="110" t="s">
        <v>214</v>
      </c>
      <c r="C8" s="15">
        <f>SUM(E8:I8)</f>
        <v>0.4</v>
      </c>
      <c r="D8" s="590">
        <f>'[23]road inventory 2018'!C10</f>
        <v>0.65</v>
      </c>
      <c r="E8" s="15">
        <v>0</v>
      </c>
      <c r="F8" s="15">
        <v>0</v>
      </c>
      <c r="G8" s="15">
        <v>0</v>
      </c>
      <c r="H8" s="15">
        <v>0.4</v>
      </c>
      <c r="I8" s="15">
        <v>0</v>
      </c>
      <c r="J8" s="106" t="s">
        <v>12</v>
      </c>
      <c r="K8" s="591" t="s">
        <v>313</v>
      </c>
      <c r="L8" s="592"/>
    </row>
    <row r="9" spans="1:12" s="16" customFormat="1" ht="16.5" customHeight="1" x14ac:dyDescent="0.35">
      <c r="A9" s="589">
        <v>1</v>
      </c>
      <c r="B9" s="14" t="s">
        <v>314</v>
      </c>
      <c r="C9" s="15">
        <f t="shared" ref="C9:C31" si="0">SUM(E9:I9)</f>
        <v>5.48</v>
      </c>
      <c r="D9" s="590">
        <f>'[23]road inventory 2018'!C11</f>
        <v>5.5</v>
      </c>
      <c r="E9" s="594">
        <v>2.87</v>
      </c>
      <c r="F9" s="594">
        <v>0</v>
      </c>
      <c r="G9" s="15">
        <v>0</v>
      </c>
      <c r="H9" s="594">
        <v>2.61</v>
      </c>
      <c r="I9" s="594">
        <v>0</v>
      </c>
      <c r="J9" s="24" t="s">
        <v>12</v>
      </c>
      <c r="K9" s="591" t="s">
        <v>315</v>
      </c>
      <c r="L9" s="24"/>
    </row>
    <row r="10" spans="1:12" ht="16.5" customHeight="1" x14ac:dyDescent="0.35">
      <c r="A10" s="596">
        <v>2</v>
      </c>
      <c r="B10" s="9" t="s">
        <v>212</v>
      </c>
      <c r="C10" s="15">
        <f t="shared" si="0"/>
        <v>0.91999999999999993</v>
      </c>
      <c r="D10" s="590">
        <f>'[23]road inventory 2018'!C12</f>
        <v>0.8</v>
      </c>
      <c r="E10" s="11">
        <v>7.0000000000000007E-2</v>
      </c>
      <c r="F10" s="11">
        <v>0</v>
      </c>
      <c r="G10" s="11">
        <v>0</v>
      </c>
      <c r="H10" s="11">
        <v>0.85</v>
      </c>
      <c r="I10" s="11">
        <v>0</v>
      </c>
      <c r="J10" s="28" t="s">
        <v>10</v>
      </c>
      <c r="K10" s="597" t="s">
        <v>316</v>
      </c>
      <c r="L10" s="28"/>
    </row>
    <row r="11" spans="1:12" s="16" customFormat="1" ht="17.149999999999999" customHeight="1" x14ac:dyDescent="0.35">
      <c r="A11" s="589">
        <v>3</v>
      </c>
      <c r="B11" s="14" t="s">
        <v>217</v>
      </c>
      <c r="C11" s="15">
        <f t="shared" si="0"/>
        <v>4.97</v>
      </c>
      <c r="D11" s="590">
        <f>'[23]road inventory 2018'!C13</f>
        <v>4.9000000000000004</v>
      </c>
      <c r="E11" s="594">
        <v>0</v>
      </c>
      <c r="F11" s="594">
        <v>0</v>
      </c>
      <c r="G11" s="594">
        <v>0</v>
      </c>
      <c r="H11" s="594">
        <v>4.97</v>
      </c>
      <c r="I11" s="594">
        <v>0</v>
      </c>
      <c r="J11" s="106" t="s">
        <v>12</v>
      </c>
      <c r="K11" s="591" t="s">
        <v>318</v>
      </c>
      <c r="L11" s="24"/>
    </row>
    <row r="12" spans="1:12" ht="17.149999999999999" customHeight="1" x14ac:dyDescent="0.35">
      <c r="A12" s="596">
        <v>4</v>
      </c>
      <c r="B12" s="9" t="s">
        <v>211</v>
      </c>
      <c r="C12" s="15">
        <f t="shared" si="0"/>
        <v>2.67</v>
      </c>
      <c r="D12" s="590">
        <f>'[23]road inventory 2018'!C14</f>
        <v>2.7</v>
      </c>
      <c r="E12" s="11">
        <v>0.11</v>
      </c>
      <c r="F12" s="11">
        <v>0</v>
      </c>
      <c r="G12" s="11">
        <v>0</v>
      </c>
      <c r="H12" s="11">
        <v>2.56</v>
      </c>
      <c r="I12" s="11">
        <v>0</v>
      </c>
      <c r="J12" s="103" t="s">
        <v>33</v>
      </c>
      <c r="K12" s="597" t="s">
        <v>320</v>
      </c>
      <c r="L12" s="28"/>
    </row>
    <row r="13" spans="1:12" ht="17.149999999999999" customHeight="1" x14ac:dyDescent="0.35">
      <c r="A13" s="596">
        <v>93</v>
      </c>
      <c r="B13" s="9" t="s">
        <v>13</v>
      </c>
      <c r="C13" s="15">
        <f t="shared" si="0"/>
        <v>3.9</v>
      </c>
      <c r="D13" s="590">
        <f>'[23]road inventory 2018'!C15</f>
        <v>3.9</v>
      </c>
      <c r="E13" s="11">
        <v>3.9</v>
      </c>
      <c r="F13" s="11">
        <v>0</v>
      </c>
      <c r="G13" s="11">
        <v>0</v>
      </c>
      <c r="H13" s="11">
        <v>0</v>
      </c>
      <c r="I13" s="11">
        <v>0</v>
      </c>
      <c r="J13" s="103" t="e">
        <f>#REF!</f>
        <v>#REF!</v>
      </c>
      <c r="K13" s="597" t="s">
        <v>320</v>
      </c>
      <c r="L13" s="28"/>
    </row>
    <row r="14" spans="1:12" s="16" customFormat="1" ht="17.149999999999999" customHeight="1" x14ac:dyDescent="0.35">
      <c r="A14" s="589">
        <v>218</v>
      </c>
      <c r="B14" s="14" t="s">
        <v>213</v>
      </c>
      <c r="C14" s="15">
        <f t="shared" si="0"/>
        <v>5.61</v>
      </c>
      <c r="D14" s="590">
        <f>'[23]road inventory 2018'!C16</f>
        <v>5.8</v>
      </c>
      <c r="E14" s="594">
        <v>0</v>
      </c>
      <c r="F14" s="594">
        <v>0</v>
      </c>
      <c r="G14" s="594">
        <v>0</v>
      </c>
      <c r="H14" s="594">
        <v>5.61</v>
      </c>
      <c r="I14" s="594">
        <v>0</v>
      </c>
      <c r="J14" s="106" t="s">
        <v>12</v>
      </c>
      <c r="K14" s="591" t="s">
        <v>316</v>
      </c>
      <c r="L14" s="24"/>
    </row>
    <row r="15" spans="1:12" s="16" customFormat="1" ht="17.149999999999999" customHeight="1" x14ac:dyDescent="0.35">
      <c r="A15" s="589">
        <v>5</v>
      </c>
      <c r="B15" s="14" t="s">
        <v>16</v>
      </c>
      <c r="C15" s="15">
        <f t="shared" si="0"/>
        <v>2.85</v>
      </c>
      <c r="D15" s="590">
        <f>'[23]road inventory 2018'!C17</f>
        <v>2.8</v>
      </c>
      <c r="E15" s="594">
        <v>2.85</v>
      </c>
      <c r="F15" s="594">
        <v>0</v>
      </c>
      <c r="G15" s="594">
        <v>0</v>
      </c>
      <c r="H15" s="594">
        <v>0</v>
      </c>
      <c r="I15" s="594">
        <v>0</v>
      </c>
      <c r="J15" s="106" t="s">
        <v>10</v>
      </c>
      <c r="K15" s="591" t="s">
        <v>320</v>
      </c>
      <c r="L15" s="24"/>
    </row>
    <row r="16" spans="1:12" ht="17.149999999999999" customHeight="1" x14ac:dyDescent="0.35">
      <c r="A16" s="596">
        <v>6</v>
      </c>
      <c r="B16" s="9" t="s">
        <v>220</v>
      </c>
      <c r="C16" s="15">
        <f t="shared" si="0"/>
        <v>3.96</v>
      </c>
      <c r="D16" s="590">
        <f>'[23]road inventory 2018'!C18</f>
        <v>3.9</v>
      </c>
      <c r="E16" s="11">
        <v>2.7</v>
      </c>
      <c r="F16" s="11">
        <v>0</v>
      </c>
      <c r="G16" s="11">
        <v>0</v>
      </c>
      <c r="H16" s="11">
        <v>1.26</v>
      </c>
      <c r="I16" s="11">
        <v>0</v>
      </c>
      <c r="J16" s="103" t="s">
        <v>10</v>
      </c>
      <c r="K16" s="597" t="s">
        <v>315</v>
      </c>
      <c r="L16" s="28"/>
    </row>
    <row r="17" spans="1:12" s="16" customFormat="1" ht="17.149999999999999" customHeight="1" x14ac:dyDescent="0.35">
      <c r="A17" s="589">
        <v>7</v>
      </c>
      <c r="B17" s="14" t="s">
        <v>205</v>
      </c>
      <c r="C17" s="15">
        <f t="shared" si="0"/>
        <v>1.1499999999999999</v>
      </c>
      <c r="D17" s="590">
        <f>'[23]road inventory 2018'!C19</f>
        <v>1.1000000000000001</v>
      </c>
      <c r="E17" s="594">
        <v>1.1499999999999999</v>
      </c>
      <c r="F17" s="594">
        <v>0</v>
      </c>
      <c r="G17" s="594">
        <v>0</v>
      </c>
      <c r="H17" s="594">
        <v>0</v>
      </c>
      <c r="I17" s="594">
        <v>0</v>
      </c>
      <c r="J17" s="106" t="s">
        <v>10</v>
      </c>
      <c r="K17" s="591" t="s">
        <v>321</v>
      </c>
      <c r="L17" s="24"/>
    </row>
    <row r="18" spans="1:12" s="16" customFormat="1" ht="17.149999999999999" customHeight="1" x14ac:dyDescent="0.35">
      <c r="A18" s="589">
        <v>8</v>
      </c>
      <c r="B18" s="14" t="s">
        <v>324</v>
      </c>
      <c r="C18" s="15">
        <f t="shared" si="0"/>
        <v>0.64</v>
      </c>
      <c r="D18" s="590">
        <f>'[23]road inventory 2018'!C20</f>
        <v>0.6</v>
      </c>
      <c r="E18" s="594">
        <v>0.64</v>
      </c>
      <c r="F18" s="594">
        <v>0</v>
      </c>
      <c r="G18" s="594">
        <v>0</v>
      </c>
      <c r="H18" s="594">
        <v>0</v>
      </c>
      <c r="I18" s="594">
        <v>0</v>
      </c>
      <c r="J18" s="106" t="s">
        <v>10</v>
      </c>
      <c r="K18" s="591" t="s">
        <v>325</v>
      </c>
      <c r="L18" s="24"/>
    </row>
    <row r="19" spans="1:12" s="16" customFormat="1" ht="17.149999999999999" customHeight="1" x14ac:dyDescent="0.35">
      <c r="A19" s="589">
        <v>9</v>
      </c>
      <c r="B19" s="14" t="s">
        <v>19</v>
      </c>
      <c r="C19" s="15">
        <f t="shared" si="0"/>
        <v>9.3000000000000007</v>
      </c>
      <c r="D19" s="590">
        <f>'[23]road inventory 2018'!C21</f>
        <v>9</v>
      </c>
      <c r="E19" s="594">
        <v>9.3000000000000007</v>
      </c>
      <c r="F19" s="594">
        <v>0</v>
      </c>
      <c r="G19" s="594">
        <v>0</v>
      </c>
      <c r="H19" s="594">
        <v>0</v>
      </c>
      <c r="I19" s="594">
        <v>0</v>
      </c>
      <c r="J19" s="106" t="s">
        <v>10</v>
      </c>
      <c r="K19" s="591" t="s">
        <v>326</v>
      </c>
      <c r="L19" s="24"/>
    </row>
    <row r="20" spans="1:12" s="16" customFormat="1" ht="17.149999999999999" customHeight="1" x14ac:dyDescent="0.35">
      <c r="A20" s="589">
        <v>10</v>
      </c>
      <c r="B20" s="14" t="s">
        <v>23</v>
      </c>
      <c r="C20" s="15">
        <f t="shared" si="0"/>
        <v>13.79</v>
      </c>
      <c r="D20" s="590">
        <f>'[23]road inventory 2018'!C22</f>
        <v>13.6</v>
      </c>
      <c r="E20" s="594">
        <v>8.7899999999999991</v>
      </c>
      <c r="F20" s="594">
        <v>0</v>
      </c>
      <c r="G20" s="594">
        <v>0</v>
      </c>
      <c r="H20" s="594">
        <v>5</v>
      </c>
      <c r="I20" s="594">
        <v>0</v>
      </c>
      <c r="J20" s="106" t="str">
        <f>J19</f>
        <v>Good</v>
      </c>
      <c r="K20" s="591" t="s">
        <v>327</v>
      </c>
      <c r="L20" s="24"/>
    </row>
    <row r="21" spans="1:12" s="16" customFormat="1" ht="17.149999999999999" customHeight="1" x14ac:dyDescent="0.35">
      <c r="A21" s="589">
        <v>11</v>
      </c>
      <c r="B21" s="14" t="s">
        <v>223</v>
      </c>
      <c r="C21" s="15">
        <f t="shared" si="0"/>
        <v>2.27</v>
      </c>
      <c r="D21" s="590">
        <f>'[23]road inventory 2018'!C23</f>
        <v>2.2000000000000002</v>
      </c>
      <c r="E21" s="594">
        <v>0.21</v>
      </c>
      <c r="F21" s="594">
        <v>0</v>
      </c>
      <c r="G21" s="594">
        <v>0</v>
      </c>
      <c r="H21" s="594">
        <v>2.06</v>
      </c>
      <c r="I21" s="594">
        <v>0</v>
      </c>
      <c r="J21" s="106" t="s">
        <v>12</v>
      </c>
      <c r="K21" s="591" t="s">
        <v>328</v>
      </c>
      <c r="L21" s="24"/>
    </row>
    <row r="22" spans="1:12" s="16" customFormat="1" ht="17.149999999999999" customHeight="1" x14ac:dyDescent="0.35">
      <c r="A22" s="589">
        <v>13</v>
      </c>
      <c r="B22" s="14" t="s">
        <v>218</v>
      </c>
      <c r="C22" s="15">
        <f t="shared" si="0"/>
        <v>1.72</v>
      </c>
      <c r="D22" s="590">
        <f>'[23]road inventory 2018'!C24</f>
        <v>1.7</v>
      </c>
      <c r="E22" s="594">
        <v>0</v>
      </c>
      <c r="F22" s="594">
        <v>0</v>
      </c>
      <c r="G22" s="594">
        <v>0</v>
      </c>
      <c r="H22" s="594">
        <v>1.72</v>
      </c>
      <c r="I22" s="594">
        <v>0</v>
      </c>
      <c r="J22" s="106" t="s">
        <v>12</v>
      </c>
      <c r="K22" s="591" t="s">
        <v>329</v>
      </c>
      <c r="L22" s="24"/>
    </row>
    <row r="23" spans="1:12" ht="17.149999999999999" customHeight="1" x14ac:dyDescent="0.35">
      <c r="A23" s="596">
        <v>12</v>
      </c>
      <c r="B23" s="9" t="s">
        <v>222</v>
      </c>
      <c r="C23" s="15">
        <f t="shared" si="0"/>
        <v>1.62</v>
      </c>
      <c r="D23" s="590">
        <f>'[23]road inventory 2018'!C25</f>
        <v>1.6</v>
      </c>
      <c r="E23" s="11">
        <v>0</v>
      </c>
      <c r="F23" s="11">
        <v>0</v>
      </c>
      <c r="G23" s="11">
        <v>0</v>
      </c>
      <c r="H23" s="11">
        <v>1.62</v>
      </c>
      <c r="I23" s="11">
        <v>0</v>
      </c>
      <c r="J23" s="103" t="s">
        <v>33</v>
      </c>
      <c r="K23" s="597" t="s">
        <v>331</v>
      </c>
      <c r="L23" s="28"/>
    </row>
    <row r="24" spans="1:12" s="16" customFormat="1" ht="17.149999999999999" customHeight="1" x14ac:dyDescent="0.35">
      <c r="A24" s="589">
        <v>220</v>
      </c>
      <c r="B24" s="14" t="s">
        <v>221</v>
      </c>
      <c r="C24" s="15">
        <f t="shared" si="0"/>
        <v>2.11</v>
      </c>
      <c r="D24" s="590">
        <f>'[23]road inventory 2018'!C26</f>
        <v>2.2999999999999998</v>
      </c>
      <c r="E24" s="594">
        <v>0</v>
      </c>
      <c r="F24" s="594">
        <v>0</v>
      </c>
      <c r="G24" s="594">
        <v>0</v>
      </c>
      <c r="H24" s="594">
        <v>2.11</v>
      </c>
      <c r="I24" s="594">
        <v>0</v>
      </c>
      <c r="J24" s="106" t="s">
        <v>33</v>
      </c>
      <c r="K24" s="591" t="s">
        <v>333</v>
      </c>
      <c r="L24" s="24"/>
    </row>
    <row r="25" spans="1:12" s="16" customFormat="1" ht="17.149999999999999" customHeight="1" x14ac:dyDescent="0.35">
      <c r="A25" s="589">
        <v>14</v>
      </c>
      <c r="B25" s="14" t="s">
        <v>215</v>
      </c>
      <c r="C25" s="15">
        <f t="shared" si="0"/>
        <v>4.12</v>
      </c>
      <c r="D25" s="590">
        <f>'[23]road inventory 2018'!C27</f>
        <v>4</v>
      </c>
      <c r="E25" s="594">
        <v>4.12</v>
      </c>
      <c r="F25" s="594">
        <v>0</v>
      </c>
      <c r="G25" s="594">
        <v>0</v>
      </c>
      <c r="H25" s="594">
        <v>0</v>
      </c>
      <c r="I25" s="594">
        <v>0</v>
      </c>
      <c r="J25" s="106" t="s">
        <v>10</v>
      </c>
      <c r="K25" s="591" t="s">
        <v>327</v>
      </c>
      <c r="L25" s="24"/>
    </row>
    <row r="26" spans="1:12" ht="17.149999999999999" customHeight="1" x14ac:dyDescent="0.35">
      <c r="A26" s="596">
        <v>15</v>
      </c>
      <c r="B26" s="9" t="s">
        <v>334</v>
      </c>
      <c r="C26" s="15">
        <f t="shared" si="0"/>
        <v>0</v>
      </c>
      <c r="D26" s="10">
        <f>'[23]road inventory 2018'!C28</f>
        <v>3.2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03" t="s">
        <v>33</v>
      </c>
      <c r="K26" s="597" t="s">
        <v>335</v>
      </c>
      <c r="L26" s="28" t="s">
        <v>336</v>
      </c>
    </row>
    <row r="27" spans="1:12" s="16" customFormat="1" ht="17.149999999999999" customHeight="1" x14ac:dyDescent="0.35">
      <c r="A27" s="589">
        <v>16</v>
      </c>
      <c r="B27" s="14" t="s">
        <v>25</v>
      </c>
      <c r="C27" s="15">
        <f t="shared" si="0"/>
        <v>1.05</v>
      </c>
      <c r="D27" s="590">
        <f>'[23]road inventory 2018'!C29</f>
        <v>1</v>
      </c>
      <c r="E27" s="594">
        <v>0</v>
      </c>
      <c r="F27" s="594">
        <v>0</v>
      </c>
      <c r="G27" s="594">
        <v>0</v>
      </c>
      <c r="H27" s="594">
        <v>1.05</v>
      </c>
      <c r="I27" s="594">
        <v>0</v>
      </c>
      <c r="J27" s="106" t="s">
        <v>12</v>
      </c>
      <c r="K27" s="591" t="s">
        <v>337</v>
      </c>
      <c r="L27" s="24"/>
    </row>
    <row r="28" spans="1:12" s="16" customFormat="1" ht="17.149999999999999" customHeight="1" x14ac:dyDescent="0.35">
      <c r="A28" s="589">
        <v>17</v>
      </c>
      <c r="B28" s="14" t="s">
        <v>216</v>
      </c>
      <c r="C28" s="15">
        <f t="shared" si="0"/>
        <v>4.18</v>
      </c>
      <c r="D28" s="590">
        <f>'[23]road inventory 2018'!C30</f>
        <v>4</v>
      </c>
      <c r="E28" s="594">
        <v>4.18</v>
      </c>
      <c r="F28" s="594">
        <v>0</v>
      </c>
      <c r="G28" s="594">
        <v>0</v>
      </c>
      <c r="H28" s="594">
        <v>0</v>
      </c>
      <c r="I28" s="594">
        <v>0</v>
      </c>
      <c r="J28" s="106" t="s">
        <v>12</v>
      </c>
      <c r="K28" s="591" t="s">
        <v>339</v>
      </c>
      <c r="L28" s="24"/>
    </row>
    <row r="29" spans="1:12" s="16" customFormat="1" ht="16.149999999999999" customHeight="1" x14ac:dyDescent="0.35">
      <c r="A29" s="589">
        <v>18</v>
      </c>
      <c r="B29" s="14" t="s">
        <v>27</v>
      </c>
      <c r="C29" s="15">
        <f t="shared" si="0"/>
        <v>10.52</v>
      </c>
      <c r="D29" s="590">
        <f>'[23]road inventory 2018'!C31</f>
        <v>10.5</v>
      </c>
      <c r="E29" s="594">
        <v>4.54</v>
      </c>
      <c r="F29" s="594">
        <v>0</v>
      </c>
      <c r="G29" s="594">
        <v>0</v>
      </c>
      <c r="H29" s="594">
        <v>5.98</v>
      </c>
      <c r="I29" s="594">
        <v>0</v>
      </c>
      <c r="J29" s="106" t="s">
        <v>12</v>
      </c>
      <c r="K29" s="591" t="s">
        <v>335</v>
      </c>
      <c r="L29" s="24"/>
    </row>
    <row r="30" spans="1:12" s="16" customFormat="1" ht="27" customHeight="1" x14ac:dyDescent="0.35">
      <c r="A30" s="589">
        <v>221</v>
      </c>
      <c r="B30" s="14" t="s">
        <v>219</v>
      </c>
      <c r="C30" s="15">
        <f t="shared" si="0"/>
        <v>4.53</v>
      </c>
      <c r="D30" s="590">
        <f>'[23]road inventory 2018'!C32</f>
        <v>5.2</v>
      </c>
      <c r="E30" s="594">
        <v>0</v>
      </c>
      <c r="F30" s="594">
        <v>0</v>
      </c>
      <c r="G30" s="594">
        <v>0</v>
      </c>
      <c r="H30" s="594">
        <v>4.53</v>
      </c>
      <c r="I30" s="594">
        <v>0</v>
      </c>
      <c r="J30" s="106" t="s">
        <v>12</v>
      </c>
      <c r="K30" s="591" t="s">
        <v>340</v>
      </c>
      <c r="L30" s="24"/>
    </row>
    <row r="31" spans="1:12" ht="15" customHeight="1" x14ac:dyDescent="0.35">
      <c r="A31" s="596">
        <v>20</v>
      </c>
      <c r="B31" s="9" t="s">
        <v>208</v>
      </c>
      <c r="C31" s="15">
        <f t="shared" si="0"/>
        <v>7.63</v>
      </c>
      <c r="D31" s="590">
        <f>'[23]road inventory 2018'!C33</f>
        <v>7.6</v>
      </c>
      <c r="E31" s="11">
        <v>0</v>
      </c>
      <c r="F31" s="11">
        <v>0</v>
      </c>
      <c r="G31" s="11">
        <v>0</v>
      </c>
      <c r="H31" s="11">
        <v>7.63</v>
      </c>
      <c r="I31" s="11">
        <v>0</v>
      </c>
      <c r="J31" s="103" t="s">
        <v>41</v>
      </c>
      <c r="K31" s="597"/>
      <c r="L31" s="28"/>
    </row>
    <row r="32" spans="1:12" ht="15" customHeight="1" x14ac:dyDescent="0.35">
      <c r="A32" s="601"/>
      <c r="B32" s="602"/>
      <c r="C32" s="603">
        <f t="shared" ref="C32:I32" si="1">SUM(C8:C31)</f>
        <v>95.389999999999972</v>
      </c>
      <c r="D32" s="604">
        <f t="shared" si="1"/>
        <v>98.550000000000011</v>
      </c>
      <c r="E32" s="603">
        <f t="shared" si="1"/>
        <v>45.43</v>
      </c>
      <c r="F32" s="603">
        <f t="shared" si="1"/>
        <v>0</v>
      </c>
      <c r="G32" s="603">
        <f t="shared" si="1"/>
        <v>0</v>
      </c>
      <c r="H32" s="603">
        <f t="shared" si="1"/>
        <v>49.96</v>
      </c>
      <c r="I32" s="603">
        <f t="shared" si="1"/>
        <v>0</v>
      </c>
      <c r="J32" s="109"/>
      <c r="K32" s="605"/>
      <c r="L32" s="28"/>
    </row>
    <row r="33" spans="1:12" s="1" customFormat="1" ht="22.5" customHeight="1" thickBot="1" x14ac:dyDescent="0.4">
      <c r="A33" s="606" t="s">
        <v>341</v>
      </c>
      <c r="B33" s="18"/>
      <c r="C33" s="19">
        <f>E33+F33+G33+H33+I33</f>
        <v>95.39</v>
      </c>
      <c r="D33" s="607"/>
      <c r="E33" s="19">
        <f>SUM(E8:E31)</f>
        <v>45.43</v>
      </c>
      <c r="F33" s="19">
        <f>SUM(F8:F31)</f>
        <v>0</v>
      </c>
      <c r="G33" s="19">
        <f>SUM(G8:G31)</f>
        <v>0</v>
      </c>
      <c r="H33" s="19">
        <f>SUM(H8:H31)</f>
        <v>49.96</v>
      </c>
      <c r="I33" s="19">
        <f>SUM(I8:I31)</f>
        <v>0</v>
      </c>
      <c r="J33" s="608"/>
      <c r="K33" s="609"/>
      <c r="L33" s="97"/>
    </row>
    <row r="34" spans="1:12" s="1" customFormat="1" ht="16" thickBot="1" x14ac:dyDescent="0.4">
      <c r="A34" s="544"/>
      <c r="B34" s="21"/>
      <c r="C34" s="22"/>
      <c r="D34" s="610"/>
      <c r="E34" s="22"/>
      <c r="F34" s="22"/>
      <c r="G34" s="22"/>
      <c r="H34" s="22"/>
      <c r="I34" s="22"/>
      <c r="K34" s="21"/>
      <c r="L34" s="611"/>
    </row>
    <row r="35" spans="1:12" s="1" customFormat="1" x14ac:dyDescent="0.35">
      <c r="A35" s="1217" t="s">
        <v>342</v>
      </c>
      <c r="B35" s="1218"/>
      <c r="C35" s="1218"/>
      <c r="D35" s="1218"/>
      <c r="E35" s="1218"/>
      <c r="F35" s="1218"/>
      <c r="G35" s="1218"/>
      <c r="H35" s="1218"/>
      <c r="I35" s="1218"/>
      <c r="J35" s="1218"/>
      <c r="K35" s="1218"/>
      <c r="L35" s="1219"/>
    </row>
    <row r="36" spans="1:12" s="1" customFormat="1" ht="16" thickBot="1" x14ac:dyDescent="0.4">
      <c r="A36" s="585"/>
      <c r="B36" s="2"/>
      <c r="C36" s="5"/>
      <c r="D36" s="586"/>
      <c r="E36" s="5"/>
      <c r="F36" s="5"/>
      <c r="G36" s="5"/>
      <c r="H36" s="5"/>
      <c r="I36" s="5"/>
      <c r="J36" s="3"/>
      <c r="K36" s="21"/>
      <c r="L36" s="18"/>
    </row>
    <row r="37" spans="1:12" s="1" customFormat="1" ht="21" customHeight="1" x14ac:dyDescent="0.35">
      <c r="A37" s="1206" t="s">
        <v>302</v>
      </c>
      <c r="B37" s="1208" t="s">
        <v>28</v>
      </c>
      <c r="C37" s="1210" t="s">
        <v>343</v>
      </c>
      <c r="D37" s="613"/>
      <c r="E37" s="1212" t="s">
        <v>305</v>
      </c>
      <c r="F37" s="1212"/>
      <c r="G37" s="1212"/>
      <c r="H37" s="1212"/>
      <c r="I37" s="1212"/>
      <c r="J37" s="1208" t="s">
        <v>29</v>
      </c>
      <c r="K37" s="1213" t="s">
        <v>306</v>
      </c>
      <c r="L37" s="1222" t="s">
        <v>307</v>
      </c>
    </row>
    <row r="38" spans="1:12" s="1" customFormat="1" ht="21" customHeight="1" thickBot="1" x14ac:dyDescent="0.4">
      <c r="A38" s="1207"/>
      <c r="B38" s="1209"/>
      <c r="C38" s="1211"/>
      <c r="D38" s="614"/>
      <c r="E38" s="7" t="s">
        <v>308</v>
      </c>
      <c r="F38" s="7" t="s">
        <v>309</v>
      </c>
      <c r="G38" s="7" t="s">
        <v>310</v>
      </c>
      <c r="H38" s="7" t="s">
        <v>311</v>
      </c>
      <c r="I38" s="7" t="s">
        <v>312</v>
      </c>
      <c r="J38" s="1209"/>
      <c r="K38" s="1214"/>
      <c r="L38" s="1223"/>
    </row>
    <row r="39" spans="1:12" s="1" customFormat="1" ht="16.5" customHeight="1" x14ac:dyDescent="0.35">
      <c r="A39" s="596">
        <v>21</v>
      </c>
      <c r="B39" s="28" t="s">
        <v>241</v>
      </c>
      <c r="C39" s="10">
        <f>SUM(E39:I39)</f>
        <v>4.32</v>
      </c>
      <c r="D39" s="615">
        <f>'[23]road inventory 2018'!C41</f>
        <v>4.3</v>
      </c>
      <c r="E39" s="10">
        <v>4.1100000000000003</v>
      </c>
      <c r="F39" s="10">
        <v>0</v>
      </c>
      <c r="G39" s="10">
        <v>0</v>
      </c>
      <c r="H39" s="10">
        <v>0.21</v>
      </c>
      <c r="I39" s="10">
        <v>0</v>
      </c>
      <c r="J39" s="103" t="s">
        <v>10</v>
      </c>
      <c r="K39" s="597" t="s">
        <v>345</v>
      </c>
      <c r="L39" s="112"/>
    </row>
    <row r="40" spans="1:12" s="26" customFormat="1" ht="16.5" customHeight="1" x14ac:dyDescent="0.35">
      <c r="A40" s="589">
        <v>22</v>
      </c>
      <c r="B40" s="24" t="s">
        <v>225</v>
      </c>
      <c r="C40" s="10">
        <f t="shared" ref="C40:C65" si="2">SUM(E40:I40)</f>
        <v>4.01</v>
      </c>
      <c r="D40" s="615">
        <f>'[23]road inventory 2018'!C42</f>
        <v>3.9</v>
      </c>
      <c r="E40" s="15">
        <v>0</v>
      </c>
      <c r="F40" s="15">
        <v>0</v>
      </c>
      <c r="G40" s="15">
        <v>0</v>
      </c>
      <c r="H40" s="15">
        <v>4.01</v>
      </c>
      <c r="I40" s="15">
        <v>0</v>
      </c>
      <c r="J40" s="106" t="s">
        <v>12</v>
      </c>
      <c r="K40" s="591" t="s">
        <v>346</v>
      </c>
      <c r="L40" s="24"/>
    </row>
    <row r="41" spans="1:12" s="26" customFormat="1" ht="16.5" customHeight="1" x14ac:dyDescent="0.35">
      <c r="A41" s="589">
        <v>23</v>
      </c>
      <c r="B41" s="24" t="s">
        <v>237</v>
      </c>
      <c r="C41" s="10">
        <f t="shared" si="2"/>
        <v>4.42</v>
      </c>
      <c r="D41" s="615">
        <f>'[23]road inventory 2018'!C43</f>
        <v>4.3</v>
      </c>
      <c r="E41" s="15">
        <v>2.9</v>
      </c>
      <c r="F41" s="15">
        <v>0</v>
      </c>
      <c r="G41" s="15">
        <v>0</v>
      </c>
      <c r="H41" s="15">
        <v>1.52</v>
      </c>
      <c r="I41" s="15">
        <v>0</v>
      </c>
      <c r="J41" s="106" t="s">
        <v>12</v>
      </c>
      <c r="K41" s="591" t="s">
        <v>347</v>
      </c>
      <c r="L41" s="24"/>
    </row>
    <row r="42" spans="1:12" s="26" customFormat="1" ht="16.5" customHeight="1" x14ac:dyDescent="0.35">
      <c r="A42" s="589">
        <v>24</v>
      </c>
      <c r="B42" s="24" t="s">
        <v>236</v>
      </c>
      <c r="C42" s="10">
        <f t="shared" si="2"/>
        <v>8.25</v>
      </c>
      <c r="D42" s="615">
        <f>'[23]road inventory 2018'!C44</f>
        <v>7.5</v>
      </c>
      <c r="E42" s="15">
        <v>8.25</v>
      </c>
      <c r="F42" s="15">
        <v>0</v>
      </c>
      <c r="G42" s="15">
        <v>0</v>
      </c>
      <c r="H42" s="15">
        <v>0</v>
      </c>
      <c r="I42" s="15">
        <v>0</v>
      </c>
      <c r="J42" s="106" t="s">
        <v>10</v>
      </c>
      <c r="K42" s="591" t="s">
        <v>347</v>
      </c>
      <c r="L42" s="24"/>
    </row>
    <row r="43" spans="1:12" s="1" customFormat="1" ht="16.5" customHeight="1" x14ac:dyDescent="0.35">
      <c r="A43" s="596">
        <v>25</v>
      </c>
      <c r="B43" s="28" t="s">
        <v>30</v>
      </c>
      <c r="C43" s="10">
        <f t="shared" si="2"/>
        <v>0.88</v>
      </c>
      <c r="D43" s="10">
        <f>'[23]road inventory 2018'!C45</f>
        <v>1.7</v>
      </c>
      <c r="E43" s="10">
        <v>0</v>
      </c>
      <c r="F43" s="10">
        <v>0</v>
      </c>
      <c r="G43" s="10">
        <v>0</v>
      </c>
      <c r="H43" s="10">
        <v>0.88</v>
      </c>
      <c r="I43" s="10">
        <v>0</v>
      </c>
      <c r="J43" s="103" t="s">
        <v>12</v>
      </c>
      <c r="K43" s="597" t="s">
        <v>348</v>
      </c>
      <c r="L43" s="28" t="s">
        <v>833</v>
      </c>
    </row>
    <row r="44" spans="1:12" s="26" customFormat="1" ht="16.5" customHeight="1" x14ac:dyDescent="0.35">
      <c r="A44" s="589">
        <v>26</v>
      </c>
      <c r="B44" s="24" t="s">
        <v>350</v>
      </c>
      <c r="C44" s="10">
        <f t="shared" si="2"/>
        <v>6.0600000000000005</v>
      </c>
      <c r="D44" s="615">
        <f>'[23]road inventory 2018'!C46</f>
        <v>5.9</v>
      </c>
      <c r="E44" s="15">
        <v>2.85</v>
      </c>
      <c r="F44" s="15">
        <v>0</v>
      </c>
      <c r="G44" s="15">
        <v>0</v>
      </c>
      <c r="H44" s="15">
        <v>3.21</v>
      </c>
      <c r="I44" s="15">
        <v>0</v>
      </c>
      <c r="J44" s="24" t="s">
        <v>12</v>
      </c>
      <c r="K44" s="591" t="s">
        <v>348</v>
      </c>
      <c r="L44" s="24"/>
    </row>
    <row r="45" spans="1:12" s="26" customFormat="1" ht="16.5" customHeight="1" x14ac:dyDescent="0.35">
      <c r="A45" s="589">
        <v>27</v>
      </c>
      <c r="B45" s="24" t="s">
        <v>224</v>
      </c>
      <c r="C45" s="10">
        <f t="shared" si="2"/>
        <v>1.93</v>
      </c>
      <c r="D45" s="615">
        <f>'[23]road inventory 2018'!C47</f>
        <v>1.9</v>
      </c>
      <c r="E45" s="15">
        <v>0.28000000000000003</v>
      </c>
      <c r="F45" s="15">
        <v>0</v>
      </c>
      <c r="G45" s="15">
        <v>0</v>
      </c>
      <c r="H45" s="15">
        <v>1.65</v>
      </c>
      <c r="I45" s="15">
        <v>0</v>
      </c>
      <c r="J45" s="106" t="s">
        <v>12</v>
      </c>
      <c r="K45" s="591" t="s">
        <v>351</v>
      </c>
      <c r="L45" s="24"/>
    </row>
    <row r="46" spans="1:12" s="26" customFormat="1" ht="16.5" customHeight="1" x14ac:dyDescent="0.35">
      <c r="A46" s="589">
        <v>28</v>
      </c>
      <c r="B46" s="24" t="s">
        <v>233</v>
      </c>
      <c r="C46" s="10">
        <f t="shared" si="2"/>
        <v>5.62</v>
      </c>
      <c r="D46" s="615">
        <f>'[23]road inventory 2018'!C48</f>
        <v>5.6</v>
      </c>
      <c r="E46" s="15">
        <v>1.54</v>
      </c>
      <c r="F46" s="15">
        <v>0</v>
      </c>
      <c r="G46" s="15">
        <v>0</v>
      </c>
      <c r="H46" s="15">
        <v>4.08</v>
      </c>
      <c r="I46" s="15">
        <v>0</v>
      </c>
      <c r="J46" s="106" t="s">
        <v>10</v>
      </c>
      <c r="K46" s="591" t="s">
        <v>352</v>
      </c>
      <c r="L46" s="24"/>
    </row>
    <row r="47" spans="1:12" s="26" customFormat="1" ht="16.5" customHeight="1" x14ac:dyDescent="0.35">
      <c r="A47" s="589">
        <v>29</v>
      </c>
      <c r="B47" s="24" t="s">
        <v>239</v>
      </c>
      <c r="C47" s="10">
        <f t="shared" si="2"/>
        <v>0.86</v>
      </c>
      <c r="D47" s="615">
        <f>'[23]road inventory 2018'!C49</f>
        <v>0.8</v>
      </c>
      <c r="E47" s="15">
        <v>0.11</v>
      </c>
      <c r="F47" s="15">
        <v>0</v>
      </c>
      <c r="G47" s="15">
        <v>0</v>
      </c>
      <c r="H47" s="15">
        <v>0.75</v>
      </c>
      <c r="I47" s="15">
        <v>0</v>
      </c>
      <c r="J47" s="106" t="s">
        <v>12</v>
      </c>
      <c r="K47" s="591" t="s">
        <v>353</v>
      </c>
      <c r="L47" s="24"/>
    </row>
    <row r="48" spans="1:12" s="1" customFormat="1" ht="16.5" customHeight="1" x14ac:dyDescent="0.35">
      <c r="A48" s="596">
        <v>30</v>
      </c>
      <c r="B48" s="28" t="s">
        <v>354</v>
      </c>
      <c r="C48" s="10">
        <f t="shared" si="2"/>
        <v>2</v>
      </c>
      <c r="D48" s="615">
        <f>'[23]road inventory 2018'!C50</f>
        <v>2</v>
      </c>
      <c r="E48" s="10">
        <v>1.5</v>
      </c>
      <c r="F48" s="10">
        <v>0</v>
      </c>
      <c r="G48" s="10">
        <v>0</v>
      </c>
      <c r="H48" s="10">
        <v>0.5</v>
      </c>
      <c r="I48" s="10">
        <v>0</v>
      </c>
      <c r="J48" s="103" t="s">
        <v>10</v>
      </c>
      <c r="K48" s="597" t="s">
        <v>355</v>
      </c>
      <c r="L48" s="28" t="s">
        <v>356</v>
      </c>
    </row>
    <row r="49" spans="1:12" s="26" customFormat="1" ht="16.5" customHeight="1" x14ac:dyDescent="0.35">
      <c r="A49" s="589">
        <v>106</v>
      </c>
      <c r="B49" s="24" t="s">
        <v>238</v>
      </c>
      <c r="C49" s="10">
        <f t="shared" si="2"/>
        <v>3.21</v>
      </c>
      <c r="D49" s="615">
        <f>'[23]road inventory 2018'!C51</f>
        <v>3.2</v>
      </c>
      <c r="E49" s="15">
        <v>3.21</v>
      </c>
      <c r="F49" s="15">
        <v>0</v>
      </c>
      <c r="G49" s="15">
        <v>0</v>
      </c>
      <c r="H49" s="15">
        <v>0</v>
      </c>
      <c r="I49" s="15">
        <v>0</v>
      </c>
      <c r="J49" s="106" t="s">
        <v>10</v>
      </c>
      <c r="K49" s="591" t="s">
        <v>358</v>
      </c>
      <c r="L49" s="24"/>
    </row>
    <row r="50" spans="1:12" s="26" customFormat="1" ht="16.5" customHeight="1" x14ac:dyDescent="0.35">
      <c r="A50" s="589">
        <v>31</v>
      </c>
      <c r="B50" s="24" t="s">
        <v>359</v>
      </c>
      <c r="C50" s="10">
        <f t="shared" si="2"/>
        <v>0.78</v>
      </c>
      <c r="D50" s="615">
        <f>'[23]road inventory 2018'!C52</f>
        <v>0.8</v>
      </c>
      <c r="E50" s="15">
        <v>0.78</v>
      </c>
      <c r="F50" s="15">
        <v>0</v>
      </c>
      <c r="G50" s="15">
        <v>0</v>
      </c>
      <c r="H50" s="15">
        <v>0</v>
      </c>
      <c r="I50" s="15">
        <v>0</v>
      </c>
      <c r="J50" s="106" t="s">
        <v>10</v>
      </c>
      <c r="K50" s="591" t="s">
        <v>360</v>
      </c>
      <c r="L50" s="24"/>
    </row>
    <row r="51" spans="1:12" s="1" customFormat="1" ht="16.5" customHeight="1" x14ac:dyDescent="0.35">
      <c r="A51" s="596">
        <v>32</v>
      </c>
      <c r="B51" s="28" t="s">
        <v>232</v>
      </c>
      <c r="C51" s="10">
        <f t="shared" si="2"/>
        <v>3.01</v>
      </c>
      <c r="D51" s="615">
        <f>'[23]road inventory 2018'!C53</f>
        <v>3</v>
      </c>
      <c r="E51" s="10">
        <v>0</v>
      </c>
      <c r="F51" s="10">
        <v>0</v>
      </c>
      <c r="G51" s="10">
        <v>0</v>
      </c>
      <c r="H51" s="10">
        <v>3.01</v>
      </c>
      <c r="I51" s="10">
        <v>0</v>
      </c>
      <c r="J51" s="103" t="s">
        <v>41</v>
      </c>
      <c r="K51" s="597" t="s">
        <v>361</v>
      </c>
      <c r="L51" s="28"/>
    </row>
    <row r="52" spans="1:12" s="1" customFormat="1" ht="16.5" customHeight="1" x14ac:dyDescent="0.35">
      <c r="A52" s="596">
        <v>33</v>
      </c>
      <c r="B52" s="28" t="s">
        <v>34</v>
      </c>
      <c r="C52" s="10">
        <f t="shared" si="2"/>
        <v>2.4</v>
      </c>
      <c r="D52" s="615">
        <f>'[23]road inventory 2018'!C54</f>
        <v>2.4</v>
      </c>
      <c r="E52" s="10">
        <v>0.25</v>
      </c>
      <c r="F52" s="10">
        <v>0</v>
      </c>
      <c r="G52" s="10">
        <v>0</v>
      </c>
      <c r="H52" s="10">
        <v>2.15</v>
      </c>
      <c r="I52" s="10">
        <v>0</v>
      </c>
      <c r="J52" s="28" t="s">
        <v>33</v>
      </c>
      <c r="K52" s="597" t="s">
        <v>362</v>
      </c>
      <c r="L52" s="28"/>
    </row>
    <row r="53" spans="1:12" s="1" customFormat="1" ht="16.5" customHeight="1" x14ac:dyDescent="0.35">
      <c r="A53" s="596">
        <v>34</v>
      </c>
      <c r="B53" s="28" t="s">
        <v>235</v>
      </c>
      <c r="C53" s="10">
        <f t="shared" si="2"/>
        <v>4.3099999999999996</v>
      </c>
      <c r="D53" s="615">
        <f>'[23]road inventory 2018'!C55</f>
        <v>4.2</v>
      </c>
      <c r="E53" s="10">
        <v>0</v>
      </c>
      <c r="F53" s="10">
        <v>0</v>
      </c>
      <c r="G53" s="10">
        <v>0</v>
      </c>
      <c r="H53" s="10">
        <v>4.3099999999999996</v>
      </c>
      <c r="I53" s="10">
        <v>0</v>
      </c>
      <c r="J53" s="103" t="s">
        <v>12</v>
      </c>
      <c r="K53" s="597" t="s">
        <v>363</v>
      </c>
      <c r="L53" s="28"/>
    </row>
    <row r="54" spans="1:12" s="26" customFormat="1" ht="16.5" customHeight="1" x14ac:dyDescent="0.35">
      <c r="A54" s="589">
        <v>35</v>
      </c>
      <c r="B54" s="24" t="s">
        <v>364</v>
      </c>
      <c r="C54" s="10">
        <f t="shared" si="2"/>
        <v>2.9699999999999998</v>
      </c>
      <c r="D54" s="615">
        <f>'[23]road inventory 2018'!C56</f>
        <v>3</v>
      </c>
      <c r="E54" s="15">
        <v>0.4</v>
      </c>
      <c r="F54" s="15">
        <v>0</v>
      </c>
      <c r="G54" s="15">
        <v>0</v>
      </c>
      <c r="H54" s="15">
        <v>2.57</v>
      </c>
      <c r="I54" s="15">
        <v>0</v>
      </c>
      <c r="J54" s="106" t="s">
        <v>12</v>
      </c>
      <c r="K54" s="591" t="s">
        <v>365</v>
      </c>
      <c r="L54" s="24"/>
    </row>
    <row r="55" spans="1:12" s="26" customFormat="1" ht="16.5" customHeight="1" x14ac:dyDescent="0.35">
      <c r="A55" s="589">
        <v>36</v>
      </c>
      <c r="B55" s="24" t="s">
        <v>366</v>
      </c>
      <c r="C55" s="10">
        <f t="shared" si="2"/>
        <v>6.01</v>
      </c>
      <c r="D55" s="615">
        <f>'[23]road inventory 2018'!C57</f>
        <v>6.2</v>
      </c>
      <c r="E55" s="15">
        <v>0</v>
      </c>
      <c r="F55" s="15">
        <v>0</v>
      </c>
      <c r="G55" s="15">
        <v>0</v>
      </c>
      <c r="H55" s="15">
        <v>6.01</v>
      </c>
      <c r="I55" s="15">
        <v>0</v>
      </c>
      <c r="J55" s="106" t="s">
        <v>12</v>
      </c>
      <c r="K55" s="591" t="s">
        <v>367</v>
      </c>
      <c r="L55" s="24"/>
    </row>
    <row r="56" spans="1:12" s="26" customFormat="1" ht="16.5" customHeight="1" x14ac:dyDescent="0.35">
      <c r="A56" s="589">
        <v>37</v>
      </c>
      <c r="B56" s="24" t="s">
        <v>234</v>
      </c>
      <c r="C56" s="10">
        <f t="shared" si="2"/>
        <v>1.6</v>
      </c>
      <c r="D56" s="615">
        <f>'[23]road inventory 2018'!C58</f>
        <v>1.6</v>
      </c>
      <c r="E56" s="15">
        <v>0</v>
      </c>
      <c r="F56" s="15">
        <v>0</v>
      </c>
      <c r="G56" s="15">
        <v>0</v>
      </c>
      <c r="H56" s="15">
        <v>1.6</v>
      </c>
      <c r="I56" s="15">
        <v>0</v>
      </c>
      <c r="J56" s="106" t="s">
        <v>12</v>
      </c>
      <c r="K56" s="591" t="s">
        <v>368</v>
      </c>
      <c r="L56" s="24"/>
    </row>
    <row r="57" spans="1:12" s="26" customFormat="1" ht="16.5" customHeight="1" x14ac:dyDescent="0.35">
      <c r="A57" s="589">
        <v>38</v>
      </c>
      <c r="B57" s="24" t="s">
        <v>36</v>
      </c>
      <c r="C57" s="10">
        <f t="shared" si="2"/>
        <v>3.9</v>
      </c>
      <c r="D57" s="615">
        <f>'[23]road inventory 2018'!C59</f>
        <v>4.4000000000000004</v>
      </c>
      <c r="E57" s="15">
        <v>0</v>
      </c>
      <c r="F57" s="15">
        <v>0</v>
      </c>
      <c r="G57" s="15">
        <v>0</v>
      </c>
      <c r="H57" s="15">
        <v>3.9</v>
      </c>
      <c r="I57" s="15">
        <v>0</v>
      </c>
      <c r="J57" s="106" t="s">
        <v>12</v>
      </c>
      <c r="K57" s="591" t="s">
        <v>369</v>
      </c>
      <c r="L57" s="24"/>
    </row>
    <row r="58" spans="1:12" s="26" customFormat="1" ht="16.5" customHeight="1" x14ac:dyDescent="0.35">
      <c r="A58" s="589">
        <v>39</v>
      </c>
      <c r="B58" s="24" t="s">
        <v>370</v>
      </c>
      <c r="C58" s="10">
        <f t="shared" si="2"/>
        <v>4.9400000000000004</v>
      </c>
      <c r="D58" s="615">
        <f>'[23]road inventory 2018'!C60</f>
        <v>4.9000000000000004</v>
      </c>
      <c r="E58" s="15">
        <v>0</v>
      </c>
      <c r="F58" s="15">
        <v>0</v>
      </c>
      <c r="G58" s="15">
        <v>0</v>
      </c>
      <c r="H58" s="15">
        <v>4.9400000000000004</v>
      </c>
      <c r="I58" s="15">
        <v>0</v>
      </c>
      <c r="J58" s="106" t="s">
        <v>12</v>
      </c>
      <c r="K58" s="591" t="s">
        <v>371</v>
      </c>
      <c r="L58" s="24"/>
    </row>
    <row r="59" spans="1:12" s="26" customFormat="1" ht="16.5" customHeight="1" x14ac:dyDescent="0.35">
      <c r="A59" s="589">
        <v>105</v>
      </c>
      <c r="B59" s="24" t="s">
        <v>228</v>
      </c>
      <c r="C59" s="10">
        <f t="shared" si="2"/>
        <v>3.65</v>
      </c>
      <c r="D59" s="615">
        <f>'[23]road inventory 2018'!C61</f>
        <v>3.6</v>
      </c>
      <c r="E59" s="15">
        <v>0</v>
      </c>
      <c r="F59" s="15">
        <v>0</v>
      </c>
      <c r="G59" s="15">
        <v>0</v>
      </c>
      <c r="H59" s="15">
        <v>3.65</v>
      </c>
      <c r="I59" s="15">
        <v>0</v>
      </c>
      <c r="J59" s="106" t="s">
        <v>12</v>
      </c>
      <c r="K59" s="591" t="s">
        <v>372</v>
      </c>
      <c r="L59" s="24"/>
    </row>
    <row r="60" spans="1:12" s="1" customFormat="1" ht="16.5" customHeight="1" x14ac:dyDescent="0.35">
      <c r="A60" s="596">
        <v>40</v>
      </c>
      <c r="B60" s="28" t="s">
        <v>231</v>
      </c>
      <c r="C60" s="10">
        <f t="shared" si="2"/>
        <v>1.55</v>
      </c>
      <c r="D60" s="615">
        <f>'[23]road inventory 2018'!C62</f>
        <v>1.5</v>
      </c>
      <c r="E60" s="10">
        <v>1.22</v>
      </c>
      <c r="F60" s="10">
        <v>0</v>
      </c>
      <c r="G60" s="10">
        <v>0</v>
      </c>
      <c r="H60" s="10">
        <v>0.33</v>
      </c>
      <c r="I60" s="10">
        <v>0</v>
      </c>
      <c r="J60" s="103" t="s">
        <v>33</v>
      </c>
      <c r="K60" s="597" t="s">
        <v>373</v>
      </c>
      <c r="L60" s="28"/>
    </row>
    <row r="61" spans="1:12" s="1" customFormat="1" ht="16.5" customHeight="1" x14ac:dyDescent="0.35">
      <c r="A61" s="596">
        <v>41</v>
      </c>
      <c r="B61" s="28" t="s">
        <v>230</v>
      </c>
      <c r="C61" s="10">
        <f t="shared" si="2"/>
        <v>2.81</v>
      </c>
      <c r="D61" s="615">
        <f>'[23]road inventory 2018'!C63</f>
        <v>2.8</v>
      </c>
      <c r="E61" s="10">
        <v>0</v>
      </c>
      <c r="F61" s="10">
        <v>0</v>
      </c>
      <c r="G61" s="10">
        <v>0</v>
      </c>
      <c r="H61" s="10">
        <v>2.81</v>
      </c>
      <c r="I61" s="10">
        <v>0</v>
      </c>
      <c r="J61" s="103" t="s">
        <v>33</v>
      </c>
      <c r="K61" s="597" t="s">
        <v>374</v>
      </c>
      <c r="L61" s="28"/>
    </row>
    <row r="62" spans="1:12" s="26" customFormat="1" ht="16.5" customHeight="1" x14ac:dyDescent="0.35">
      <c r="A62" s="589">
        <v>42</v>
      </c>
      <c r="B62" s="24" t="s">
        <v>227</v>
      </c>
      <c r="C62" s="10">
        <f t="shared" si="2"/>
        <v>1.5</v>
      </c>
      <c r="D62" s="615">
        <f>'[23]road inventory 2018'!C64</f>
        <v>1.5</v>
      </c>
      <c r="E62" s="15">
        <v>0</v>
      </c>
      <c r="F62" s="15">
        <v>0</v>
      </c>
      <c r="G62" s="15">
        <v>0</v>
      </c>
      <c r="H62" s="15">
        <v>1.5</v>
      </c>
      <c r="I62" s="15">
        <v>0</v>
      </c>
      <c r="J62" s="106" t="s">
        <v>12</v>
      </c>
      <c r="K62" s="591" t="s">
        <v>375</v>
      </c>
      <c r="L62" s="24"/>
    </row>
    <row r="63" spans="1:12" s="1" customFormat="1" ht="16.5" customHeight="1" x14ac:dyDescent="0.35">
      <c r="A63" s="596">
        <v>43</v>
      </c>
      <c r="B63" s="28" t="s">
        <v>226</v>
      </c>
      <c r="C63" s="10">
        <f t="shared" si="2"/>
        <v>8.370000000000001</v>
      </c>
      <c r="D63" s="615">
        <f>'[23]road inventory 2018'!C65</f>
        <v>12.7</v>
      </c>
      <c r="E63" s="10">
        <v>0.16</v>
      </c>
      <c r="F63" s="10">
        <v>0</v>
      </c>
      <c r="G63" s="10">
        <v>0</v>
      </c>
      <c r="H63" s="10">
        <v>8.2100000000000009</v>
      </c>
      <c r="I63" s="10">
        <v>0</v>
      </c>
      <c r="J63" s="103" t="s">
        <v>41</v>
      </c>
      <c r="K63" s="597" t="s">
        <v>376</v>
      </c>
      <c r="L63" s="28" t="s">
        <v>833</v>
      </c>
    </row>
    <row r="64" spans="1:12" s="1" customFormat="1" ht="16.5" customHeight="1" x14ac:dyDescent="0.35">
      <c r="A64" s="596">
        <v>44</v>
      </c>
      <c r="B64" s="28" t="s">
        <v>229</v>
      </c>
      <c r="C64" s="10">
        <f t="shared" si="2"/>
        <v>5.52</v>
      </c>
      <c r="D64" s="615">
        <f>'[23]road inventory 2018'!C66</f>
        <v>5.3</v>
      </c>
      <c r="E64" s="10">
        <v>0</v>
      </c>
      <c r="F64" s="10">
        <v>0</v>
      </c>
      <c r="G64" s="10">
        <v>0</v>
      </c>
      <c r="H64" s="10">
        <v>5.52</v>
      </c>
      <c r="I64" s="10">
        <v>0</v>
      </c>
      <c r="J64" s="103" t="s">
        <v>41</v>
      </c>
      <c r="K64" s="597" t="s">
        <v>378</v>
      </c>
      <c r="L64" s="28"/>
    </row>
    <row r="65" spans="1:12" s="26" customFormat="1" ht="16.5" customHeight="1" x14ac:dyDescent="0.35">
      <c r="A65" s="589">
        <v>104</v>
      </c>
      <c r="B65" s="24" t="s">
        <v>240</v>
      </c>
      <c r="C65" s="10">
        <f t="shared" si="2"/>
        <v>3.13</v>
      </c>
      <c r="D65" s="615">
        <f>'[23]road inventory 2018'!C67</f>
        <v>3.1</v>
      </c>
      <c r="E65" s="15">
        <v>0</v>
      </c>
      <c r="F65" s="15">
        <v>0</v>
      </c>
      <c r="G65" s="15">
        <v>0</v>
      </c>
      <c r="H65" s="15">
        <v>3.13</v>
      </c>
      <c r="I65" s="15">
        <v>0</v>
      </c>
      <c r="J65" s="106" t="s">
        <v>12</v>
      </c>
      <c r="K65" s="591" t="s">
        <v>379</v>
      </c>
      <c r="L65" s="24"/>
    </row>
    <row r="66" spans="1:12" s="26" customFormat="1" ht="16.5" customHeight="1" x14ac:dyDescent="0.35">
      <c r="A66" s="626"/>
      <c r="B66" s="60"/>
      <c r="C66" s="61">
        <f t="shared" ref="C66:I66" si="3">SUM(C39:C65)</f>
        <v>98.009999999999991</v>
      </c>
      <c r="D66" s="627">
        <f t="shared" si="3"/>
        <v>102.1</v>
      </c>
      <c r="E66" s="61">
        <f t="shared" si="3"/>
        <v>27.56</v>
      </c>
      <c r="F66" s="61">
        <f t="shared" si="3"/>
        <v>0</v>
      </c>
      <c r="G66" s="61">
        <f t="shared" si="3"/>
        <v>0</v>
      </c>
      <c r="H66" s="61">
        <f t="shared" si="3"/>
        <v>70.449999999999989</v>
      </c>
      <c r="I66" s="61">
        <f t="shared" si="3"/>
        <v>0</v>
      </c>
      <c r="J66" s="628"/>
      <c r="K66" s="629"/>
      <c r="L66" s="24"/>
    </row>
    <row r="67" spans="1:12" s="1" customFormat="1" ht="24" customHeight="1" thickBot="1" x14ac:dyDescent="0.4">
      <c r="A67" s="53" t="s">
        <v>341</v>
      </c>
      <c r="B67" s="30"/>
      <c r="C67" s="31">
        <f>SUM(E67:I67)</f>
        <v>98.009999999999991</v>
      </c>
      <c r="D67" s="630"/>
      <c r="E67" s="31">
        <f>SUM(E39:E65)</f>
        <v>27.56</v>
      </c>
      <c r="F67" s="31">
        <f>SUM(F39:F65)</f>
        <v>0</v>
      </c>
      <c r="G67" s="31">
        <f>SUM(G39:G65)</f>
        <v>0</v>
      </c>
      <c r="H67" s="31">
        <f>SUM(H39:H65)</f>
        <v>70.449999999999989</v>
      </c>
      <c r="I67" s="31">
        <f>SUM(I39:I65)</f>
        <v>0</v>
      </c>
      <c r="J67" s="608"/>
      <c r="K67" s="609"/>
      <c r="L67" s="97"/>
    </row>
    <row r="68" spans="1:12" s="1" customFormat="1" x14ac:dyDescent="0.35">
      <c r="A68" s="1217" t="s">
        <v>380</v>
      </c>
      <c r="B68" s="1218"/>
      <c r="C68" s="1218"/>
      <c r="D68" s="1218"/>
      <c r="E68" s="1218"/>
      <c r="F68" s="1218"/>
      <c r="G68" s="1218"/>
      <c r="H68" s="1218"/>
      <c r="I68" s="1218"/>
      <c r="J68" s="1218"/>
      <c r="K68" s="1218"/>
      <c r="L68" s="1219"/>
    </row>
    <row r="69" spans="1:12" s="1" customFormat="1" ht="16" thickBot="1" x14ac:dyDescent="0.4">
      <c r="A69" s="585"/>
      <c r="B69" s="2"/>
      <c r="C69" s="5"/>
      <c r="D69" s="586"/>
      <c r="E69" s="5"/>
      <c r="F69" s="5"/>
      <c r="G69" s="5"/>
      <c r="H69" s="5"/>
      <c r="I69" s="5"/>
      <c r="J69" s="3"/>
      <c r="K69" s="21"/>
      <c r="L69" s="631"/>
    </row>
    <row r="70" spans="1:12" s="1" customFormat="1" ht="21" customHeight="1" x14ac:dyDescent="0.35">
      <c r="A70" s="1206" t="s">
        <v>302</v>
      </c>
      <c r="B70" s="1208" t="s">
        <v>28</v>
      </c>
      <c r="C70" s="1210" t="s">
        <v>343</v>
      </c>
      <c r="D70" s="613"/>
      <c r="E70" s="1212" t="s">
        <v>305</v>
      </c>
      <c r="F70" s="1212"/>
      <c r="G70" s="1212"/>
      <c r="H70" s="1212"/>
      <c r="I70" s="1212"/>
      <c r="J70" s="1208" t="s">
        <v>29</v>
      </c>
      <c r="K70" s="1213" t="s">
        <v>306</v>
      </c>
      <c r="L70" s="1226" t="s">
        <v>307</v>
      </c>
    </row>
    <row r="71" spans="1:12" s="1" customFormat="1" ht="21" customHeight="1" thickBot="1" x14ac:dyDescent="0.4">
      <c r="A71" s="1207"/>
      <c r="B71" s="1209"/>
      <c r="C71" s="1211"/>
      <c r="D71" s="614"/>
      <c r="E71" s="7" t="s">
        <v>308</v>
      </c>
      <c r="F71" s="7" t="s">
        <v>309</v>
      </c>
      <c r="G71" s="7" t="s">
        <v>310</v>
      </c>
      <c r="H71" s="7" t="s">
        <v>311</v>
      </c>
      <c r="I71" s="7" t="s">
        <v>312</v>
      </c>
      <c r="J71" s="1209"/>
      <c r="K71" s="1214"/>
      <c r="L71" s="1227"/>
    </row>
    <row r="72" spans="1:12" s="26" customFormat="1" ht="16.5" customHeight="1" x14ac:dyDescent="0.35">
      <c r="A72" s="589">
        <v>107</v>
      </c>
      <c r="B72" s="24" t="s">
        <v>381</v>
      </c>
      <c r="C72" s="15">
        <f>SUM(E72:I72)</f>
        <v>2.59</v>
      </c>
      <c r="D72" s="590">
        <f>'[23]road inventory 2018'!C73</f>
        <v>2.5</v>
      </c>
      <c r="E72" s="632">
        <v>1.07</v>
      </c>
      <c r="F72" s="632">
        <v>0</v>
      </c>
      <c r="G72" s="632">
        <v>0</v>
      </c>
      <c r="H72" s="15">
        <v>1.52</v>
      </c>
      <c r="I72" s="15">
        <v>0</v>
      </c>
      <c r="J72" s="106" t="s">
        <v>12</v>
      </c>
      <c r="K72" s="591" t="s">
        <v>382</v>
      </c>
      <c r="L72" s="592"/>
    </row>
    <row r="73" spans="1:12" s="26" customFormat="1" ht="16.5" customHeight="1" x14ac:dyDescent="0.35">
      <c r="A73" s="589">
        <v>102</v>
      </c>
      <c r="B73" s="24" t="s">
        <v>242</v>
      </c>
      <c r="C73" s="15">
        <f t="shared" ref="C73:C78" si="4">SUM(E73:I73)</f>
        <v>1.33</v>
      </c>
      <c r="D73" s="590">
        <f>'[23]road inventory 2018'!C74</f>
        <v>1.3</v>
      </c>
      <c r="E73" s="632">
        <v>0</v>
      </c>
      <c r="F73" s="632">
        <v>0</v>
      </c>
      <c r="G73" s="632">
        <v>0</v>
      </c>
      <c r="H73" s="15">
        <v>1.33</v>
      </c>
      <c r="I73" s="15">
        <v>0</v>
      </c>
      <c r="J73" s="106" t="s">
        <v>12</v>
      </c>
      <c r="K73" s="591" t="s">
        <v>383</v>
      </c>
      <c r="L73" s="24"/>
    </row>
    <row r="74" spans="1:12" s="1" customFormat="1" ht="16.5" customHeight="1" x14ac:dyDescent="0.35">
      <c r="A74" s="596">
        <v>101</v>
      </c>
      <c r="B74" s="28" t="s">
        <v>384</v>
      </c>
      <c r="C74" s="15">
        <f t="shared" si="4"/>
        <v>0</v>
      </c>
      <c r="D74" s="615">
        <f>'[23]road inventory 2018'!C75</f>
        <v>0.6</v>
      </c>
      <c r="E74" s="633">
        <v>0</v>
      </c>
      <c r="F74" s="633">
        <v>0</v>
      </c>
      <c r="G74" s="633">
        <v>0</v>
      </c>
      <c r="H74" s="10">
        <v>0</v>
      </c>
      <c r="I74" s="10">
        <v>0</v>
      </c>
      <c r="J74" s="103" t="s">
        <v>10</v>
      </c>
      <c r="K74" s="597" t="s">
        <v>385</v>
      </c>
      <c r="L74" s="28" t="s">
        <v>356</v>
      </c>
    </row>
    <row r="75" spans="1:12" s="26" customFormat="1" ht="16.5" customHeight="1" x14ac:dyDescent="0.35">
      <c r="A75" s="589">
        <v>47</v>
      </c>
      <c r="B75" s="24" t="s">
        <v>38</v>
      </c>
      <c r="C75" s="15">
        <f t="shared" si="4"/>
        <v>17.2</v>
      </c>
      <c r="D75" s="590">
        <f>'[23]road inventory 2018'!C76</f>
        <v>17</v>
      </c>
      <c r="E75" s="15">
        <v>0.27</v>
      </c>
      <c r="F75" s="632">
        <v>0</v>
      </c>
      <c r="G75" s="632">
        <v>0</v>
      </c>
      <c r="H75" s="15">
        <v>16.93</v>
      </c>
      <c r="I75" s="15">
        <v>0</v>
      </c>
      <c r="J75" s="106" t="s">
        <v>12</v>
      </c>
      <c r="K75" s="591" t="s">
        <v>387</v>
      </c>
      <c r="L75" s="24"/>
    </row>
    <row r="76" spans="1:12" s="26" customFormat="1" ht="16.5" customHeight="1" x14ac:dyDescent="0.35">
      <c r="A76" s="589">
        <v>48</v>
      </c>
      <c r="B76" s="24" t="s">
        <v>388</v>
      </c>
      <c r="C76" s="15">
        <f t="shared" si="4"/>
        <v>2.63</v>
      </c>
      <c r="D76" s="590">
        <f>'[23]road inventory 2018'!C77</f>
        <v>2.6</v>
      </c>
      <c r="E76" s="632">
        <v>0</v>
      </c>
      <c r="F76" s="632">
        <v>0</v>
      </c>
      <c r="G76" s="632">
        <v>0</v>
      </c>
      <c r="H76" s="15">
        <v>2.63</v>
      </c>
      <c r="I76" s="15">
        <v>0</v>
      </c>
      <c r="J76" s="106" t="s">
        <v>12</v>
      </c>
      <c r="K76" s="591" t="s">
        <v>389</v>
      </c>
      <c r="L76" s="24"/>
    </row>
    <row r="77" spans="1:12" s="26" customFormat="1" ht="16.5" customHeight="1" x14ac:dyDescent="0.35">
      <c r="A77" s="589">
        <v>90</v>
      </c>
      <c r="B77" s="24" t="s">
        <v>390</v>
      </c>
      <c r="C77" s="15">
        <f t="shared" si="4"/>
        <v>4.2699999999999996</v>
      </c>
      <c r="D77" s="590">
        <f>'[23]road inventory 2018'!C78</f>
        <v>4.3499999999999996</v>
      </c>
      <c r="E77" s="632">
        <v>0</v>
      </c>
      <c r="F77" s="632">
        <v>0</v>
      </c>
      <c r="G77" s="632">
        <v>0</v>
      </c>
      <c r="H77" s="15">
        <v>4.2699999999999996</v>
      </c>
      <c r="I77" s="15">
        <v>0</v>
      </c>
      <c r="J77" s="106" t="s">
        <v>12</v>
      </c>
      <c r="K77" s="591" t="s">
        <v>391</v>
      </c>
      <c r="L77" s="24"/>
    </row>
    <row r="78" spans="1:12" s="1" customFormat="1" ht="16.5" customHeight="1" x14ac:dyDescent="0.35">
      <c r="A78" s="596">
        <v>99</v>
      </c>
      <c r="B78" s="28" t="s">
        <v>392</v>
      </c>
      <c r="C78" s="15">
        <f t="shared" si="4"/>
        <v>14.14</v>
      </c>
      <c r="D78" s="590">
        <f>'[23]road inventory 2018'!C79</f>
        <v>14.1</v>
      </c>
      <c r="E78" s="10">
        <v>0</v>
      </c>
      <c r="F78" s="10">
        <v>0</v>
      </c>
      <c r="G78" s="10">
        <v>0</v>
      </c>
      <c r="H78" s="10">
        <v>14.14</v>
      </c>
      <c r="I78" s="10">
        <v>0</v>
      </c>
      <c r="J78" s="103" t="s">
        <v>33</v>
      </c>
      <c r="K78" s="597" t="s">
        <v>393</v>
      </c>
      <c r="L78" s="28"/>
    </row>
    <row r="79" spans="1:12" s="1" customFormat="1" ht="16.5" customHeight="1" x14ac:dyDescent="0.35">
      <c r="A79" s="635"/>
      <c r="B79" s="40"/>
      <c r="C79" s="41">
        <f t="shared" ref="C79:H79" si="5">SUM(C72:C78)</f>
        <v>42.16</v>
      </c>
      <c r="D79" s="636">
        <f t="shared" si="5"/>
        <v>42.45</v>
      </c>
      <c r="E79" s="41">
        <f t="shared" si="5"/>
        <v>1.34</v>
      </c>
      <c r="F79" s="41">
        <f t="shared" si="5"/>
        <v>0</v>
      </c>
      <c r="G79" s="41">
        <f t="shared" si="5"/>
        <v>0</v>
      </c>
      <c r="H79" s="41">
        <f t="shared" si="5"/>
        <v>40.82</v>
      </c>
      <c r="I79" s="41"/>
      <c r="J79" s="109"/>
      <c r="K79" s="605"/>
      <c r="L79" s="28"/>
    </row>
    <row r="80" spans="1:12" s="1" customFormat="1" ht="23.25" customHeight="1" thickBot="1" x14ac:dyDescent="0.4">
      <c r="A80" s="53" t="s">
        <v>341</v>
      </c>
      <c r="B80" s="34"/>
      <c r="C80" s="31">
        <f>SUM(E80:I80)</f>
        <v>42.160000000000004</v>
      </c>
      <c r="D80" s="630"/>
      <c r="E80" s="31">
        <f>SUM(E72:E78)</f>
        <v>1.34</v>
      </c>
      <c r="F80" s="31">
        <f>SUM(F72:F78)</f>
        <v>0</v>
      </c>
      <c r="G80" s="31">
        <f>SUM(G72:G78)</f>
        <v>0</v>
      </c>
      <c r="H80" s="31">
        <f>SUM(H72:H78)</f>
        <v>40.82</v>
      </c>
      <c r="I80" s="31">
        <f>SUM(I72:I78)</f>
        <v>0</v>
      </c>
      <c r="J80" s="608"/>
      <c r="K80" s="609"/>
      <c r="L80" s="97"/>
    </row>
    <row r="81" spans="1:12" s="1" customFormat="1" ht="15" customHeight="1" thickBot="1" x14ac:dyDescent="0.4">
      <c r="A81" s="544"/>
      <c r="B81" s="35"/>
      <c r="C81" s="22"/>
      <c r="D81" s="610"/>
      <c r="E81" s="22"/>
      <c r="F81" s="22"/>
      <c r="G81" s="22"/>
      <c r="H81" s="22"/>
      <c r="I81" s="22"/>
      <c r="K81" s="21"/>
      <c r="L81" s="611"/>
    </row>
    <row r="82" spans="1:12" s="1" customFormat="1" x14ac:dyDescent="0.35">
      <c r="A82" s="1217" t="s">
        <v>394</v>
      </c>
      <c r="B82" s="1218"/>
      <c r="C82" s="1218"/>
      <c r="D82" s="1218"/>
      <c r="E82" s="1218"/>
      <c r="F82" s="1218"/>
      <c r="G82" s="1218"/>
      <c r="H82" s="1218"/>
      <c r="I82" s="1218"/>
      <c r="J82" s="1218"/>
      <c r="K82" s="1218"/>
      <c r="L82" s="1219"/>
    </row>
    <row r="83" spans="1:12" s="1" customFormat="1" ht="16" thickBot="1" x14ac:dyDescent="0.4">
      <c r="A83" s="585"/>
      <c r="B83" s="2"/>
      <c r="C83" s="5"/>
      <c r="D83" s="586"/>
      <c r="E83" s="5"/>
      <c r="F83" s="5"/>
      <c r="G83" s="5"/>
      <c r="H83" s="5"/>
      <c r="I83" s="5"/>
      <c r="J83" s="3"/>
      <c r="K83" s="21"/>
      <c r="L83" s="637"/>
    </row>
    <row r="84" spans="1:12" s="1" customFormat="1" ht="21" customHeight="1" x14ac:dyDescent="0.35">
      <c r="A84" s="1206" t="s">
        <v>302</v>
      </c>
      <c r="B84" s="1208" t="s">
        <v>28</v>
      </c>
      <c r="C84" s="1210" t="s">
        <v>343</v>
      </c>
      <c r="D84" s="613"/>
      <c r="E84" s="1212" t="s">
        <v>305</v>
      </c>
      <c r="F84" s="1212"/>
      <c r="G84" s="1212"/>
      <c r="H84" s="1212"/>
      <c r="I84" s="1212"/>
      <c r="J84" s="1208" t="s">
        <v>29</v>
      </c>
      <c r="K84" s="1213" t="s">
        <v>306</v>
      </c>
      <c r="L84" s="1226" t="s">
        <v>307</v>
      </c>
    </row>
    <row r="85" spans="1:12" s="1" customFormat="1" ht="21" customHeight="1" thickBot="1" x14ac:dyDescent="0.4">
      <c r="A85" s="1207"/>
      <c r="B85" s="1209"/>
      <c r="C85" s="1211"/>
      <c r="D85" s="614"/>
      <c r="E85" s="7" t="s">
        <v>308</v>
      </c>
      <c r="F85" s="7" t="s">
        <v>309</v>
      </c>
      <c r="G85" s="7" t="s">
        <v>310</v>
      </c>
      <c r="H85" s="7" t="s">
        <v>311</v>
      </c>
      <c r="I85" s="7" t="s">
        <v>312</v>
      </c>
      <c r="J85" s="1209"/>
      <c r="K85" s="1214"/>
      <c r="L85" s="1227"/>
    </row>
    <row r="86" spans="1:12" s="642" customFormat="1" ht="36.75" customHeight="1" x14ac:dyDescent="0.35">
      <c r="A86" s="638">
        <v>108</v>
      </c>
      <c r="B86" s="24" t="s">
        <v>395</v>
      </c>
      <c r="C86" s="639">
        <f>E86+F86+G86+H86+I86</f>
        <v>3.28</v>
      </c>
      <c r="D86" s="640">
        <f>'[23]road inventory 2018'!C86</f>
        <v>3.1</v>
      </c>
      <c r="E86" s="639">
        <v>0.48</v>
      </c>
      <c r="F86" s="639">
        <v>0</v>
      </c>
      <c r="G86" s="639">
        <v>0</v>
      </c>
      <c r="H86" s="110">
        <v>2.8</v>
      </c>
      <c r="I86" s="110">
        <v>0</v>
      </c>
      <c r="J86" s="24" t="s">
        <v>12</v>
      </c>
      <c r="K86" s="591" t="s">
        <v>396</v>
      </c>
      <c r="L86" s="592"/>
    </row>
    <row r="87" spans="1:12" s="1" customFormat="1" ht="26.25" customHeight="1" thickBot="1" x14ac:dyDescent="0.4">
      <c r="A87" s="53" t="s">
        <v>341</v>
      </c>
      <c r="B87" s="34"/>
      <c r="C87" s="31">
        <f>SUM(C86:C86)</f>
        <v>3.28</v>
      </c>
      <c r="D87" s="630"/>
      <c r="E87" s="31">
        <f>SUM(E86:E86)</f>
        <v>0.48</v>
      </c>
      <c r="F87" s="31">
        <f>SUM(F86:F86)</f>
        <v>0</v>
      </c>
      <c r="G87" s="31">
        <f>SUM(G86:G86)</f>
        <v>0</v>
      </c>
      <c r="H87" s="31">
        <f>SUM(H86:H86)</f>
        <v>2.8</v>
      </c>
      <c r="I87" s="31">
        <f>SUM(I86:I86)</f>
        <v>0</v>
      </c>
      <c r="J87" s="643"/>
      <c r="K87" s="644"/>
      <c r="L87" s="40"/>
    </row>
    <row r="88" spans="1:12" s="1" customFormat="1" ht="14.25" customHeight="1" thickBot="1" x14ac:dyDescent="0.4">
      <c r="A88" s="95"/>
      <c r="B88" s="37"/>
      <c r="C88" s="38"/>
      <c r="D88" s="645"/>
      <c r="E88" s="38"/>
      <c r="F88" s="38"/>
      <c r="G88" s="38"/>
      <c r="H88" s="38"/>
      <c r="I88" s="38"/>
      <c r="J88" s="3"/>
      <c r="K88" s="2"/>
      <c r="L88" s="646"/>
    </row>
    <row r="89" spans="1:12" s="1" customFormat="1" x14ac:dyDescent="0.35">
      <c r="A89" s="1217" t="s">
        <v>397</v>
      </c>
      <c r="B89" s="1218"/>
      <c r="C89" s="1218"/>
      <c r="D89" s="1218"/>
      <c r="E89" s="1218"/>
      <c r="F89" s="1218"/>
      <c r="G89" s="1218"/>
      <c r="H89" s="1218"/>
      <c r="I89" s="1218"/>
      <c r="J89" s="1218"/>
      <c r="K89" s="1218"/>
      <c r="L89" s="1219"/>
    </row>
    <row r="90" spans="1:12" s="1" customFormat="1" ht="16" thickBot="1" x14ac:dyDescent="0.4">
      <c r="A90" s="585"/>
      <c r="B90" s="2"/>
      <c r="C90" s="5"/>
      <c r="D90" s="586"/>
      <c r="E90" s="5"/>
      <c r="F90" s="5"/>
      <c r="G90" s="5"/>
      <c r="H90" s="5"/>
      <c r="I90" s="5"/>
      <c r="J90" s="3"/>
      <c r="K90" s="21"/>
      <c r="L90" s="97"/>
    </row>
    <row r="91" spans="1:12" s="1" customFormat="1" ht="21" customHeight="1" x14ac:dyDescent="0.35">
      <c r="A91" s="1206" t="s">
        <v>302</v>
      </c>
      <c r="B91" s="1208" t="s">
        <v>28</v>
      </c>
      <c r="C91" s="1210" t="s">
        <v>343</v>
      </c>
      <c r="D91" s="613"/>
      <c r="E91" s="1212" t="s">
        <v>305</v>
      </c>
      <c r="F91" s="1212"/>
      <c r="G91" s="1212"/>
      <c r="H91" s="1212"/>
      <c r="I91" s="1212"/>
      <c r="J91" s="1208" t="s">
        <v>29</v>
      </c>
      <c r="K91" s="1213" t="s">
        <v>306</v>
      </c>
      <c r="L91" s="1226" t="s">
        <v>307</v>
      </c>
    </row>
    <row r="92" spans="1:12" s="1" customFormat="1" ht="21" customHeight="1" thickBot="1" x14ac:dyDescent="0.4">
      <c r="A92" s="1207"/>
      <c r="B92" s="1209"/>
      <c r="C92" s="1211"/>
      <c r="D92" s="614"/>
      <c r="E92" s="7" t="s">
        <v>308</v>
      </c>
      <c r="F92" s="7" t="s">
        <v>309</v>
      </c>
      <c r="G92" s="7" t="s">
        <v>310</v>
      </c>
      <c r="H92" s="7" t="s">
        <v>311</v>
      </c>
      <c r="I92" s="7" t="s">
        <v>312</v>
      </c>
      <c r="J92" s="1209"/>
      <c r="K92" s="1214"/>
      <c r="L92" s="1227"/>
    </row>
    <row r="93" spans="1:12" s="1" customFormat="1" ht="16.5" customHeight="1" x14ac:dyDescent="0.35">
      <c r="A93" s="596">
        <v>223</v>
      </c>
      <c r="B93" s="28" t="s">
        <v>42</v>
      </c>
      <c r="C93" s="10">
        <f>SUM(E93:I93)</f>
        <v>4.18</v>
      </c>
      <c r="D93" s="615">
        <f>'[23]road inventory 2018'!C93</f>
        <v>4.0999999999999996</v>
      </c>
      <c r="E93" s="10">
        <v>0</v>
      </c>
      <c r="F93" s="10">
        <v>0</v>
      </c>
      <c r="G93" s="10">
        <v>0</v>
      </c>
      <c r="H93" s="10">
        <v>4.18</v>
      </c>
      <c r="I93" s="10">
        <v>0</v>
      </c>
      <c r="J93" s="103" t="s">
        <v>33</v>
      </c>
      <c r="K93" s="597" t="s">
        <v>398</v>
      </c>
      <c r="L93" s="112"/>
    </row>
    <row r="94" spans="1:12" s="1" customFormat="1" ht="16.5" customHeight="1" x14ac:dyDescent="0.35">
      <c r="A94" s="596">
        <v>224</v>
      </c>
      <c r="B94" s="28" t="s">
        <v>44</v>
      </c>
      <c r="C94" s="10">
        <f t="shared" ref="C94:C102" si="6">SUM(E94:I94)</f>
        <v>7.24</v>
      </c>
      <c r="D94" s="615">
        <f>'[23]road inventory 2018'!C94</f>
        <v>7.2</v>
      </c>
      <c r="E94" s="10">
        <v>1.02</v>
      </c>
      <c r="F94" s="10">
        <v>0</v>
      </c>
      <c r="G94" s="10">
        <v>0</v>
      </c>
      <c r="H94" s="10">
        <v>6.22</v>
      </c>
      <c r="I94" s="10">
        <v>0</v>
      </c>
      <c r="J94" s="103" t="s">
        <v>12</v>
      </c>
      <c r="K94" s="597" t="s">
        <v>399</v>
      </c>
      <c r="L94" s="28"/>
    </row>
    <row r="95" spans="1:12" s="1" customFormat="1" ht="16.5" customHeight="1" x14ac:dyDescent="0.35">
      <c r="A95" s="596">
        <v>45</v>
      </c>
      <c r="B95" s="28" t="s">
        <v>400</v>
      </c>
      <c r="C95" s="10">
        <f t="shared" si="6"/>
        <v>7.44</v>
      </c>
      <c r="D95" s="615">
        <f>'[23]road inventory 2018'!C95</f>
        <v>7.8999999999999995</v>
      </c>
      <c r="E95" s="10">
        <v>0.71</v>
      </c>
      <c r="F95" s="10">
        <v>0</v>
      </c>
      <c r="G95" s="10">
        <v>0</v>
      </c>
      <c r="H95" s="10">
        <v>6.73</v>
      </c>
      <c r="I95" s="10">
        <v>0</v>
      </c>
      <c r="J95" s="103" t="s">
        <v>33</v>
      </c>
      <c r="K95" s="597" t="s">
        <v>401</v>
      </c>
      <c r="L95" s="28"/>
    </row>
    <row r="96" spans="1:12" s="26" customFormat="1" ht="16.5" customHeight="1" x14ac:dyDescent="0.35">
      <c r="A96" s="589">
        <v>217</v>
      </c>
      <c r="B96" s="24" t="s">
        <v>243</v>
      </c>
      <c r="C96" s="10">
        <f t="shared" si="6"/>
        <v>1.1399999999999999</v>
      </c>
      <c r="D96" s="615">
        <f>'[23]road inventory 2018'!C96</f>
        <v>1.1000000000000001</v>
      </c>
      <c r="E96" s="15">
        <v>1.1399999999999999</v>
      </c>
      <c r="F96" s="15">
        <v>0</v>
      </c>
      <c r="G96" s="15">
        <v>0</v>
      </c>
      <c r="H96" s="15">
        <v>0</v>
      </c>
      <c r="I96" s="15">
        <v>0</v>
      </c>
      <c r="J96" s="106" t="s">
        <v>10</v>
      </c>
      <c r="K96" s="591" t="s">
        <v>402</v>
      </c>
      <c r="L96" s="24"/>
    </row>
    <row r="97" spans="1:12" s="26" customFormat="1" ht="16.5" customHeight="1" x14ac:dyDescent="0.35">
      <c r="A97" s="589">
        <v>225</v>
      </c>
      <c r="B97" s="24" t="s">
        <v>403</v>
      </c>
      <c r="C97" s="10">
        <f t="shared" si="6"/>
        <v>0.36</v>
      </c>
      <c r="D97" s="615">
        <f>'[23]road inventory 2018'!C97</f>
        <v>0.4</v>
      </c>
      <c r="E97" s="15">
        <v>0</v>
      </c>
      <c r="F97" s="15">
        <v>0</v>
      </c>
      <c r="G97" s="15">
        <v>0</v>
      </c>
      <c r="H97" s="15">
        <v>0.36</v>
      </c>
      <c r="I97" s="15">
        <v>0</v>
      </c>
      <c r="J97" s="106" t="s">
        <v>10</v>
      </c>
      <c r="K97" s="591" t="s">
        <v>404</v>
      </c>
      <c r="L97" s="24"/>
    </row>
    <row r="98" spans="1:12" s="26" customFormat="1" ht="16.5" customHeight="1" x14ac:dyDescent="0.35">
      <c r="A98" s="589">
        <v>226</v>
      </c>
      <c r="B98" s="24" t="s">
        <v>45</v>
      </c>
      <c r="C98" s="10">
        <f t="shared" si="6"/>
        <v>4.01</v>
      </c>
      <c r="D98" s="615">
        <f>'[23]road inventory 2018'!C98</f>
        <v>4.8</v>
      </c>
      <c r="E98" s="15">
        <v>0.86</v>
      </c>
      <c r="F98" s="15">
        <v>0</v>
      </c>
      <c r="G98" s="15">
        <v>0</v>
      </c>
      <c r="H98" s="15">
        <v>3.15</v>
      </c>
      <c r="I98" s="15">
        <v>0</v>
      </c>
      <c r="J98" s="106" t="s">
        <v>10</v>
      </c>
      <c r="K98" s="591" t="s">
        <v>405</v>
      </c>
      <c r="L98" s="24"/>
    </row>
    <row r="99" spans="1:12" s="26" customFormat="1" ht="16.5" customHeight="1" x14ac:dyDescent="0.35">
      <c r="A99" s="589">
        <v>116</v>
      </c>
      <c r="B99" s="24" t="s">
        <v>47</v>
      </c>
      <c r="C99" s="10">
        <f t="shared" si="6"/>
        <v>12.3</v>
      </c>
      <c r="D99" s="615">
        <f>'[23]road inventory 2018'!C99</f>
        <v>12.3</v>
      </c>
      <c r="E99" s="15">
        <v>6.67</v>
      </c>
      <c r="F99" s="15">
        <v>0</v>
      </c>
      <c r="G99" s="15">
        <v>0</v>
      </c>
      <c r="H99" s="15">
        <v>5.63</v>
      </c>
      <c r="I99" s="15">
        <v>0</v>
      </c>
      <c r="J99" s="106" t="s">
        <v>12</v>
      </c>
      <c r="K99" s="591" t="s">
        <v>405</v>
      </c>
      <c r="L99" s="24"/>
    </row>
    <row r="100" spans="1:12" s="26" customFormat="1" ht="16.5" customHeight="1" x14ac:dyDescent="0.35">
      <c r="A100" s="589">
        <v>46</v>
      </c>
      <c r="B100" s="24" t="s">
        <v>406</v>
      </c>
      <c r="C100" s="10">
        <f t="shared" si="6"/>
        <v>1.3</v>
      </c>
      <c r="D100" s="615">
        <f>'[23]road inventory 2018'!C100</f>
        <v>1.3</v>
      </c>
      <c r="E100" s="15">
        <v>1.3</v>
      </c>
      <c r="F100" s="15">
        <v>0</v>
      </c>
      <c r="G100" s="15">
        <v>0</v>
      </c>
      <c r="H100" s="15">
        <v>0</v>
      </c>
      <c r="I100" s="15">
        <v>0</v>
      </c>
      <c r="J100" s="106" t="s">
        <v>10</v>
      </c>
      <c r="K100" s="591" t="s">
        <v>407</v>
      </c>
      <c r="L100" s="24"/>
    </row>
    <row r="101" spans="1:12" s="1" customFormat="1" ht="16.5" customHeight="1" x14ac:dyDescent="0.35">
      <c r="A101" s="596">
        <v>227</v>
      </c>
      <c r="B101" s="28" t="s">
        <v>408</v>
      </c>
      <c r="C101" s="10">
        <f t="shared" si="6"/>
        <v>7.43</v>
      </c>
      <c r="D101" s="615">
        <f>'[23]road inventory 2018'!C101</f>
        <v>7.2</v>
      </c>
      <c r="E101" s="10">
        <v>0</v>
      </c>
      <c r="F101" s="10">
        <v>0</v>
      </c>
      <c r="G101" s="10">
        <v>0</v>
      </c>
      <c r="H101" s="10">
        <v>7.43</v>
      </c>
      <c r="I101" s="10">
        <v>0</v>
      </c>
      <c r="J101" s="103" t="s">
        <v>33</v>
      </c>
      <c r="K101" s="597" t="s">
        <v>409</v>
      </c>
      <c r="L101" s="28"/>
    </row>
    <row r="102" spans="1:12" s="1" customFormat="1" ht="16.5" customHeight="1" x14ac:dyDescent="0.35">
      <c r="A102" s="596">
        <v>100</v>
      </c>
      <c r="B102" s="28" t="s">
        <v>50</v>
      </c>
      <c r="C102" s="10">
        <f t="shared" si="6"/>
        <v>7.8</v>
      </c>
      <c r="D102" s="615">
        <f>'[23]road inventory 2018'!C102</f>
        <v>7.8</v>
      </c>
      <c r="E102" s="10">
        <v>0.3</v>
      </c>
      <c r="F102" s="10">
        <v>0</v>
      </c>
      <c r="G102" s="10">
        <v>0</v>
      </c>
      <c r="H102" s="10">
        <v>7.5</v>
      </c>
      <c r="I102" s="10">
        <v>0</v>
      </c>
      <c r="J102" s="103" t="s">
        <v>41</v>
      </c>
      <c r="K102" s="597" t="s">
        <v>410</v>
      </c>
      <c r="L102" s="28"/>
    </row>
    <row r="103" spans="1:12" s="1" customFormat="1" ht="16.5" customHeight="1" x14ac:dyDescent="0.35">
      <c r="A103" s="635"/>
      <c r="B103" s="40"/>
      <c r="C103" s="41">
        <f t="shared" ref="C103:H103" si="7">SUM(C93:C102)</f>
        <v>53.199999999999996</v>
      </c>
      <c r="D103" s="627">
        <f t="shared" si="7"/>
        <v>54.099999999999994</v>
      </c>
      <c r="E103" s="41">
        <f t="shared" si="7"/>
        <v>12.000000000000002</v>
      </c>
      <c r="F103" s="41">
        <f t="shared" si="7"/>
        <v>0</v>
      </c>
      <c r="G103" s="41">
        <f t="shared" si="7"/>
        <v>0</v>
      </c>
      <c r="H103" s="41">
        <f t="shared" si="7"/>
        <v>41.199999999999996</v>
      </c>
      <c r="I103" s="41"/>
      <c r="J103" s="109"/>
      <c r="K103" s="605"/>
      <c r="L103" s="28"/>
    </row>
    <row r="104" spans="1:12" s="1" customFormat="1" ht="22.5" customHeight="1" thickBot="1" x14ac:dyDescent="0.4">
      <c r="A104" s="53" t="s">
        <v>341</v>
      </c>
      <c r="B104" s="34"/>
      <c r="C104" s="31">
        <f>E104+H104</f>
        <v>53.199999999999996</v>
      </c>
      <c r="D104" s="630"/>
      <c r="E104" s="31">
        <f>SUM(E93:E102)</f>
        <v>12.000000000000002</v>
      </c>
      <c r="F104" s="31">
        <f>SUM(F93:F102)</f>
        <v>0</v>
      </c>
      <c r="G104" s="31">
        <f>SUM(G93:G102)</f>
        <v>0</v>
      </c>
      <c r="H104" s="31">
        <f>SUM(H93:H102)</f>
        <v>41.199999999999996</v>
      </c>
      <c r="I104" s="31">
        <f>SUM(I93:I102)</f>
        <v>0</v>
      </c>
      <c r="J104" s="608"/>
      <c r="K104" s="609"/>
      <c r="L104" s="97"/>
    </row>
    <row r="105" spans="1:12" s="1" customFormat="1" ht="22.5" customHeight="1" x14ac:dyDescent="0.35">
      <c r="A105" s="544"/>
      <c r="B105" s="35"/>
      <c r="C105" s="22"/>
      <c r="D105" s="610"/>
      <c r="E105" s="22"/>
      <c r="F105" s="22"/>
      <c r="G105" s="22"/>
      <c r="H105" s="22"/>
      <c r="I105" s="22"/>
      <c r="K105" s="21"/>
      <c r="L105" s="647"/>
    </row>
    <row r="106" spans="1:12" s="1" customFormat="1" x14ac:dyDescent="0.35">
      <c r="A106" s="1203" t="s">
        <v>411</v>
      </c>
      <c r="B106" s="1204"/>
      <c r="C106" s="1204"/>
      <c r="D106" s="1204"/>
      <c r="E106" s="1204"/>
      <c r="F106" s="1204"/>
      <c r="G106" s="1204"/>
      <c r="H106" s="1204"/>
      <c r="I106" s="1204"/>
      <c r="J106" s="1204"/>
      <c r="K106" s="1204"/>
      <c r="L106" s="1205"/>
    </row>
    <row r="107" spans="1:12" s="1" customFormat="1" ht="16" thickBot="1" x14ac:dyDescent="0.4">
      <c r="A107" s="585"/>
      <c r="B107" s="2"/>
      <c r="C107" s="5"/>
      <c r="D107" s="586"/>
      <c r="E107" s="5"/>
      <c r="F107" s="5"/>
      <c r="G107" s="5"/>
      <c r="H107" s="5"/>
      <c r="I107" s="5"/>
      <c r="J107" s="3"/>
      <c r="K107" s="21"/>
      <c r="L107" s="631"/>
    </row>
    <row r="108" spans="1:12" s="1" customFormat="1" ht="21" customHeight="1" x14ac:dyDescent="0.35">
      <c r="A108" s="1206" t="s">
        <v>302</v>
      </c>
      <c r="B108" s="1208" t="s">
        <v>28</v>
      </c>
      <c r="C108" s="1210" t="s">
        <v>343</v>
      </c>
      <c r="D108" s="613"/>
      <c r="E108" s="1212" t="s">
        <v>305</v>
      </c>
      <c r="F108" s="1212"/>
      <c r="G108" s="1212"/>
      <c r="H108" s="1212"/>
      <c r="I108" s="1212"/>
      <c r="J108" s="1208" t="s">
        <v>29</v>
      </c>
      <c r="K108" s="1213" t="s">
        <v>306</v>
      </c>
      <c r="L108" s="1226" t="s">
        <v>307</v>
      </c>
    </row>
    <row r="109" spans="1:12" s="1" customFormat="1" ht="21" customHeight="1" thickBot="1" x14ac:dyDescent="0.4">
      <c r="A109" s="1207"/>
      <c r="B109" s="1209"/>
      <c r="C109" s="1211"/>
      <c r="D109" s="614"/>
      <c r="E109" s="7" t="s">
        <v>308</v>
      </c>
      <c r="F109" s="7" t="s">
        <v>309</v>
      </c>
      <c r="G109" s="7" t="s">
        <v>310</v>
      </c>
      <c r="H109" s="7" t="s">
        <v>311</v>
      </c>
      <c r="I109" s="7" t="s">
        <v>312</v>
      </c>
      <c r="J109" s="1209"/>
      <c r="K109" s="1214"/>
      <c r="L109" s="1227"/>
    </row>
    <row r="110" spans="1:12" s="26" customFormat="1" ht="16" customHeight="1" x14ac:dyDescent="0.35">
      <c r="A110" s="589">
        <v>48</v>
      </c>
      <c r="B110" s="43" t="s">
        <v>254</v>
      </c>
      <c r="C110" s="15">
        <f>SUM(E110:I110)</f>
        <v>2.19</v>
      </c>
      <c r="D110" s="590">
        <f>'[23]road inventory 2018'!C109</f>
        <v>2.1</v>
      </c>
      <c r="E110" s="15">
        <v>0</v>
      </c>
      <c r="F110" s="15">
        <v>0</v>
      </c>
      <c r="G110" s="15">
        <v>0</v>
      </c>
      <c r="H110" s="15">
        <v>2.19</v>
      </c>
      <c r="I110" s="15">
        <v>0</v>
      </c>
      <c r="J110" s="106" t="s">
        <v>12</v>
      </c>
      <c r="K110" s="591" t="s">
        <v>412</v>
      </c>
      <c r="L110" s="592"/>
    </row>
    <row r="111" spans="1:12" s="26" customFormat="1" ht="16" customHeight="1" x14ac:dyDescent="0.35">
      <c r="A111" s="589">
        <v>50</v>
      </c>
      <c r="B111" s="43" t="s">
        <v>255</v>
      </c>
      <c r="C111" s="15">
        <f t="shared" ref="C111:C141" si="8">SUM(E111:I111)</f>
        <v>7.69</v>
      </c>
      <c r="D111" s="590">
        <f>'[23]road inventory 2018'!C110</f>
        <v>7.6</v>
      </c>
      <c r="E111" s="15">
        <v>1.79</v>
      </c>
      <c r="F111" s="15">
        <v>0</v>
      </c>
      <c r="G111" s="15">
        <v>0</v>
      </c>
      <c r="H111" s="15">
        <v>5.9</v>
      </c>
      <c r="I111" s="15">
        <v>0</v>
      </c>
      <c r="J111" s="106" t="s">
        <v>12</v>
      </c>
      <c r="K111" s="591" t="s">
        <v>413</v>
      </c>
      <c r="L111" s="24"/>
    </row>
    <row r="112" spans="1:12" s="26" customFormat="1" ht="16" customHeight="1" x14ac:dyDescent="0.35">
      <c r="A112" s="589">
        <v>51</v>
      </c>
      <c r="B112" s="43" t="s">
        <v>248</v>
      </c>
      <c r="C112" s="15">
        <f t="shared" si="8"/>
        <v>3.96</v>
      </c>
      <c r="D112" s="590">
        <f>'[23]road inventory 2018'!C111</f>
        <v>3</v>
      </c>
      <c r="E112" s="15">
        <v>0</v>
      </c>
      <c r="F112" s="15">
        <v>0</v>
      </c>
      <c r="G112" s="15">
        <v>0</v>
      </c>
      <c r="H112" s="15">
        <v>3.96</v>
      </c>
      <c r="I112" s="15">
        <v>0</v>
      </c>
      <c r="J112" s="106" t="s">
        <v>12</v>
      </c>
      <c r="K112" s="591" t="s">
        <v>414</v>
      </c>
      <c r="L112" s="24"/>
    </row>
    <row r="113" spans="1:12" s="26" customFormat="1" ht="16" customHeight="1" x14ac:dyDescent="0.35">
      <c r="A113" s="589">
        <v>52</v>
      </c>
      <c r="B113" s="43" t="s">
        <v>251</v>
      </c>
      <c r="C113" s="15">
        <f t="shared" si="8"/>
        <v>6.64</v>
      </c>
      <c r="D113" s="590">
        <f>'[23]road inventory 2018'!C112</f>
        <v>6.5</v>
      </c>
      <c r="E113" s="15">
        <v>0</v>
      </c>
      <c r="F113" s="15">
        <v>0</v>
      </c>
      <c r="G113" s="15">
        <v>0</v>
      </c>
      <c r="H113" s="15">
        <v>6.64</v>
      </c>
      <c r="I113" s="15">
        <v>0</v>
      </c>
      <c r="J113" s="106" t="s">
        <v>12</v>
      </c>
      <c r="K113" s="591" t="s">
        <v>415</v>
      </c>
      <c r="L113" s="24"/>
    </row>
    <row r="114" spans="1:12" s="26" customFormat="1" ht="16" customHeight="1" x14ac:dyDescent="0.35">
      <c r="A114" s="589">
        <v>53</v>
      </c>
      <c r="B114" s="43" t="s">
        <v>249</v>
      </c>
      <c r="C114" s="15">
        <f t="shared" si="8"/>
        <v>6.46</v>
      </c>
      <c r="D114" s="590">
        <f>'[23]road inventory 2018'!C113</f>
        <v>6.4</v>
      </c>
      <c r="E114" s="15">
        <v>5.64</v>
      </c>
      <c r="F114" s="15">
        <v>0</v>
      </c>
      <c r="G114" s="15">
        <v>0</v>
      </c>
      <c r="H114" s="15">
        <v>0.82</v>
      </c>
      <c r="I114" s="15">
        <v>0</v>
      </c>
      <c r="J114" s="106" t="s">
        <v>12</v>
      </c>
      <c r="K114" s="591" t="s">
        <v>416</v>
      </c>
      <c r="L114" s="24"/>
    </row>
    <row r="115" spans="1:12" s="26" customFormat="1" ht="16" customHeight="1" x14ac:dyDescent="0.35">
      <c r="A115" s="589">
        <v>54</v>
      </c>
      <c r="B115" s="43" t="s">
        <v>252</v>
      </c>
      <c r="C115" s="15">
        <f t="shared" si="8"/>
        <v>1.69</v>
      </c>
      <c r="D115" s="590">
        <f>'[23]road inventory 2018'!C114</f>
        <v>1.6</v>
      </c>
      <c r="E115" s="15">
        <v>1.18</v>
      </c>
      <c r="F115" s="15">
        <v>0</v>
      </c>
      <c r="G115" s="15">
        <v>0</v>
      </c>
      <c r="H115" s="15">
        <v>0.51</v>
      </c>
      <c r="I115" s="15">
        <v>0</v>
      </c>
      <c r="J115" s="106" t="s">
        <v>10</v>
      </c>
      <c r="K115" s="591" t="s">
        <v>417</v>
      </c>
      <c r="L115" s="24"/>
    </row>
    <row r="116" spans="1:12" s="26" customFormat="1" ht="16" customHeight="1" x14ac:dyDescent="0.35">
      <c r="A116" s="589">
        <v>103</v>
      </c>
      <c r="B116" s="43" t="s">
        <v>245</v>
      </c>
      <c r="C116" s="15">
        <f t="shared" si="8"/>
        <v>1.27</v>
      </c>
      <c r="D116" s="590">
        <f>'[23]road inventory 2018'!C115</f>
        <v>1.2</v>
      </c>
      <c r="E116" s="15">
        <v>0.19</v>
      </c>
      <c r="F116" s="15">
        <v>0</v>
      </c>
      <c r="G116" s="15">
        <v>0</v>
      </c>
      <c r="H116" s="15">
        <v>1.08</v>
      </c>
      <c r="I116" s="15">
        <v>0</v>
      </c>
      <c r="J116" s="106" t="s">
        <v>10</v>
      </c>
      <c r="K116" s="591" t="s">
        <v>418</v>
      </c>
      <c r="L116" s="24"/>
    </row>
    <row r="117" spans="1:12" s="26" customFormat="1" ht="16" customHeight="1" x14ac:dyDescent="0.35">
      <c r="A117" s="589">
        <v>55</v>
      </c>
      <c r="B117" s="43" t="s">
        <v>244</v>
      </c>
      <c r="C117" s="15">
        <f t="shared" si="8"/>
        <v>4.18</v>
      </c>
      <c r="D117" s="590">
        <f>'[23]road inventory 2018'!C116</f>
        <v>4.0999999999999996</v>
      </c>
      <c r="E117" s="15">
        <v>0</v>
      </c>
      <c r="F117" s="15">
        <v>0</v>
      </c>
      <c r="G117" s="15">
        <v>0</v>
      </c>
      <c r="H117" s="15">
        <v>4.18</v>
      </c>
      <c r="I117" s="15">
        <v>0</v>
      </c>
      <c r="J117" s="106" t="s">
        <v>12</v>
      </c>
      <c r="K117" s="591" t="s">
        <v>419</v>
      </c>
      <c r="L117" s="24"/>
    </row>
    <row r="118" spans="1:12" s="26" customFormat="1" ht="16" customHeight="1" x14ac:dyDescent="0.35">
      <c r="A118" s="589">
        <v>57</v>
      </c>
      <c r="B118" s="43" t="s">
        <v>268</v>
      </c>
      <c r="C118" s="15">
        <f t="shared" si="8"/>
        <v>1.36</v>
      </c>
      <c r="D118" s="590">
        <f>'[23]road inventory 2018'!C117</f>
        <v>1.3</v>
      </c>
      <c r="E118" s="15">
        <v>0.3</v>
      </c>
      <c r="F118" s="15">
        <v>0</v>
      </c>
      <c r="G118" s="15">
        <v>0</v>
      </c>
      <c r="H118" s="15">
        <v>1.06</v>
      </c>
      <c r="I118" s="15">
        <v>0</v>
      </c>
      <c r="J118" s="106" t="s">
        <v>12</v>
      </c>
      <c r="K118" s="591" t="s">
        <v>420</v>
      </c>
      <c r="L118" s="24"/>
    </row>
    <row r="119" spans="1:12" s="1" customFormat="1" ht="16" customHeight="1" x14ac:dyDescent="0.35">
      <c r="A119" s="596">
        <v>58</v>
      </c>
      <c r="B119" s="45" t="s">
        <v>421</v>
      </c>
      <c r="C119" s="15">
        <f t="shared" si="8"/>
        <v>0.36</v>
      </c>
      <c r="D119" s="590">
        <f>'[23]road inventory 2018'!C118</f>
        <v>0.3</v>
      </c>
      <c r="E119" s="10">
        <v>0</v>
      </c>
      <c r="F119" s="10">
        <v>0</v>
      </c>
      <c r="G119" s="10">
        <v>0</v>
      </c>
      <c r="H119" s="10">
        <v>0.36</v>
      </c>
      <c r="I119" s="10">
        <v>0</v>
      </c>
      <c r="J119" s="103" t="s">
        <v>33</v>
      </c>
      <c r="K119" s="597" t="s">
        <v>422</v>
      </c>
      <c r="L119" s="28"/>
    </row>
    <row r="120" spans="1:12" s="1" customFormat="1" ht="16" customHeight="1" x14ac:dyDescent="0.35">
      <c r="A120" s="596">
        <v>59</v>
      </c>
      <c r="B120" s="45" t="s">
        <v>262</v>
      </c>
      <c r="C120" s="15">
        <f t="shared" si="8"/>
        <v>0.8</v>
      </c>
      <c r="D120" s="590">
        <f>'[23]road inventory 2018'!C119</f>
        <v>0.8</v>
      </c>
      <c r="E120" s="10">
        <v>0</v>
      </c>
      <c r="F120" s="10">
        <v>0</v>
      </c>
      <c r="G120" s="10">
        <v>0</v>
      </c>
      <c r="H120" s="10">
        <v>0.8</v>
      </c>
      <c r="I120" s="10">
        <v>0</v>
      </c>
      <c r="J120" s="103" t="s">
        <v>33</v>
      </c>
      <c r="K120" s="597" t="s">
        <v>422</v>
      </c>
      <c r="L120" s="28"/>
    </row>
    <row r="121" spans="1:12" s="26" customFormat="1" ht="16" customHeight="1" x14ac:dyDescent="0.35">
      <c r="A121" s="589">
        <v>97</v>
      </c>
      <c r="B121" s="43" t="s">
        <v>51</v>
      </c>
      <c r="C121" s="15">
        <f t="shared" si="8"/>
        <v>8.4499999999999993</v>
      </c>
      <c r="D121" s="590">
        <f>'[23]road inventory 2018'!C120</f>
        <v>8.3000000000000007</v>
      </c>
      <c r="E121" s="15">
        <v>8.4499999999999993</v>
      </c>
      <c r="F121" s="15">
        <v>0</v>
      </c>
      <c r="G121" s="15">
        <v>0</v>
      </c>
      <c r="H121" s="15">
        <v>0</v>
      </c>
      <c r="I121" s="15">
        <v>0</v>
      </c>
      <c r="J121" s="106" t="s">
        <v>10</v>
      </c>
      <c r="K121" s="591" t="s">
        <v>423</v>
      </c>
      <c r="L121" s="24"/>
    </row>
    <row r="122" spans="1:12" s="26" customFormat="1" ht="16" customHeight="1" x14ac:dyDescent="0.35">
      <c r="A122" s="589">
        <v>56</v>
      </c>
      <c r="B122" s="43" t="s">
        <v>250</v>
      </c>
      <c r="C122" s="15">
        <f t="shared" si="8"/>
        <v>5.7200000000000006</v>
      </c>
      <c r="D122" s="590">
        <f>'[23]road inventory 2018'!C121</f>
        <v>5.7</v>
      </c>
      <c r="E122" s="15">
        <v>1.73</v>
      </c>
      <c r="F122" s="15">
        <v>0</v>
      </c>
      <c r="G122" s="15">
        <v>0</v>
      </c>
      <c r="H122" s="15">
        <v>3.99</v>
      </c>
      <c r="I122" s="15">
        <v>0</v>
      </c>
      <c r="J122" s="106" t="s">
        <v>12</v>
      </c>
      <c r="K122" s="591" t="s">
        <v>414</v>
      </c>
      <c r="L122" s="24"/>
    </row>
    <row r="123" spans="1:12" s="26" customFormat="1" ht="16" customHeight="1" x14ac:dyDescent="0.35">
      <c r="A123" s="589">
        <v>60</v>
      </c>
      <c r="B123" s="43" t="s">
        <v>253</v>
      </c>
      <c r="C123" s="15">
        <f t="shared" si="8"/>
        <v>9.1999999999999993</v>
      </c>
      <c r="D123" s="590">
        <f>'[23]road inventory 2018'!C122</f>
        <v>9.1999999999999993</v>
      </c>
      <c r="E123" s="15">
        <v>7.1</v>
      </c>
      <c r="F123" s="15">
        <v>0</v>
      </c>
      <c r="G123" s="15">
        <v>0</v>
      </c>
      <c r="H123" s="15">
        <v>2.1</v>
      </c>
      <c r="I123" s="15">
        <v>0</v>
      </c>
      <c r="J123" s="106" t="s">
        <v>10</v>
      </c>
      <c r="K123" s="591" t="s">
        <v>424</v>
      </c>
      <c r="L123" s="24"/>
    </row>
    <row r="124" spans="1:12" s="26" customFormat="1" ht="16" customHeight="1" x14ac:dyDescent="0.35">
      <c r="A124" s="589">
        <v>61</v>
      </c>
      <c r="B124" s="43" t="s">
        <v>260</v>
      </c>
      <c r="C124" s="15">
        <f t="shared" si="8"/>
        <v>4.5</v>
      </c>
      <c r="D124" s="590">
        <f>'[23]road inventory 2018'!C123</f>
        <v>4.5</v>
      </c>
      <c r="E124" s="15">
        <v>1.63</v>
      </c>
      <c r="F124" s="15">
        <v>0</v>
      </c>
      <c r="G124" s="15">
        <v>0</v>
      </c>
      <c r="H124" s="15">
        <v>2.87</v>
      </c>
      <c r="I124" s="15">
        <v>0</v>
      </c>
      <c r="J124" s="106" t="s">
        <v>10</v>
      </c>
      <c r="K124" s="591" t="s">
        <v>425</v>
      </c>
      <c r="L124" s="24"/>
    </row>
    <row r="125" spans="1:12" s="26" customFormat="1" ht="16" customHeight="1" x14ac:dyDescent="0.35">
      <c r="A125" s="589">
        <v>62</v>
      </c>
      <c r="B125" s="43" t="s">
        <v>269</v>
      </c>
      <c r="C125" s="15">
        <f t="shared" si="8"/>
        <v>3.03</v>
      </c>
      <c r="D125" s="590">
        <f>'[23]road inventory 2018'!C124</f>
        <v>2</v>
      </c>
      <c r="E125" s="15">
        <v>0</v>
      </c>
      <c r="F125" s="15">
        <v>0</v>
      </c>
      <c r="G125" s="15">
        <v>0</v>
      </c>
      <c r="H125" s="15">
        <v>3.03</v>
      </c>
      <c r="I125" s="15">
        <v>0</v>
      </c>
      <c r="J125" s="106" t="s">
        <v>12</v>
      </c>
      <c r="K125" s="591" t="s">
        <v>426</v>
      </c>
      <c r="L125" s="24"/>
    </row>
    <row r="126" spans="1:12" s="26" customFormat="1" ht="16" customHeight="1" x14ac:dyDescent="0.35">
      <c r="A126" s="589">
        <v>63</v>
      </c>
      <c r="B126" s="43" t="s">
        <v>265</v>
      </c>
      <c r="C126" s="15">
        <f t="shared" si="8"/>
        <v>3.04</v>
      </c>
      <c r="D126" s="590">
        <f>'[23]road inventory 2018'!C125</f>
        <v>3</v>
      </c>
      <c r="E126" s="15">
        <v>0.11</v>
      </c>
      <c r="F126" s="15">
        <v>0</v>
      </c>
      <c r="G126" s="15">
        <v>0</v>
      </c>
      <c r="H126" s="15">
        <v>2.93</v>
      </c>
      <c r="I126" s="15">
        <v>0</v>
      </c>
      <c r="J126" s="106" t="s">
        <v>12</v>
      </c>
      <c r="K126" s="591" t="s">
        <v>427</v>
      </c>
      <c r="L126" s="24"/>
    </row>
    <row r="127" spans="1:12" s="26" customFormat="1" ht="16" customHeight="1" x14ac:dyDescent="0.35">
      <c r="A127" s="589">
        <v>98</v>
      </c>
      <c r="B127" s="43" t="s">
        <v>247</v>
      </c>
      <c r="C127" s="15">
        <f t="shared" si="8"/>
        <v>5.18</v>
      </c>
      <c r="D127" s="590">
        <f>'[23]road inventory 2018'!C126</f>
        <v>5.1000000000000005</v>
      </c>
      <c r="E127" s="15">
        <v>5.08</v>
      </c>
      <c r="F127" s="15">
        <v>0</v>
      </c>
      <c r="G127" s="15">
        <v>0</v>
      </c>
      <c r="H127" s="15">
        <v>0.1</v>
      </c>
      <c r="I127" s="15">
        <v>0</v>
      </c>
      <c r="J127" s="106" t="s">
        <v>12</v>
      </c>
      <c r="K127" s="591" t="s">
        <v>428</v>
      </c>
      <c r="L127" s="24"/>
    </row>
    <row r="128" spans="1:12" s="26" customFormat="1" ht="16" customHeight="1" x14ac:dyDescent="0.35">
      <c r="A128" s="589">
        <v>64</v>
      </c>
      <c r="B128" s="43" t="s">
        <v>246</v>
      </c>
      <c r="C128" s="15">
        <f t="shared" si="8"/>
        <v>3.64</v>
      </c>
      <c r="D128" s="590">
        <f>'[23]road inventory 2018'!C127</f>
        <v>3.6</v>
      </c>
      <c r="E128" s="15">
        <v>2.41</v>
      </c>
      <c r="F128" s="15">
        <v>0</v>
      </c>
      <c r="G128" s="15">
        <v>0</v>
      </c>
      <c r="H128" s="15">
        <v>1.23</v>
      </c>
      <c r="I128" s="15">
        <v>0</v>
      </c>
      <c r="J128" s="106" t="s">
        <v>12</v>
      </c>
      <c r="K128" s="591" t="s">
        <v>429</v>
      </c>
      <c r="L128" s="24"/>
    </row>
    <row r="129" spans="1:12" s="26" customFormat="1" ht="16" customHeight="1" x14ac:dyDescent="0.35">
      <c r="A129" s="589">
        <v>96</v>
      </c>
      <c r="B129" s="43" t="s">
        <v>270</v>
      </c>
      <c r="C129" s="15">
        <f t="shared" si="8"/>
        <v>5.7299999999999995</v>
      </c>
      <c r="D129" s="590">
        <f>'[23]road inventory 2018'!C128</f>
        <v>5.6999999999999993</v>
      </c>
      <c r="E129" s="15">
        <v>0.3</v>
      </c>
      <c r="F129" s="15">
        <v>0</v>
      </c>
      <c r="G129" s="15">
        <v>0</v>
      </c>
      <c r="H129" s="15">
        <v>5.43</v>
      </c>
      <c r="I129" s="15">
        <v>0</v>
      </c>
      <c r="J129" s="106" t="s">
        <v>12</v>
      </c>
      <c r="K129" s="591" t="s">
        <v>430</v>
      </c>
      <c r="L129" s="24"/>
    </row>
    <row r="130" spans="1:12" s="26" customFormat="1" ht="16" customHeight="1" x14ac:dyDescent="0.35">
      <c r="A130" s="589">
        <v>65</v>
      </c>
      <c r="B130" s="43" t="s">
        <v>261</v>
      </c>
      <c r="C130" s="15">
        <f t="shared" si="8"/>
        <v>2.7</v>
      </c>
      <c r="D130" s="590">
        <f>'[23]road inventory 2018'!C129</f>
        <v>1.65</v>
      </c>
      <c r="E130" s="15">
        <v>0</v>
      </c>
      <c r="F130" s="15">
        <v>0</v>
      </c>
      <c r="G130" s="15">
        <v>0</v>
      </c>
      <c r="H130" s="15">
        <v>2.7</v>
      </c>
      <c r="I130" s="15">
        <v>0</v>
      </c>
      <c r="J130" s="106" t="s">
        <v>12</v>
      </c>
      <c r="K130" s="591" t="s">
        <v>431</v>
      </c>
      <c r="L130" s="24"/>
    </row>
    <row r="131" spans="1:12" s="26" customFormat="1" ht="16" customHeight="1" x14ac:dyDescent="0.35">
      <c r="A131" s="589">
        <v>66</v>
      </c>
      <c r="B131" s="43" t="s">
        <v>432</v>
      </c>
      <c r="C131" s="15">
        <f t="shared" si="8"/>
        <v>3.8400000000000003</v>
      </c>
      <c r="D131" s="590">
        <f>'[23]road inventory 2018'!C130</f>
        <v>3.8000000000000003</v>
      </c>
      <c r="E131" s="15">
        <v>0.1</v>
      </c>
      <c r="F131" s="15">
        <v>0</v>
      </c>
      <c r="G131" s="15">
        <v>0</v>
      </c>
      <c r="H131" s="15">
        <v>3.74</v>
      </c>
      <c r="I131" s="15">
        <v>0</v>
      </c>
      <c r="J131" s="106" t="s">
        <v>12</v>
      </c>
      <c r="K131" s="591" t="s">
        <v>433</v>
      </c>
      <c r="L131" s="24"/>
    </row>
    <row r="132" spans="1:12" s="1" customFormat="1" ht="16" customHeight="1" x14ac:dyDescent="0.35">
      <c r="A132" s="596">
        <v>67</v>
      </c>
      <c r="B132" s="45" t="s">
        <v>267</v>
      </c>
      <c r="C132" s="15">
        <f t="shared" si="8"/>
        <v>1.9</v>
      </c>
      <c r="D132" s="590">
        <f>'[23]road inventory 2018'!C131</f>
        <v>1.9</v>
      </c>
      <c r="E132" s="10">
        <v>0</v>
      </c>
      <c r="F132" s="10">
        <v>0</v>
      </c>
      <c r="G132" s="10">
        <v>0</v>
      </c>
      <c r="H132" s="10">
        <v>1.9</v>
      </c>
      <c r="I132" s="10">
        <v>0</v>
      </c>
      <c r="J132" s="103" t="s">
        <v>33</v>
      </c>
      <c r="K132" s="597" t="s">
        <v>434</v>
      </c>
      <c r="L132" s="28"/>
    </row>
    <row r="133" spans="1:12" s="1" customFormat="1" ht="16" customHeight="1" x14ac:dyDescent="0.35">
      <c r="A133" s="596">
        <v>68</v>
      </c>
      <c r="B133" s="45" t="s">
        <v>266</v>
      </c>
      <c r="C133" s="15">
        <f t="shared" si="8"/>
        <v>1.65</v>
      </c>
      <c r="D133" s="590">
        <f>'[23]road inventory 2018'!C132</f>
        <v>1.5999999999999999</v>
      </c>
      <c r="E133" s="10">
        <v>0.25</v>
      </c>
      <c r="F133" s="10">
        <v>0</v>
      </c>
      <c r="G133" s="10">
        <v>0</v>
      </c>
      <c r="H133" s="10">
        <v>1.4</v>
      </c>
      <c r="I133" s="10">
        <v>0</v>
      </c>
      <c r="J133" s="103" t="s">
        <v>33</v>
      </c>
      <c r="K133" s="597" t="s">
        <v>434</v>
      </c>
      <c r="L133" s="28"/>
    </row>
    <row r="134" spans="1:12" s="26" customFormat="1" ht="16" customHeight="1" thickBot="1" x14ac:dyDescent="0.4">
      <c r="A134" s="649">
        <v>69</v>
      </c>
      <c r="B134" s="650" t="s">
        <v>264</v>
      </c>
      <c r="C134" s="15">
        <f t="shared" si="8"/>
        <v>1.68</v>
      </c>
      <c r="D134" s="590">
        <f>'[23]road inventory 2018'!C133</f>
        <v>1.6</v>
      </c>
      <c r="E134" s="65">
        <v>0</v>
      </c>
      <c r="F134" s="65">
        <v>0</v>
      </c>
      <c r="G134" s="65">
        <v>0</v>
      </c>
      <c r="H134" s="65">
        <v>1.68</v>
      </c>
      <c r="I134" s="65">
        <v>0</v>
      </c>
      <c r="J134" s="651" t="s">
        <v>12</v>
      </c>
      <c r="K134" s="652" t="s">
        <v>435</v>
      </c>
      <c r="L134" s="24"/>
    </row>
    <row r="135" spans="1:12" s="26" customFormat="1" ht="16" customHeight="1" x14ac:dyDescent="0.35">
      <c r="A135" s="589">
        <v>70</v>
      </c>
      <c r="B135" s="43" t="s">
        <v>263</v>
      </c>
      <c r="C135" s="15">
        <f t="shared" si="8"/>
        <v>2.77</v>
      </c>
      <c r="D135" s="590">
        <f>'[23]road inventory 2018'!C136</f>
        <v>2.6</v>
      </c>
      <c r="E135" s="15">
        <v>0</v>
      </c>
      <c r="F135" s="15">
        <v>0</v>
      </c>
      <c r="G135" s="15">
        <v>0</v>
      </c>
      <c r="H135" s="15">
        <v>2.77</v>
      </c>
      <c r="I135" s="15">
        <v>0</v>
      </c>
      <c r="J135" s="106" t="s">
        <v>12</v>
      </c>
      <c r="K135" s="591" t="s">
        <v>436</v>
      </c>
      <c r="L135" s="24"/>
    </row>
    <row r="136" spans="1:12" s="26" customFormat="1" ht="16" customHeight="1" x14ac:dyDescent="0.35">
      <c r="A136" s="589">
        <v>71</v>
      </c>
      <c r="B136" s="43" t="s">
        <v>54</v>
      </c>
      <c r="C136" s="15">
        <f t="shared" si="8"/>
        <v>2.69</v>
      </c>
      <c r="D136" s="590">
        <f>'[23]road inventory 2018'!C137</f>
        <v>2.7</v>
      </c>
      <c r="E136" s="15">
        <v>0</v>
      </c>
      <c r="F136" s="15">
        <v>0</v>
      </c>
      <c r="G136" s="15">
        <v>0</v>
      </c>
      <c r="H136" s="15">
        <v>2.69</v>
      </c>
      <c r="I136" s="15">
        <v>0</v>
      </c>
      <c r="J136" s="106" t="s">
        <v>12</v>
      </c>
      <c r="K136" s="591" t="s">
        <v>437</v>
      </c>
      <c r="L136" s="24"/>
    </row>
    <row r="137" spans="1:12" s="26" customFormat="1" ht="16" customHeight="1" x14ac:dyDescent="0.35">
      <c r="A137" s="589">
        <v>72</v>
      </c>
      <c r="B137" s="43" t="s">
        <v>56</v>
      </c>
      <c r="C137" s="15">
        <f t="shared" si="8"/>
        <v>1.8900000000000001</v>
      </c>
      <c r="D137" s="590">
        <f>'[23]road inventory 2018'!C138</f>
        <v>1.7</v>
      </c>
      <c r="E137" s="15">
        <v>0.83</v>
      </c>
      <c r="F137" s="15">
        <v>0</v>
      </c>
      <c r="G137" s="15">
        <v>0</v>
      </c>
      <c r="H137" s="15">
        <v>1.06</v>
      </c>
      <c r="I137" s="15">
        <v>0</v>
      </c>
      <c r="J137" s="106" t="s">
        <v>12</v>
      </c>
      <c r="K137" s="591" t="s">
        <v>438</v>
      </c>
      <c r="L137" s="24"/>
    </row>
    <row r="138" spans="1:12" s="26" customFormat="1" ht="16" customHeight="1" x14ac:dyDescent="0.35">
      <c r="A138" s="589">
        <v>73</v>
      </c>
      <c r="B138" s="24" t="s">
        <v>258</v>
      </c>
      <c r="C138" s="15">
        <f t="shared" si="8"/>
        <v>4.5599999999999996</v>
      </c>
      <c r="D138" s="590">
        <f>'[23]road inventory 2018'!C139</f>
        <v>5.5</v>
      </c>
      <c r="E138" s="15">
        <v>0</v>
      </c>
      <c r="F138" s="15">
        <v>0</v>
      </c>
      <c r="G138" s="15">
        <v>0</v>
      </c>
      <c r="H138" s="15">
        <v>4.5599999999999996</v>
      </c>
      <c r="I138" s="15">
        <v>0</v>
      </c>
      <c r="J138" s="106" t="s">
        <v>12</v>
      </c>
      <c r="K138" s="591" t="s">
        <v>439</v>
      </c>
      <c r="L138" s="24"/>
    </row>
    <row r="139" spans="1:12" s="26" customFormat="1" ht="16" customHeight="1" x14ac:dyDescent="0.35">
      <c r="A139" s="589">
        <v>74</v>
      </c>
      <c r="B139" s="24" t="s">
        <v>257</v>
      </c>
      <c r="C139" s="15">
        <f t="shared" si="8"/>
        <v>0.53</v>
      </c>
      <c r="D139" s="590">
        <f>'[23]road inventory 2018'!C140</f>
        <v>0.5</v>
      </c>
      <c r="E139" s="15">
        <v>0</v>
      </c>
      <c r="F139" s="15">
        <v>0</v>
      </c>
      <c r="G139" s="15">
        <v>0</v>
      </c>
      <c r="H139" s="15">
        <v>0.53</v>
      </c>
      <c r="I139" s="15">
        <v>0</v>
      </c>
      <c r="J139" s="106" t="s">
        <v>33</v>
      </c>
      <c r="K139" s="591" t="s">
        <v>439</v>
      </c>
      <c r="L139" s="24"/>
    </row>
    <row r="140" spans="1:12" s="1" customFormat="1" ht="16" customHeight="1" x14ac:dyDescent="0.35">
      <c r="A140" s="596">
        <v>75</v>
      </c>
      <c r="B140" s="28" t="s">
        <v>259</v>
      </c>
      <c r="C140" s="15">
        <f t="shared" si="8"/>
        <v>3.1</v>
      </c>
      <c r="D140" s="590">
        <f>'[23]road inventory 2018'!C141</f>
        <v>2.1</v>
      </c>
      <c r="E140" s="10">
        <v>0</v>
      </c>
      <c r="F140" s="10">
        <v>0</v>
      </c>
      <c r="G140" s="10">
        <v>0</v>
      </c>
      <c r="H140" s="10">
        <v>3.1</v>
      </c>
      <c r="I140" s="10">
        <v>0</v>
      </c>
      <c r="J140" s="103" t="s">
        <v>12</v>
      </c>
      <c r="K140" s="597" t="s">
        <v>440</v>
      </c>
      <c r="L140" s="28"/>
    </row>
    <row r="141" spans="1:12" s="26" customFormat="1" ht="16" customHeight="1" x14ac:dyDescent="0.35">
      <c r="A141" s="589">
        <v>76</v>
      </c>
      <c r="B141" s="24" t="s">
        <v>256</v>
      </c>
      <c r="C141" s="15">
        <f t="shared" si="8"/>
        <v>0.2</v>
      </c>
      <c r="D141" s="590">
        <f>'[23]road inventory 2018'!C142</f>
        <v>0.2</v>
      </c>
      <c r="E141" s="15">
        <v>0.2</v>
      </c>
      <c r="F141" s="15">
        <v>0</v>
      </c>
      <c r="G141" s="15">
        <v>0</v>
      </c>
      <c r="H141" s="15">
        <v>0</v>
      </c>
      <c r="I141" s="15">
        <v>0</v>
      </c>
      <c r="J141" s="106" t="s">
        <v>10</v>
      </c>
      <c r="K141" s="591" t="s">
        <v>425</v>
      </c>
      <c r="L141" s="24"/>
    </row>
    <row r="142" spans="1:12" s="26" customFormat="1" ht="16" customHeight="1" x14ac:dyDescent="0.35">
      <c r="A142" s="626"/>
      <c r="B142" s="60"/>
      <c r="C142" s="61">
        <f t="shared" ref="C142:I142" si="9">SUM(C110:C141)</f>
        <v>112.60000000000002</v>
      </c>
      <c r="D142" s="636">
        <f t="shared" si="9"/>
        <v>107.84999999999998</v>
      </c>
      <c r="E142" s="61">
        <f t="shared" si="9"/>
        <v>37.29</v>
      </c>
      <c r="F142" s="61">
        <f t="shared" si="9"/>
        <v>0</v>
      </c>
      <c r="G142" s="61">
        <f t="shared" si="9"/>
        <v>0</v>
      </c>
      <c r="H142" s="61">
        <f t="shared" si="9"/>
        <v>75.31</v>
      </c>
      <c r="I142" s="61">
        <f t="shared" si="9"/>
        <v>0</v>
      </c>
      <c r="J142" s="628"/>
      <c r="K142" s="629"/>
      <c r="L142" s="24"/>
    </row>
    <row r="143" spans="1:12" s="1" customFormat="1" ht="18" customHeight="1" thickBot="1" x14ac:dyDescent="0.4">
      <c r="A143" s="53" t="s">
        <v>341</v>
      </c>
      <c r="B143" s="34"/>
      <c r="C143" s="31">
        <f>E143+H143</f>
        <v>112.6</v>
      </c>
      <c r="D143" s="630"/>
      <c r="E143" s="31">
        <f>SUM(E110:E141)</f>
        <v>37.29</v>
      </c>
      <c r="F143" s="31">
        <f>SUM(F110:F141)</f>
        <v>0</v>
      </c>
      <c r="G143" s="31">
        <f>SUM(G110:G141)</f>
        <v>0</v>
      </c>
      <c r="H143" s="31">
        <f>SUM(H110:H141)</f>
        <v>75.31</v>
      </c>
      <c r="I143" s="31">
        <f>SUM(I110:I141)</f>
        <v>0</v>
      </c>
      <c r="J143" s="608"/>
      <c r="K143" s="609"/>
      <c r="L143" s="653"/>
    </row>
    <row r="144" spans="1:12" s="1" customFormat="1" ht="18" customHeight="1" x14ac:dyDescent="0.35">
      <c r="A144" s="544"/>
      <c r="B144" s="35"/>
      <c r="C144" s="22"/>
      <c r="D144" s="610"/>
      <c r="E144" s="22"/>
      <c r="F144" s="22"/>
      <c r="G144" s="22"/>
      <c r="H144" s="22"/>
      <c r="I144" s="22"/>
      <c r="K144" s="21"/>
      <c r="L144" s="653"/>
    </row>
    <row r="145" spans="1:12" s="1" customFormat="1" x14ac:dyDescent="0.35">
      <c r="A145" s="1203" t="s">
        <v>441</v>
      </c>
      <c r="B145" s="1204"/>
      <c r="C145" s="1204"/>
      <c r="D145" s="1204"/>
      <c r="E145" s="1204"/>
      <c r="F145" s="1204"/>
      <c r="G145" s="1204"/>
      <c r="H145" s="1204"/>
      <c r="I145" s="1204"/>
      <c r="J145" s="1204"/>
      <c r="K145" s="1204"/>
      <c r="L145" s="1205"/>
    </row>
    <row r="146" spans="1:12" s="1" customFormat="1" ht="16" thickBot="1" x14ac:dyDescent="0.4">
      <c r="A146" s="585"/>
      <c r="B146" s="2"/>
      <c r="C146" s="5"/>
      <c r="D146" s="586"/>
      <c r="E146" s="5"/>
      <c r="F146" s="5"/>
      <c r="G146" s="5"/>
      <c r="H146" s="5"/>
      <c r="I146" s="5"/>
      <c r="J146" s="3"/>
      <c r="K146" s="21"/>
      <c r="L146" s="97"/>
    </row>
    <row r="147" spans="1:12" s="1" customFormat="1" ht="21" customHeight="1" x14ac:dyDescent="0.35">
      <c r="A147" s="1206" t="s">
        <v>302</v>
      </c>
      <c r="B147" s="1208" t="s">
        <v>28</v>
      </c>
      <c r="C147" s="1210" t="s">
        <v>343</v>
      </c>
      <c r="D147" s="613"/>
      <c r="E147" s="1212" t="s">
        <v>305</v>
      </c>
      <c r="F147" s="1212"/>
      <c r="G147" s="1212"/>
      <c r="H147" s="1212"/>
      <c r="I147" s="1212"/>
      <c r="J147" s="1208" t="s">
        <v>29</v>
      </c>
      <c r="K147" s="1213" t="s">
        <v>306</v>
      </c>
      <c r="L147" s="1226" t="s">
        <v>307</v>
      </c>
    </row>
    <row r="148" spans="1:12" s="1" customFormat="1" ht="21" customHeight="1" thickBot="1" x14ac:dyDescent="0.4">
      <c r="A148" s="1207"/>
      <c r="B148" s="1209"/>
      <c r="C148" s="1211"/>
      <c r="D148" s="614"/>
      <c r="E148" s="7" t="s">
        <v>308</v>
      </c>
      <c r="F148" s="7" t="s">
        <v>309</v>
      </c>
      <c r="G148" s="7" t="s">
        <v>310</v>
      </c>
      <c r="H148" s="7" t="s">
        <v>311</v>
      </c>
      <c r="I148" s="7" t="s">
        <v>312</v>
      </c>
      <c r="J148" s="1209"/>
      <c r="K148" s="1214"/>
      <c r="L148" s="1227"/>
    </row>
    <row r="149" spans="1:12" s="26" customFormat="1" ht="16.5" customHeight="1" x14ac:dyDescent="0.35">
      <c r="A149" s="626">
        <v>95</v>
      </c>
      <c r="B149" s="43" t="s">
        <v>276</v>
      </c>
      <c r="C149" s="61">
        <f>SUM(E149:I149)</f>
        <v>2.3200000000000003</v>
      </c>
      <c r="D149" s="636">
        <f>'[23]road inventory 2018'!C149</f>
        <v>3</v>
      </c>
      <c r="E149" s="15">
        <v>1.02</v>
      </c>
      <c r="F149" s="15">
        <v>0</v>
      </c>
      <c r="G149" s="15">
        <v>0</v>
      </c>
      <c r="H149" s="61">
        <v>1.3</v>
      </c>
      <c r="I149" s="15">
        <v>0</v>
      </c>
      <c r="J149" s="106" t="s">
        <v>10</v>
      </c>
      <c r="K149" s="591" t="s">
        <v>442</v>
      </c>
      <c r="L149" s="592"/>
    </row>
    <row r="150" spans="1:12" s="26" customFormat="1" ht="15" customHeight="1" x14ac:dyDescent="0.35">
      <c r="A150" s="589">
        <v>77</v>
      </c>
      <c r="B150" s="43" t="s">
        <v>271</v>
      </c>
      <c r="C150" s="61">
        <f t="shared" ref="C150:C162" si="10">SUM(E150:I150)</f>
        <v>0.76</v>
      </c>
      <c r="D150" s="636">
        <f>'[23]road inventory 2018'!C150</f>
        <v>0.7</v>
      </c>
      <c r="E150" s="15">
        <v>0.76</v>
      </c>
      <c r="F150" s="15">
        <v>0</v>
      </c>
      <c r="G150" s="15">
        <v>0</v>
      </c>
      <c r="H150" s="15">
        <v>0</v>
      </c>
      <c r="I150" s="15">
        <v>0</v>
      </c>
      <c r="J150" s="106" t="s">
        <v>10</v>
      </c>
      <c r="K150" s="591" t="s">
        <v>443</v>
      </c>
      <c r="L150" s="24"/>
    </row>
    <row r="151" spans="1:12" s="26" customFormat="1" ht="15" customHeight="1" x14ac:dyDescent="0.35">
      <c r="A151" s="589">
        <v>94</v>
      </c>
      <c r="B151" s="43" t="s">
        <v>278</v>
      </c>
      <c r="C151" s="61">
        <f t="shared" si="10"/>
        <v>0.6</v>
      </c>
      <c r="D151" s="636">
        <f>'[23]road inventory 2018'!C151</f>
        <v>0.6</v>
      </c>
      <c r="E151" s="15">
        <v>0.5</v>
      </c>
      <c r="F151" s="15">
        <v>0</v>
      </c>
      <c r="G151" s="15">
        <v>0</v>
      </c>
      <c r="H151" s="15">
        <v>0.1</v>
      </c>
      <c r="I151" s="15">
        <v>0</v>
      </c>
      <c r="J151" s="106" t="s">
        <v>10</v>
      </c>
      <c r="K151" s="591" t="s">
        <v>444</v>
      </c>
      <c r="L151" s="24"/>
    </row>
    <row r="152" spans="1:12" s="1" customFormat="1" x14ac:dyDescent="0.35">
      <c r="A152" s="596">
        <v>78</v>
      </c>
      <c r="B152" s="45" t="s">
        <v>277</v>
      </c>
      <c r="C152" s="61">
        <f t="shared" si="10"/>
        <v>3.81</v>
      </c>
      <c r="D152" s="636">
        <f>'[23]road inventory 2018'!C152</f>
        <v>3.8</v>
      </c>
      <c r="E152" s="10">
        <v>0.69</v>
      </c>
      <c r="F152" s="10">
        <v>0</v>
      </c>
      <c r="G152" s="10">
        <v>0</v>
      </c>
      <c r="H152" s="10">
        <v>3.12</v>
      </c>
      <c r="I152" s="10">
        <v>0</v>
      </c>
      <c r="J152" s="103" t="s">
        <v>41</v>
      </c>
      <c r="K152" s="597" t="s">
        <v>445</v>
      </c>
      <c r="L152" s="28"/>
    </row>
    <row r="153" spans="1:12" s="1" customFormat="1" ht="16.5" customHeight="1" x14ac:dyDescent="0.35">
      <c r="A153" s="596">
        <v>79</v>
      </c>
      <c r="B153" s="45" t="s">
        <v>272</v>
      </c>
      <c r="C153" s="61">
        <f t="shared" si="10"/>
        <v>0.55000000000000004</v>
      </c>
      <c r="D153" s="636">
        <f>'[23]road inventory 2018'!C153</f>
        <v>1.9000000000000001</v>
      </c>
      <c r="E153" s="10">
        <v>0.12</v>
      </c>
      <c r="F153" s="10">
        <v>0</v>
      </c>
      <c r="G153" s="10">
        <v>0</v>
      </c>
      <c r="H153" s="10">
        <v>0.43</v>
      </c>
      <c r="I153" s="10">
        <v>0</v>
      </c>
      <c r="J153" s="103" t="s">
        <v>41</v>
      </c>
      <c r="K153" s="597" t="s">
        <v>446</v>
      </c>
      <c r="L153" s="28" t="s">
        <v>833</v>
      </c>
    </row>
    <row r="154" spans="1:12" s="1" customFormat="1" ht="31" x14ac:dyDescent="0.35">
      <c r="A154" s="596">
        <v>80</v>
      </c>
      <c r="B154" s="45" t="s">
        <v>282</v>
      </c>
      <c r="C154" s="61">
        <f t="shared" si="10"/>
        <v>15.75</v>
      </c>
      <c r="D154" s="636">
        <f>'[23]road inventory 2018'!C154</f>
        <v>15.7</v>
      </c>
      <c r="E154" s="10">
        <v>0.7</v>
      </c>
      <c r="F154" s="10">
        <v>0</v>
      </c>
      <c r="G154" s="10">
        <v>0</v>
      </c>
      <c r="H154" s="10">
        <v>15.05</v>
      </c>
      <c r="I154" s="10">
        <v>0</v>
      </c>
      <c r="J154" s="103" t="s">
        <v>41</v>
      </c>
      <c r="K154" s="597" t="s">
        <v>447</v>
      </c>
      <c r="L154" s="28"/>
    </row>
    <row r="155" spans="1:12" s="26" customFormat="1" ht="16.5" customHeight="1" x14ac:dyDescent="0.35">
      <c r="A155" s="589">
        <v>81</v>
      </c>
      <c r="B155" s="43" t="s">
        <v>279</v>
      </c>
      <c r="C155" s="61">
        <f t="shared" si="10"/>
        <v>3.89</v>
      </c>
      <c r="D155" s="636">
        <f>'[23]road inventory 2018'!C155</f>
        <v>3.8</v>
      </c>
      <c r="E155" s="15">
        <v>0.27</v>
      </c>
      <c r="F155" s="15">
        <v>0</v>
      </c>
      <c r="G155" s="15">
        <v>0</v>
      </c>
      <c r="H155" s="15">
        <v>3.62</v>
      </c>
      <c r="I155" s="15">
        <v>0</v>
      </c>
      <c r="J155" s="106" t="s">
        <v>33</v>
      </c>
      <c r="K155" s="591" t="s">
        <v>448</v>
      </c>
      <c r="L155" s="24"/>
    </row>
    <row r="156" spans="1:12" s="26" customFormat="1" ht="13.15" customHeight="1" x14ac:dyDescent="0.35">
      <c r="A156" s="589">
        <v>82</v>
      </c>
      <c r="B156" s="43" t="s">
        <v>283</v>
      </c>
      <c r="C156" s="61">
        <f t="shared" si="10"/>
        <v>5.6099999999999994</v>
      </c>
      <c r="D156" s="636">
        <f>'[23]road inventory 2018'!C156</f>
        <v>5.4</v>
      </c>
      <c r="E156" s="15">
        <v>1.23</v>
      </c>
      <c r="F156" s="15">
        <v>0</v>
      </c>
      <c r="G156" s="15">
        <v>0</v>
      </c>
      <c r="H156" s="15">
        <v>4.38</v>
      </c>
      <c r="I156" s="15">
        <v>0</v>
      </c>
      <c r="J156" s="106" t="s">
        <v>33</v>
      </c>
      <c r="K156" s="591" t="s">
        <v>449</v>
      </c>
      <c r="L156" s="24"/>
    </row>
    <row r="157" spans="1:12" s="1" customFormat="1" x14ac:dyDescent="0.35">
      <c r="A157" s="596">
        <v>83</v>
      </c>
      <c r="B157" s="45" t="s">
        <v>58</v>
      </c>
      <c r="C157" s="61">
        <f t="shared" si="10"/>
        <v>4.12</v>
      </c>
      <c r="D157" s="636">
        <f>'[23]road inventory 2018'!C157</f>
        <v>4.2</v>
      </c>
      <c r="E157" s="10">
        <v>0.34</v>
      </c>
      <c r="F157" s="10">
        <v>0</v>
      </c>
      <c r="G157" s="10">
        <v>0</v>
      </c>
      <c r="H157" s="10">
        <v>3.78</v>
      </c>
      <c r="I157" s="10">
        <v>0</v>
      </c>
      <c r="J157" s="103" t="s">
        <v>12</v>
      </c>
      <c r="K157" s="597" t="s">
        <v>447</v>
      </c>
      <c r="L157" s="28"/>
    </row>
    <row r="158" spans="1:12" s="1" customFormat="1" ht="31" x14ac:dyDescent="0.35">
      <c r="A158" s="596">
        <v>84</v>
      </c>
      <c r="B158" s="45" t="s">
        <v>274</v>
      </c>
      <c r="C158" s="61">
        <f t="shared" si="10"/>
        <v>1.27</v>
      </c>
      <c r="D158" s="636">
        <f>'[23]road inventory 2018'!C158</f>
        <v>1.2</v>
      </c>
      <c r="E158" s="10">
        <v>0</v>
      </c>
      <c r="F158" s="10">
        <v>0</v>
      </c>
      <c r="G158" s="10">
        <v>0</v>
      </c>
      <c r="H158" s="10">
        <v>1.27</v>
      </c>
      <c r="I158" s="10">
        <v>0</v>
      </c>
      <c r="J158" s="103" t="s">
        <v>41</v>
      </c>
      <c r="K158" s="597" t="s">
        <v>450</v>
      </c>
      <c r="L158" s="28"/>
    </row>
    <row r="159" spans="1:12" s="26" customFormat="1" ht="13.15" customHeight="1" x14ac:dyDescent="0.35">
      <c r="A159" s="589">
        <v>85</v>
      </c>
      <c r="B159" s="43" t="s">
        <v>281</v>
      </c>
      <c r="C159" s="61">
        <f t="shared" si="10"/>
        <v>2.86</v>
      </c>
      <c r="D159" s="636">
        <f>'[23]road inventory 2018'!C159</f>
        <v>2.8</v>
      </c>
      <c r="E159" s="15">
        <v>0</v>
      </c>
      <c r="F159" s="15">
        <v>0</v>
      </c>
      <c r="G159" s="15">
        <v>0</v>
      </c>
      <c r="H159" s="15">
        <v>2.86</v>
      </c>
      <c r="I159" s="15">
        <v>0</v>
      </c>
      <c r="J159" s="106" t="s">
        <v>10</v>
      </c>
      <c r="K159" s="591" t="s">
        <v>451</v>
      </c>
      <c r="L159" s="24"/>
    </row>
    <row r="160" spans="1:12" x14ac:dyDescent="0.35">
      <c r="A160" s="596">
        <v>86</v>
      </c>
      <c r="B160" s="45" t="s">
        <v>275</v>
      </c>
      <c r="C160" s="61">
        <f t="shared" si="10"/>
        <v>0.08</v>
      </c>
      <c r="D160" s="636">
        <f>'[23]road inventory 2018'!C160</f>
        <v>2.5</v>
      </c>
      <c r="E160" s="10">
        <v>0</v>
      </c>
      <c r="F160" s="10">
        <v>0</v>
      </c>
      <c r="G160" s="10">
        <v>0</v>
      </c>
      <c r="H160" s="10">
        <v>0.08</v>
      </c>
      <c r="I160" s="10">
        <v>0</v>
      </c>
      <c r="J160" s="103" t="s">
        <v>41</v>
      </c>
      <c r="K160" s="597" t="s">
        <v>452</v>
      </c>
      <c r="L160" s="28"/>
    </row>
    <row r="161" spans="1:12" ht="31" x14ac:dyDescent="0.35">
      <c r="A161" s="596">
        <v>87</v>
      </c>
      <c r="B161" s="45" t="s">
        <v>273</v>
      </c>
      <c r="C161" s="61">
        <f t="shared" si="10"/>
        <v>0.51</v>
      </c>
      <c r="D161" s="636">
        <f>'[23]road inventory 2018'!C161</f>
        <v>0.5</v>
      </c>
      <c r="E161" s="10">
        <v>0</v>
      </c>
      <c r="F161" s="10">
        <v>0</v>
      </c>
      <c r="G161" s="10">
        <v>0</v>
      </c>
      <c r="H161" s="10">
        <v>0.51</v>
      </c>
      <c r="I161" s="10">
        <v>0</v>
      </c>
      <c r="J161" s="103" t="s">
        <v>41</v>
      </c>
      <c r="K161" s="597" t="s">
        <v>450</v>
      </c>
      <c r="L161" s="28"/>
    </row>
    <row r="162" spans="1:12" x14ac:dyDescent="0.35">
      <c r="A162" s="596">
        <v>88</v>
      </c>
      <c r="B162" s="45" t="s">
        <v>280</v>
      </c>
      <c r="C162" s="61">
        <f t="shared" si="10"/>
        <v>3.18</v>
      </c>
      <c r="D162" s="636">
        <f>'[23]road inventory 2018'!C162</f>
        <v>3.2</v>
      </c>
      <c r="E162" s="10">
        <v>0</v>
      </c>
      <c r="F162" s="10">
        <v>0</v>
      </c>
      <c r="G162" s="10">
        <v>0</v>
      </c>
      <c r="H162" s="10">
        <v>3.18</v>
      </c>
      <c r="I162" s="10">
        <v>0</v>
      </c>
      <c r="J162" s="103" t="s">
        <v>33</v>
      </c>
      <c r="K162" s="597" t="s">
        <v>454</v>
      </c>
      <c r="L162" s="28"/>
    </row>
    <row r="163" spans="1:12" x14ac:dyDescent="0.35">
      <c r="A163" s="635"/>
      <c r="B163" s="654"/>
      <c r="C163" s="41">
        <f>SUM(C149:C162)</f>
        <v>45.309999999999995</v>
      </c>
      <c r="D163" s="41">
        <f t="shared" ref="D163:I163" si="11">SUM(D149:D162)</f>
        <v>49.300000000000004</v>
      </c>
      <c r="E163" s="41">
        <f>SUM(E149:E162)</f>
        <v>5.6300000000000008</v>
      </c>
      <c r="F163" s="41">
        <f t="shared" si="11"/>
        <v>0</v>
      </c>
      <c r="G163" s="41">
        <f t="shared" si="11"/>
        <v>0</v>
      </c>
      <c r="H163" s="41">
        <f t="shared" si="11"/>
        <v>39.68</v>
      </c>
      <c r="I163" s="41">
        <f t="shared" si="11"/>
        <v>0</v>
      </c>
      <c r="J163" s="109"/>
      <c r="K163" s="605"/>
      <c r="L163" s="28"/>
    </row>
    <row r="164" spans="1:12" ht="18" customHeight="1" thickBot="1" x14ac:dyDescent="0.4">
      <c r="A164" s="53" t="s">
        <v>341</v>
      </c>
      <c r="B164" s="34"/>
      <c r="C164" s="31">
        <f>E164+H164</f>
        <v>45.31</v>
      </c>
      <c r="D164" s="630"/>
      <c r="E164" s="31">
        <f>SUM(E149:E162)</f>
        <v>5.6300000000000008</v>
      </c>
      <c r="F164" s="31">
        <f>SUM(F149:F162)</f>
        <v>0</v>
      </c>
      <c r="G164" s="31">
        <f>SUM(G149:G162)</f>
        <v>0</v>
      </c>
      <c r="H164" s="31">
        <f>SUM(H149:H162)</f>
        <v>39.68</v>
      </c>
      <c r="I164" s="31">
        <f>SUM(I149:I162)</f>
        <v>0</v>
      </c>
      <c r="J164" s="608"/>
      <c r="K164" s="609"/>
      <c r="L164" s="653"/>
    </row>
    <row r="165" spans="1:12" ht="18" customHeight="1" thickBot="1" x14ac:dyDescent="0.4">
      <c r="A165" s="544"/>
      <c r="B165" s="35"/>
      <c r="C165" s="22"/>
      <c r="D165" s="610"/>
      <c r="E165" s="22"/>
      <c r="F165" s="22"/>
      <c r="G165" s="22"/>
      <c r="H165" s="22"/>
      <c r="I165" s="22"/>
      <c r="J165" s="1"/>
      <c r="K165" s="21"/>
      <c r="L165" s="97"/>
    </row>
    <row r="166" spans="1:12" s="1" customFormat="1" x14ac:dyDescent="0.35">
      <c r="A166" s="1217" t="s">
        <v>455</v>
      </c>
      <c r="B166" s="1218"/>
      <c r="C166" s="1218"/>
      <c r="D166" s="1218"/>
      <c r="E166" s="1218"/>
      <c r="F166" s="1218"/>
      <c r="G166" s="1218"/>
      <c r="H166" s="1218"/>
      <c r="I166" s="1218"/>
      <c r="J166" s="1218"/>
      <c r="K166" s="1218"/>
      <c r="L166" s="1219"/>
    </row>
    <row r="167" spans="1:12" s="1" customFormat="1" ht="16" thickBot="1" x14ac:dyDescent="0.4">
      <c r="A167" s="585"/>
      <c r="B167" s="2"/>
      <c r="C167" s="5"/>
      <c r="D167" s="586"/>
      <c r="E167" s="5"/>
      <c r="F167" s="5"/>
      <c r="G167" s="5"/>
      <c r="H167" s="5"/>
      <c r="I167" s="5"/>
      <c r="J167" s="3"/>
      <c r="K167" s="21"/>
      <c r="L167" s="97"/>
    </row>
    <row r="168" spans="1:12" s="1" customFormat="1" ht="21" customHeight="1" x14ac:dyDescent="0.35">
      <c r="A168" s="1206" t="s">
        <v>302</v>
      </c>
      <c r="B168" s="1208" t="s">
        <v>28</v>
      </c>
      <c r="C168" s="1210" t="s">
        <v>343</v>
      </c>
      <c r="D168" s="613"/>
      <c r="E168" s="1212" t="s">
        <v>305</v>
      </c>
      <c r="F168" s="1212"/>
      <c r="G168" s="1212"/>
      <c r="H168" s="1212"/>
      <c r="I168" s="1212"/>
      <c r="J168" s="1208" t="s">
        <v>29</v>
      </c>
      <c r="K168" s="1213" t="s">
        <v>306</v>
      </c>
      <c r="L168" s="1226" t="s">
        <v>307</v>
      </c>
    </row>
    <row r="169" spans="1:12" s="1" customFormat="1" ht="21" customHeight="1" thickBot="1" x14ac:dyDescent="0.4">
      <c r="A169" s="1207"/>
      <c r="B169" s="1209"/>
      <c r="C169" s="1211"/>
      <c r="D169" s="614"/>
      <c r="E169" s="7" t="s">
        <v>308</v>
      </c>
      <c r="F169" s="7" t="s">
        <v>309</v>
      </c>
      <c r="G169" s="7" t="s">
        <v>310</v>
      </c>
      <c r="H169" s="7" t="s">
        <v>311</v>
      </c>
      <c r="I169" s="7" t="s">
        <v>312</v>
      </c>
      <c r="J169" s="1209"/>
      <c r="K169" s="1214"/>
      <c r="L169" s="1227"/>
    </row>
    <row r="170" spans="1:12" x14ac:dyDescent="0.35">
      <c r="A170" s="655">
        <v>91</v>
      </c>
      <c r="B170" s="47" t="s">
        <v>62</v>
      </c>
      <c r="C170" s="11">
        <f>SUM(E170:I170)</f>
        <v>13.07</v>
      </c>
      <c r="D170" s="656">
        <f>'[23]road inventory 2018'!C169</f>
        <v>12.9</v>
      </c>
      <c r="E170" s="11">
        <v>10</v>
      </c>
      <c r="F170" s="11">
        <v>0</v>
      </c>
      <c r="G170" s="11">
        <v>0</v>
      </c>
      <c r="H170" s="11">
        <v>3.07</v>
      </c>
      <c r="I170" s="11">
        <v>0</v>
      </c>
      <c r="J170" s="111" t="s">
        <v>10</v>
      </c>
      <c r="K170" s="657" t="s">
        <v>456</v>
      </c>
      <c r="L170" s="112"/>
    </row>
    <row r="171" spans="1:12" s="16" customFormat="1" x14ac:dyDescent="0.35">
      <c r="A171" s="589">
        <v>92</v>
      </c>
      <c r="B171" s="43" t="s">
        <v>457</v>
      </c>
      <c r="C171" s="11">
        <f>SUM(E171:I171)</f>
        <v>5.6</v>
      </c>
      <c r="D171" s="656">
        <f>'[23]road inventory 2018'!C170</f>
        <v>5.6</v>
      </c>
      <c r="E171" s="15">
        <v>3</v>
      </c>
      <c r="F171" s="15">
        <v>0</v>
      </c>
      <c r="G171" s="15">
        <v>0</v>
      </c>
      <c r="H171" s="15">
        <v>2.6</v>
      </c>
      <c r="I171" s="15">
        <v>0</v>
      </c>
      <c r="J171" s="106" t="s">
        <v>317</v>
      </c>
      <c r="K171" s="591" t="s">
        <v>459</v>
      </c>
      <c r="L171" s="24"/>
    </row>
    <row r="172" spans="1:12" x14ac:dyDescent="0.35">
      <c r="A172" s="658" t="s">
        <v>341</v>
      </c>
      <c r="B172" s="50"/>
      <c r="C172" s="51">
        <f t="shared" ref="C172:I172" si="12">SUM(C170:C171)</f>
        <v>18.670000000000002</v>
      </c>
      <c r="D172" s="51">
        <f t="shared" si="12"/>
        <v>18.5</v>
      </c>
      <c r="E172" s="51">
        <f t="shared" si="12"/>
        <v>13</v>
      </c>
      <c r="F172" s="51">
        <f t="shared" si="12"/>
        <v>0</v>
      </c>
      <c r="G172" s="51">
        <f t="shared" si="12"/>
        <v>0</v>
      </c>
      <c r="H172" s="51">
        <f t="shared" si="12"/>
        <v>5.67</v>
      </c>
      <c r="I172" s="51">
        <f t="shared" si="12"/>
        <v>0</v>
      </c>
      <c r="J172" s="102"/>
      <c r="K172" s="659"/>
      <c r="L172" s="653"/>
    </row>
    <row r="173" spans="1:12" x14ac:dyDescent="0.35">
      <c r="A173" s="596"/>
      <c r="B173" s="45"/>
      <c r="C173" s="10"/>
      <c r="D173" s="615"/>
      <c r="E173" s="10"/>
      <c r="F173" s="10"/>
      <c r="G173" s="10"/>
      <c r="H173" s="10"/>
      <c r="I173" s="10"/>
      <c r="J173" s="103"/>
      <c r="K173" s="597"/>
      <c r="L173" s="28"/>
    </row>
    <row r="174" spans="1:12" ht="18" customHeight="1" thickBot="1" x14ac:dyDescent="0.4">
      <c r="A174" s="1224" t="s">
        <v>460</v>
      </c>
      <c r="B174" s="1225"/>
      <c r="C174" s="660">
        <f>C33+C67+C80+C87+C104+C143+C164+C172</f>
        <v>468.62</v>
      </c>
      <c r="D174" s="661">
        <f>D172+D163+D142+D103+D86+D79+D66+D32</f>
        <v>475.95</v>
      </c>
      <c r="E174" s="660">
        <f>+E172+E164+E143+E104+E87+E80+E67+E33</f>
        <v>142.73000000000002</v>
      </c>
      <c r="F174" s="660">
        <f>+F172+F164+F143+F104+F87+F80+F67+F33</f>
        <v>0</v>
      </c>
      <c r="G174" s="660">
        <f>+G172+G164+G143+G104+G87+G80+G67+G33</f>
        <v>0</v>
      </c>
      <c r="H174" s="660">
        <f>+H172+H164+H143+H104+H87+H80+H67+H33</f>
        <v>325.88999999999993</v>
      </c>
      <c r="I174" s="660">
        <f>+I172+I164+I143+I104+I87+I80+I67+I33</f>
        <v>0</v>
      </c>
      <c r="J174" s="662"/>
      <c r="K174" s="663"/>
      <c r="L174" s="664"/>
    </row>
    <row r="175" spans="1:12" ht="18" customHeight="1" thickBot="1" x14ac:dyDescent="0.4">
      <c r="A175" s="544"/>
      <c r="B175" s="35"/>
      <c r="C175" s="22"/>
      <c r="D175" s="610"/>
      <c r="E175" s="22"/>
      <c r="F175" s="22"/>
      <c r="G175" s="22"/>
      <c r="H175" s="22"/>
      <c r="I175" s="22"/>
      <c r="J175" s="1"/>
      <c r="K175" s="21"/>
      <c r="L175" s="97"/>
    </row>
    <row r="176" spans="1:12" s="1" customFormat="1" x14ac:dyDescent="0.35">
      <c r="A176" s="1217" t="s">
        <v>461</v>
      </c>
      <c r="B176" s="1218"/>
      <c r="C176" s="1218"/>
      <c r="D176" s="1218"/>
      <c r="E176" s="1218"/>
      <c r="F176" s="1218"/>
      <c r="G176" s="1218"/>
      <c r="H176" s="1218"/>
      <c r="I176" s="1218"/>
      <c r="J176" s="1218"/>
      <c r="K176" s="1218"/>
      <c r="L176" s="1219"/>
    </row>
    <row r="177" spans="1:12" s="1" customFormat="1" ht="16" thickBot="1" x14ac:dyDescent="0.4">
      <c r="A177" s="585"/>
      <c r="B177" s="2"/>
      <c r="C177" s="5"/>
      <c r="D177" s="586"/>
      <c r="E177" s="5"/>
      <c r="F177" s="5"/>
      <c r="G177" s="5"/>
      <c r="H177" s="5"/>
      <c r="I177" s="5"/>
      <c r="J177" s="3"/>
      <c r="K177" s="21"/>
      <c r="L177" s="97"/>
    </row>
    <row r="178" spans="1:12" s="1" customFormat="1" ht="21" customHeight="1" x14ac:dyDescent="0.35">
      <c r="A178" s="1206" t="s">
        <v>302</v>
      </c>
      <c r="B178" s="1208" t="s">
        <v>28</v>
      </c>
      <c r="C178" s="1210" t="s">
        <v>343</v>
      </c>
      <c r="D178" s="613"/>
      <c r="E178" s="1212" t="s">
        <v>305</v>
      </c>
      <c r="F178" s="1212"/>
      <c r="G178" s="1212"/>
      <c r="H178" s="1212"/>
      <c r="I178" s="1212"/>
      <c r="J178" s="1208" t="s">
        <v>29</v>
      </c>
      <c r="K178" s="1213" t="s">
        <v>306</v>
      </c>
      <c r="L178" s="1226" t="s">
        <v>307</v>
      </c>
    </row>
    <row r="179" spans="1:12" s="1" customFormat="1" ht="21" customHeight="1" thickBot="1" x14ac:dyDescent="0.4">
      <c r="A179" s="1207"/>
      <c r="B179" s="1209"/>
      <c r="C179" s="1211"/>
      <c r="D179" s="614"/>
      <c r="E179" s="7" t="s">
        <v>308</v>
      </c>
      <c r="F179" s="7" t="s">
        <v>309</v>
      </c>
      <c r="G179" s="7" t="s">
        <v>310</v>
      </c>
      <c r="H179" s="7" t="s">
        <v>311</v>
      </c>
      <c r="I179" s="7" t="s">
        <v>312</v>
      </c>
      <c r="J179" s="1209"/>
      <c r="K179" s="1214"/>
      <c r="L179" s="1227"/>
    </row>
    <row r="180" spans="1:12" s="16" customFormat="1" ht="18" customHeight="1" x14ac:dyDescent="0.35">
      <c r="A180" s="589">
        <v>89</v>
      </c>
      <c r="B180" s="24" t="s">
        <v>462</v>
      </c>
      <c r="C180" s="15">
        <f>SUM(E180:I180)</f>
        <v>0.63</v>
      </c>
      <c r="D180" s="590">
        <f>'[23]road inventory 2018'!C179</f>
        <v>0.63</v>
      </c>
      <c r="E180" s="15">
        <v>0.3</v>
      </c>
      <c r="F180" s="15">
        <v>0</v>
      </c>
      <c r="G180" s="15">
        <v>0</v>
      </c>
      <c r="H180" s="15">
        <v>0.33</v>
      </c>
      <c r="I180" s="15">
        <v>0</v>
      </c>
      <c r="J180" s="24" t="s">
        <v>10</v>
      </c>
      <c r="K180" s="591" t="s">
        <v>360</v>
      </c>
      <c r="L180" s="592"/>
    </row>
    <row r="181" spans="1:12" s="16" customFormat="1" x14ac:dyDescent="0.35">
      <c r="A181" s="589">
        <v>109</v>
      </c>
      <c r="B181" s="24" t="s">
        <v>285</v>
      </c>
      <c r="C181" s="15">
        <f t="shared" ref="C181:C196" si="13">SUM(E181:I181)</f>
        <v>2.5</v>
      </c>
      <c r="D181" s="590">
        <f>'[23]road inventory 2018'!C180</f>
        <v>2.5</v>
      </c>
      <c r="E181" s="15">
        <v>0.25700000000000001</v>
      </c>
      <c r="F181" s="15">
        <v>0</v>
      </c>
      <c r="G181" s="15">
        <v>0</v>
      </c>
      <c r="H181" s="15">
        <v>2.2429999999999999</v>
      </c>
      <c r="I181" s="15">
        <v>0</v>
      </c>
      <c r="J181" s="24" t="s">
        <v>10</v>
      </c>
      <c r="K181" s="591" t="s">
        <v>463</v>
      </c>
      <c r="L181" s="24"/>
    </row>
    <row r="182" spans="1:12" ht="31" x14ac:dyDescent="0.35">
      <c r="A182" s="596">
        <v>110</v>
      </c>
      <c r="B182" s="28" t="s">
        <v>65</v>
      </c>
      <c r="C182" s="15">
        <f t="shared" si="13"/>
        <v>7.12</v>
      </c>
      <c r="D182" s="590">
        <f>'[23]road inventory 2018'!C181</f>
        <v>7.3</v>
      </c>
      <c r="E182" s="10">
        <v>0</v>
      </c>
      <c r="F182" s="10">
        <v>0</v>
      </c>
      <c r="G182" s="10">
        <v>0</v>
      </c>
      <c r="H182" s="10">
        <v>7.12</v>
      </c>
      <c r="I182" s="10">
        <v>0</v>
      </c>
      <c r="J182" s="28" t="s">
        <v>33</v>
      </c>
      <c r="K182" s="597" t="s">
        <v>464</v>
      </c>
      <c r="L182" s="28"/>
    </row>
    <row r="183" spans="1:12" ht="31" x14ac:dyDescent="0.35">
      <c r="A183" s="596">
        <v>111</v>
      </c>
      <c r="B183" s="28" t="s">
        <v>66</v>
      </c>
      <c r="C183" s="15">
        <f t="shared" si="13"/>
        <v>15.379999999999999</v>
      </c>
      <c r="D183" s="590">
        <f>'[23]road inventory 2018'!C182</f>
        <v>15.4</v>
      </c>
      <c r="E183" s="10">
        <v>1.38</v>
      </c>
      <c r="F183" s="10">
        <v>0</v>
      </c>
      <c r="G183" s="10">
        <v>0</v>
      </c>
      <c r="H183" s="10">
        <v>14</v>
      </c>
      <c r="I183" s="10">
        <v>0</v>
      </c>
      <c r="J183" s="28" t="s">
        <v>33</v>
      </c>
      <c r="K183" s="597" t="s">
        <v>465</v>
      </c>
      <c r="L183" s="28"/>
    </row>
    <row r="184" spans="1:12" s="16" customFormat="1" ht="31" x14ac:dyDescent="0.35">
      <c r="A184" s="589">
        <v>112</v>
      </c>
      <c r="B184" s="24" t="s">
        <v>73</v>
      </c>
      <c r="C184" s="15">
        <f t="shared" si="13"/>
        <v>8.5100000000000016</v>
      </c>
      <c r="D184" s="590">
        <f>'[23]road inventory 2018'!C183</f>
        <v>8.4</v>
      </c>
      <c r="E184" s="15">
        <v>0.21</v>
      </c>
      <c r="F184" s="15">
        <v>0</v>
      </c>
      <c r="G184" s="15">
        <v>0</v>
      </c>
      <c r="H184" s="15">
        <v>8.3000000000000007</v>
      </c>
      <c r="I184" s="15">
        <v>0</v>
      </c>
      <c r="J184" s="24" t="s">
        <v>12</v>
      </c>
      <c r="K184" s="591" t="s">
        <v>466</v>
      </c>
      <c r="L184" s="24"/>
    </row>
    <row r="185" spans="1:12" x14ac:dyDescent="0.35">
      <c r="A185" s="596">
        <v>113</v>
      </c>
      <c r="B185" s="28" t="s">
        <v>75</v>
      </c>
      <c r="C185" s="15">
        <f t="shared" si="13"/>
        <v>1.52</v>
      </c>
      <c r="D185" s="590">
        <f>'[23]road inventory 2018'!C184</f>
        <v>1.5</v>
      </c>
      <c r="E185" s="10">
        <v>0.1</v>
      </c>
      <c r="F185" s="10">
        <v>0</v>
      </c>
      <c r="G185" s="10">
        <v>0</v>
      </c>
      <c r="H185" s="10">
        <v>1.42</v>
      </c>
      <c r="I185" s="10">
        <v>0</v>
      </c>
      <c r="J185" s="28" t="s">
        <v>33</v>
      </c>
      <c r="K185" s="597" t="s">
        <v>467</v>
      </c>
      <c r="L185" s="28"/>
    </row>
    <row r="186" spans="1:12" ht="31" x14ac:dyDescent="0.35">
      <c r="A186" s="596">
        <v>114</v>
      </c>
      <c r="B186" s="28" t="s">
        <v>468</v>
      </c>
      <c r="C186" s="15">
        <f t="shared" si="13"/>
        <v>9.5500000000000007</v>
      </c>
      <c r="D186" s="590">
        <f>'[23]road inventory 2018'!C185</f>
        <v>9.5</v>
      </c>
      <c r="E186" s="10">
        <v>0</v>
      </c>
      <c r="F186" s="10">
        <v>0</v>
      </c>
      <c r="G186" s="10">
        <v>0</v>
      </c>
      <c r="H186" s="10">
        <v>9.5500000000000007</v>
      </c>
      <c r="I186" s="10">
        <v>0</v>
      </c>
      <c r="J186" s="103" t="s">
        <v>12</v>
      </c>
      <c r="K186" s="597" t="s">
        <v>469</v>
      </c>
      <c r="L186" s="28"/>
    </row>
    <row r="187" spans="1:12" s="16" customFormat="1" ht="18" customHeight="1" x14ac:dyDescent="0.35">
      <c r="A187" s="589">
        <v>115</v>
      </c>
      <c r="B187" s="24" t="s">
        <v>77</v>
      </c>
      <c r="C187" s="15">
        <f t="shared" si="13"/>
        <v>10.71</v>
      </c>
      <c r="D187" s="590">
        <f>'[23]road inventory 2018'!C186</f>
        <v>10.700000000000001</v>
      </c>
      <c r="E187" s="15">
        <v>10.71</v>
      </c>
      <c r="F187" s="15">
        <v>0</v>
      </c>
      <c r="G187" s="15">
        <v>0</v>
      </c>
      <c r="H187" s="15">
        <v>0</v>
      </c>
      <c r="I187" s="15">
        <v>0</v>
      </c>
      <c r="J187" s="24" t="s">
        <v>10</v>
      </c>
      <c r="K187" s="591" t="s">
        <v>470</v>
      </c>
      <c r="L187" s="24"/>
    </row>
    <row r="188" spans="1:12" ht="18" customHeight="1" x14ac:dyDescent="0.35">
      <c r="A188" s="596">
        <v>117</v>
      </c>
      <c r="B188" s="28" t="s">
        <v>79</v>
      </c>
      <c r="C188" s="15">
        <f t="shared" si="13"/>
        <v>9.51</v>
      </c>
      <c r="D188" s="590">
        <f>'[23]road inventory 2018'!C187</f>
        <v>8.6</v>
      </c>
      <c r="E188" s="10">
        <v>1.7</v>
      </c>
      <c r="F188" s="10">
        <v>0</v>
      </c>
      <c r="G188" s="10">
        <v>0</v>
      </c>
      <c r="H188" s="10">
        <v>7.81</v>
      </c>
      <c r="I188" s="10">
        <v>0</v>
      </c>
      <c r="J188" s="103" t="s">
        <v>12</v>
      </c>
      <c r="K188" s="597" t="s">
        <v>471</v>
      </c>
      <c r="L188" s="28"/>
    </row>
    <row r="189" spans="1:12" ht="31" x14ac:dyDescent="0.35">
      <c r="A189" s="596">
        <v>118</v>
      </c>
      <c r="B189" s="28" t="s">
        <v>83</v>
      </c>
      <c r="C189" s="15">
        <f t="shared" si="13"/>
        <v>3.51</v>
      </c>
      <c r="D189" s="590">
        <f>'[23]road inventory 2018'!C188</f>
        <v>3.4</v>
      </c>
      <c r="E189" s="10">
        <v>0</v>
      </c>
      <c r="F189" s="10">
        <v>0</v>
      </c>
      <c r="G189" s="10">
        <v>0</v>
      </c>
      <c r="H189" s="10">
        <v>3.51</v>
      </c>
      <c r="I189" s="10">
        <v>0</v>
      </c>
      <c r="J189" s="103" t="s">
        <v>835</v>
      </c>
      <c r="K189" s="597" t="s">
        <v>472</v>
      </c>
      <c r="L189" s="28"/>
    </row>
    <row r="190" spans="1:12" s="16" customFormat="1" ht="31" x14ac:dyDescent="0.35">
      <c r="A190" s="589">
        <v>132</v>
      </c>
      <c r="B190" s="24" t="s">
        <v>85</v>
      </c>
      <c r="C190" s="15">
        <f t="shared" si="13"/>
        <v>13.5</v>
      </c>
      <c r="D190" s="590">
        <f>'[23]road inventory 2018'!C189</f>
        <v>13.5</v>
      </c>
      <c r="E190" s="15">
        <v>6.58</v>
      </c>
      <c r="F190" s="15">
        <v>0</v>
      </c>
      <c r="G190" s="15">
        <v>0</v>
      </c>
      <c r="H190" s="15">
        <v>6.9200000000000008</v>
      </c>
      <c r="I190" s="15">
        <v>0</v>
      </c>
      <c r="J190" s="106" t="s">
        <v>10</v>
      </c>
      <c r="K190" s="591" t="s">
        <v>473</v>
      </c>
      <c r="L190" s="24"/>
    </row>
    <row r="191" spans="1:12" s="16" customFormat="1" ht="18" customHeight="1" thickBot="1" x14ac:dyDescent="0.4">
      <c r="A191" s="649">
        <v>139</v>
      </c>
      <c r="B191" s="64" t="s">
        <v>474</v>
      </c>
      <c r="C191" s="15">
        <f t="shared" si="13"/>
        <v>9.1</v>
      </c>
      <c r="D191" s="590">
        <f>'[23]road inventory 2018'!C190</f>
        <v>8.9</v>
      </c>
      <c r="E191" s="65">
        <v>0</v>
      </c>
      <c r="F191" s="65">
        <v>0</v>
      </c>
      <c r="G191" s="65">
        <v>0</v>
      </c>
      <c r="H191" s="65">
        <v>9.1</v>
      </c>
      <c r="I191" s="65">
        <v>0</v>
      </c>
      <c r="J191" s="651" t="s">
        <v>12</v>
      </c>
      <c r="K191" s="652" t="s">
        <v>475</v>
      </c>
      <c r="L191" s="60"/>
    </row>
    <row r="192" spans="1:12" s="16" customFormat="1" ht="18" customHeight="1" x14ac:dyDescent="0.35">
      <c r="A192" s="589">
        <v>122</v>
      </c>
      <c r="B192" s="24" t="s">
        <v>476</v>
      </c>
      <c r="C192" s="15">
        <f t="shared" si="13"/>
        <v>3.44</v>
      </c>
      <c r="D192" s="590">
        <f>'[23]road inventory 2018'!C193</f>
        <v>3.25</v>
      </c>
      <c r="E192" s="15">
        <v>0</v>
      </c>
      <c r="F192" s="15">
        <v>0</v>
      </c>
      <c r="G192" s="15">
        <v>0</v>
      </c>
      <c r="H192" s="15">
        <v>3.44</v>
      </c>
      <c r="I192" s="15">
        <v>0</v>
      </c>
      <c r="J192" s="106" t="s">
        <v>12</v>
      </c>
      <c r="K192" s="591" t="s">
        <v>477</v>
      </c>
      <c r="L192" s="592"/>
    </row>
    <row r="193" spans="1:12" s="16" customFormat="1" ht="18" customHeight="1" x14ac:dyDescent="0.35">
      <c r="A193" s="589">
        <v>216</v>
      </c>
      <c r="B193" s="24" t="s">
        <v>87</v>
      </c>
      <c r="C193" s="15">
        <f t="shared" si="13"/>
        <v>6.32</v>
      </c>
      <c r="D193" s="590">
        <f>'[23]road inventory 2018'!C194</f>
        <v>6.1</v>
      </c>
      <c r="E193" s="15">
        <v>0</v>
      </c>
      <c r="F193" s="15">
        <v>0</v>
      </c>
      <c r="G193" s="15">
        <v>0</v>
      </c>
      <c r="H193" s="15">
        <v>6.32</v>
      </c>
      <c r="I193" s="15">
        <v>0</v>
      </c>
      <c r="J193" s="106" t="s">
        <v>12</v>
      </c>
      <c r="K193" s="591" t="s">
        <v>478</v>
      </c>
      <c r="L193" s="24"/>
    </row>
    <row r="194" spans="1:12" s="16" customFormat="1" ht="18" customHeight="1" x14ac:dyDescent="0.35">
      <c r="A194" s="589">
        <v>133</v>
      </c>
      <c r="B194" s="24" t="s">
        <v>90</v>
      </c>
      <c r="C194" s="15">
        <f t="shared" si="13"/>
        <v>4.47</v>
      </c>
      <c r="D194" s="590">
        <f>'[23]road inventory 2018'!C195</f>
        <v>4.4000000000000004</v>
      </c>
      <c r="E194" s="15">
        <v>0</v>
      </c>
      <c r="F194" s="15">
        <v>0</v>
      </c>
      <c r="G194" s="15">
        <v>0</v>
      </c>
      <c r="H194" s="15">
        <v>4.47</v>
      </c>
      <c r="I194" s="15">
        <v>0</v>
      </c>
      <c r="J194" s="106" t="s">
        <v>12</v>
      </c>
      <c r="K194" s="591" t="s">
        <v>478</v>
      </c>
      <c r="L194" s="24"/>
    </row>
    <row r="195" spans="1:12" s="16" customFormat="1" ht="18" customHeight="1" x14ac:dyDescent="0.35">
      <c r="A195" s="589">
        <v>123</v>
      </c>
      <c r="B195" s="24" t="s">
        <v>91</v>
      </c>
      <c r="C195" s="15">
        <f t="shared" si="13"/>
        <v>21.82</v>
      </c>
      <c r="D195" s="590">
        <f>'[23]road inventory 2018'!C196</f>
        <v>17</v>
      </c>
      <c r="E195" s="15">
        <v>12.19</v>
      </c>
      <c r="F195" s="15">
        <v>0</v>
      </c>
      <c r="G195" s="15">
        <v>0</v>
      </c>
      <c r="H195" s="15">
        <v>9.6300000000000008</v>
      </c>
      <c r="I195" s="15">
        <v>0</v>
      </c>
      <c r="J195" s="106" t="s">
        <v>12</v>
      </c>
      <c r="K195" s="591" t="s">
        <v>475</v>
      </c>
      <c r="L195" s="24"/>
    </row>
    <row r="196" spans="1:12" ht="18" customHeight="1" x14ac:dyDescent="0.35">
      <c r="A196" s="596">
        <v>134</v>
      </c>
      <c r="B196" s="45" t="s">
        <v>284</v>
      </c>
      <c r="C196" s="15">
        <f t="shared" si="13"/>
        <v>8.23</v>
      </c>
      <c r="D196" s="590">
        <f>'[23]road inventory 2018'!C197</f>
        <v>8.3000000000000007</v>
      </c>
      <c r="E196" s="10">
        <v>0</v>
      </c>
      <c r="F196" s="10">
        <v>0</v>
      </c>
      <c r="G196" s="10">
        <v>0</v>
      </c>
      <c r="H196" s="10">
        <v>8.23</v>
      </c>
      <c r="I196" s="10">
        <v>0</v>
      </c>
      <c r="J196" s="103" t="s">
        <v>317</v>
      </c>
      <c r="K196" s="597"/>
      <c r="L196" s="28"/>
    </row>
    <row r="197" spans="1:12" ht="18" customHeight="1" x14ac:dyDescent="0.35">
      <c r="A197" s="635"/>
      <c r="B197" s="654"/>
      <c r="C197" s="41">
        <f t="shared" ref="C197:I197" si="14">SUM(C180:C196)</f>
        <v>135.82</v>
      </c>
      <c r="D197" s="41">
        <f t="shared" si="14"/>
        <v>129.38000000000002</v>
      </c>
      <c r="E197" s="41">
        <f t="shared" si="14"/>
        <v>33.427</v>
      </c>
      <c r="F197" s="41">
        <f t="shared" si="14"/>
        <v>0</v>
      </c>
      <c r="G197" s="41">
        <f t="shared" si="14"/>
        <v>0</v>
      </c>
      <c r="H197" s="41">
        <f t="shared" si="14"/>
        <v>102.39299999999999</v>
      </c>
      <c r="I197" s="41">
        <f t="shared" si="14"/>
        <v>0</v>
      </c>
      <c r="J197" s="109"/>
      <c r="K197" s="605"/>
      <c r="L197" s="28"/>
    </row>
    <row r="198" spans="1:12" ht="18" customHeight="1" thickBot="1" x14ac:dyDescent="0.4">
      <c r="A198" s="53" t="s">
        <v>341</v>
      </c>
      <c r="B198" s="34"/>
      <c r="C198" s="31">
        <f>E198+H198</f>
        <v>135.82</v>
      </c>
      <c r="D198" s="630"/>
      <c r="E198" s="31">
        <f>SUM(E180:E196)</f>
        <v>33.427</v>
      </c>
      <c r="F198" s="31">
        <f>SUM(F180:F196)</f>
        <v>0</v>
      </c>
      <c r="G198" s="31">
        <f>SUM(G180:G196)</f>
        <v>0</v>
      </c>
      <c r="H198" s="31">
        <f>SUM(H180:H196)</f>
        <v>102.39299999999999</v>
      </c>
      <c r="I198" s="31">
        <f>SUM(I180:I196)</f>
        <v>0</v>
      </c>
      <c r="J198" s="608"/>
      <c r="K198" s="609"/>
      <c r="L198" s="653"/>
    </row>
    <row r="199" spans="1:12" ht="18" customHeight="1" thickBot="1" x14ac:dyDescent="0.4">
      <c r="L199" s="28"/>
    </row>
    <row r="200" spans="1:12" s="1" customFormat="1" x14ac:dyDescent="0.35">
      <c r="A200" s="1217" t="s">
        <v>479</v>
      </c>
      <c r="B200" s="1218"/>
      <c r="C200" s="1218"/>
      <c r="D200" s="1218"/>
      <c r="E200" s="1218"/>
      <c r="F200" s="1218"/>
      <c r="G200" s="1218"/>
      <c r="H200" s="1218"/>
      <c r="I200" s="1218"/>
      <c r="J200" s="1218"/>
      <c r="K200" s="1218"/>
      <c r="L200" s="668"/>
    </row>
    <row r="201" spans="1:12" s="1" customFormat="1" ht="16" thickBot="1" x14ac:dyDescent="0.4">
      <c r="A201" s="585"/>
      <c r="B201" s="2"/>
      <c r="C201" s="5"/>
      <c r="D201" s="586"/>
      <c r="E201" s="5"/>
      <c r="F201" s="5"/>
      <c r="G201" s="5"/>
      <c r="H201" s="5"/>
      <c r="I201" s="5"/>
      <c r="J201" s="3"/>
      <c r="K201" s="21"/>
      <c r="L201" s="653"/>
    </row>
    <row r="202" spans="1:12" s="1" customFormat="1" ht="21" customHeight="1" x14ac:dyDescent="0.35">
      <c r="A202" s="1206" t="s">
        <v>302</v>
      </c>
      <c r="B202" s="1208" t="s">
        <v>28</v>
      </c>
      <c r="C202" s="1210" t="s">
        <v>343</v>
      </c>
      <c r="D202" s="613"/>
      <c r="E202" s="1212" t="s">
        <v>305</v>
      </c>
      <c r="F202" s="1212"/>
      <c r="G202" s="1212"/>
      <c r="H202" s="1212"/>
      <c r="I202" s="1212"/>
      <c r="J202" s="1208" t="s">
        <v>29</v>
      </c>
      <c r="K202" s="1213" t="s">
        <v>306</v>
      </c>
      <c r="L202" s="1215" t="s">
        <v>307</v>
      </c>
    </row>
    <row r="203" spans="1:12" s="1" customFormat="1" ht="21" customHeight="1" thickBot="1" x14ac:dyDescent="0.4">
      <c r="A203" s="1207"/>
      <c r="B203" s="1209"/>
      <c r="C203" s="1211"/>
      <c r="D203" s="614"/>
      <c r="E203" s="7" t="s">
        <v>308</v>
      </c>
      <c r="F203" s="7" t="s">
        <v>309</v>
      </c>
      <c r="G203" s="7" t="s">
        <v>310</v>
      </c>
      <c r="H203" s="7" t="s">
        <v>311</v>
      </c>
      <c r="I203" s="7" t="s">
        <v>312</v>
      </c>
      <c r="J203" s="1209"/>
      <c r="K203" s="1214"/>
      <c r="L203" s="1216"/>
    </row>
    <row r="204" spans="1:12" s="16" customFormat="1" ht="18" customHeight="1" x14ac:dyDescent="0.35">
      <c r="A204" s="589">
        <v>136</v>
      </c>
      <c r="B204" s="24" t="s">
        <v>93</v>
      </c>
      <c r="C204" s="15">
        <f>SUM(E204:I204)</f>
        <v>11.309999999999999</v>
      </c>
      <c r="D204" s="590">
        <f>'[23]road inventory 2018'!C204</f>
        <v>11.3</v>
      </c>
      <c r="E204" s="15">
        <v>8.6999999999999993</v>
      </c>
      <c r="F204" s="15">
        <v>0</v>
      </c>
      <c r="G204" s="15">
        <v>0</v>
      </c>
      <c r="H204" s="15">
        <v>2.61</v>
      </c>
      <c r="I204" s="15">
        <v>0</v>
      </c>
      <c r="J204" s="24" t="s">
        <v>10</v>
      </c>
      <c r="K204" s="591" t="s">
        <v>480</v>
      </c>
      <c r="L204" s="24"/>
    </row>
    <row r="205" spans="1:12" s="16" customFormat="1" ht="18" customHeight="1" x14ac:dyDescent="0.35">
      <c r="A205" s="589">
        <v>137</v>
      </c>
      <c r="B205" s="24" t="s">
        <v>95</v>
      </c>
      <c r="C205" s="15">
        <f t="shared" ref="C205:C211" si="15">SUM(E205:I205)</f>
        <v>12.59</v>
      </c>
      <c r="D205" s="590">
        <f>'[23]road inventory 2018'!C205</f>
        <v>12.5</v>
      </c>
      <c r="E205" s="15">
        <v>8.74</v>
      </c>
      <c r="F205" s="15">
        <v>0</v>
      </c>
      <c r="G205" s="15">
        <v>0</v>
      </c>
      <c r="H205" s="15">
        <v>3.85</v>
      </c>
      <c r="I205" s="15">
        <v>0</v>
      </c>
      <c r="J205" s="24" t="s">
        <v>10</v>
      </c>
      <c r="K205" s="591" t="s">
        <v>481</v>
      </c>
      <c r="L205" s="24"/>
    </row>
    <row r="206" spans="1:12" ht="18" customHeight="1" x14ac:dyDescent="0.35">
      <c r="A206" s="596">
        <v>119</v>
      </c>
      <c r="B206" s="28" t="s">
        <v>97</v>
      </c>
      <c r="C206" s="15">
        <f t="shared" si="15"/>
        <v>5.51</v>
      </c>
      <c r="D206" s="590">
        <f>'[23]road inventory 2018'!C206</f>
        <v>5.5</v>
      </c>
      <c r="E206" s="10">
        <v>0</v>
      </c>
      <c r="F206" s="10">
        <v>0</v>
      </c>
      <c r="G206" s="10">
        <v>0</v>
      </c>
      <c r="H206" s="10">
        <v>5.51</v>
      </c>
      <c r="I206" s="10">
        <v>0</v>
      </c>
      <c r="J206" s="28" t="s">
        <v>33</v>
      </c>
      <c r="K206" s="597" t="s">
        <v>482</v>
      </c>
      <c r="L206" s="28"/>
    </row>
    <row r="207" spans="1:12" s="16" customFormat="1" x14ac:dyDescent="0.35">
      <c r="A207" s="589">
        <v>120</v>
      </c>
      <c r="B207" s="24" t="s">
        <v>99</v>
      </c>
      <c r="C207" s="15">
        <f t="shared" si="15"/>
        <v>10.85</v>
      </c>
      <c r="D207" s="590">
        <f>'[23]road inventory 2018'!C207</f>
        <v>10.75</v>
      </c>
      <c r="E207" s="15">
        <v>10.24</v>
      </c>
      <c r="F207" s="15">
        <v>0</v>
      </c>
      <c r="G207" s="15">
        <v>0</v>
      </c>
      <c r="H207" s="15">
        <v>0.61</v>
      </c>
      <c r="I207" s="15">
        <v>0</v>
      </c>
      <c r="J207" s="24" t="s">
        <v>10</v>
      </c>
      <c r="K207" s="591" t="s">
        <v>483</v>
      </c>
      <c r="L207" s="24"/>
    </row>
    <row r="208" spans="1:12" s="16" customFormat="1" ht="31" x14ac:dyDescent="0.35">
      <c r="A208" s="589">
        <v>140</v>
      </c>
      <c r="B208" s="24" t="s">
        <v>101</v>
      </c>
      <c r="C208" s="15">
        <f t="shared" si="15"/>
        <v>18.149999999999999</v>
      </c>
      <c r="D208" s="590">
        <f>'[23]road inventory 2018'!C208</f>
        <v>19.52</v>
      </c>
      <c r="E208" s="15">
        <v>2.41</v>
      </c>
      <c r="F208" s="15">
        <v>0</v>
      </c>
      <c r="G208" s="15">
        <v>0</v>
      </c>
      <c r="H208" s="15">
        <v>15.74</v>
      </c>
      <c r="I208" s="15">
        <v>0</v>
      </c>
      <c r="J208" s="24" t="s">
        <v>12</v>
      </c>
      <c r="K208" s="591"/>
      <c r="L208" s="24"/>
    </row>
    <row r="209" spans="1:12" ht="31" x14ac:dyDescent="0.35">
      <c r="A209" s="596">
        <v>138</v>
      </c>
      <c r="B209" s="28" t="s">
        <v>103</v>
      </c>
      <c r="C209" s="15">
        <f t="shared" si="15"/>
        <v>5.98</v>
      </c>
      <c r="D209" s="590">
        <f>'[23]road inventory 2018'!C209</f>
        <v>5.0999999999999996</v>
      </c>
      <c r="E209" s="10">
        <v>0</v>
      </c>
      <c r="F209" s="10">
        <v>0</v>
      </c>
      <c r="G209" s="10">
        <v>0</v>
      </c>
      <c r="H209" s="10">
        <v>5.98</v>
      </c>
      <c r="I209" s="10">
        <v>0</v>
      </c>
      <c r="J209" s="103" t="s">
        <v>33</v>
      </c>
      <c r="K209" s="597" t="s">
        <v>484</v>
      </c>
      <c r="L209" s="28"/>
    </row>
    <row r="210" spans="1:12" ht="31" x14ac:dyDescent="0.35">
      <c r="A210" s="596">
        <v>124</v>
      </c>
      <c r="B210" s="28" t="s">
        <v>485</v>
      </c>
      <c r="C210" s="15">
        <f t="shared" si="15"/>
        <v>12.5</v>
      </c>
      <c r="D210" s="590">
        <f>'[23]road inventory 2018'!C210</f>
        <v>17</v>
      </c>
      <c r="E210" s="10">
        <v>3.52</v>
      </c>
      <c r="F210" s="10">
        <v>0</v>
      </c>
      <c r="G210" s="10">
        <v>0</v>
      </c>
      <c r="H210" s="10">
        <v>8.98</v>
      </c>
      <c r="I210" s="10">
        <v>0</v>
      </c>
      <c r="J210" s="103" t="s">
        <v>12</v>
      </c>
      <c r="K210" s="597"/>
      <c r="L210" s="28"/>
    </row>
    <row r="211" spans="1:12" s="16" customFormat="1" ht="18" customHeight="1" x14ac:dyDescent="0.35">
      <c r="A211" s="589">
        <v>141</v>
      </c>
      <c r="B211" s="24" t="s">
        <v>486</v>
      </c>
      <c r="C211" s="15">
        <f t="shared" si="15"/>
        <v>6</v>
      </c>
      <c r="D211" s="590">
        <f>'[23]road inventory 2018'!C211</f>
        <v>6</v>
      </c>
      <c r="E211" s="15">
        <v>0</v>
      </c>
      <c r="F211" s="15">
        <v>0</v>
      </c>
      <c r="G211" s="15">
        <v>0</v>
      </c>
      <c r="H211" s="15">
        <v>6</v>
      </c>
      <c r="I211" s="15">
        <v>0</v>
      </c>
      <c r="J211" s="106" t="s">
        <v>12</v>
      </c>
      <c r="K211" s="591" t="s">
        <v>487</v>
      </c>
      <c r="L211" s="24"/>
    </row>
    <row r="212" spans="1:12" s="16" customFormat="1" ht="18" customHeight="1" x14ac:dyDescent="0.35">
      <c r="A212" s="626"/>
      <c r="B212" s="60"/>
      <c r="C212" s="61">
        <f>SUM(C204:C211)</f>
        <v>82.89</v>
      </c>
      <c r="D212" s="61">
        <f t="shared" ref="D212:I212" si="16">SUM(D204:D211)</f>
        <v>87.669999999999987</v>
      </c>
      <c r="E212" s="61">
        <f t="shared" si="16"/>
        <v>33.61</v>
      </c>
      <c r="F212" s="61">
        <f t="shared" si="16"/>
        <v>0</v>
      </c>
      <c r="G212" s="61">
        <f t="shared" si="16"/>
        <v>0</v>
      </c>
      <c r="H212" s="61">
        <f t="shared" si="16"/>
        <v>49.28</v>
      </c>
      <c r="I212" s="61">
        <f t="shared" si="16"/>
        <v>0</v>
      </c>
      <c r="J212" s="628"/>
      <c r="K212" s="629"/>
      <c r="L212" s="24"/>
    </row>
    <row r="213" spans="1:12" ht="18" customHeight="1" thickBot="1" x14ac:dyDescent="0.4">
      <c r="A213" s="53" t="s">
        <v>341</v>
      </c>
      <c r="B213" s="34"/>
      <c r="C213" s="31">
        <f>SUM(C204:C211)</f>
        <v>82.89</v>
      </c>
      <c r="D213" s="630"/>
      <c r="E213" s="31">
        <f>SUM(E204:E211)</f>
        <v>33.61</v>
      </c>
      <c r="F213" s="31">
        <f>SUM(F204:F211)</f>
        <v>0</v>
      </c>
      <c r="G213" s="31">
        <f>SUM(G204:G211)</f>
        <v>0</v>
      </c>
      <c r="H213" s="31">
        <f>SUM(H204:H211)</f>
        <v>49.28</v>
      </c>
      <c r="I213" s="31">
        <f>SUM(I204:I211)</f>
        <v>0</v>
      </c>
      <c r="J213" s="608"/>
      <c r="K213" s="609"/>
      <c r="L213" s="653"/>
    </row>
    <row r="214" spans="1:12" ht="18" customHeight="1" thickBot="1" x14ac:dyDescent="0.4">
      <c r="L214" s="28"/>
    </row>
    <row r="215" spans="1:12" s="1" customFormat="1" x14ac:dyDescent="0.35">
      <c r="A215" s="1217" t="s">
        <v>488</v>
      </c>
      <c r="B215" s="1218"/>
      <c r="C215" s="1218"/>
      <c r="D215" s="1218"/>
      <c r="E215" s="1218"/>
      <c r="F215" s="1218"/>
      <c r="G215" s="1218"/>
      <c r="H215" s="1218"/>
      <c r="I215" s="1218"/>
      <c r="J215" s="1218"/>
      <c r="K215" s="1218"/>
      <c r="L215" s="668"/>
    </row>
    <row r="216" spans="1:12" s="1" customFormat="1" ht="16" thickBot="1" x14ac:dyDescent="0.4">
      <c r="A216" s="585"/>
      <c r="B216" s="2"/>
      <c r="C216" s="5"/>
      <c r="D216" s="586"/>
      <c r="E216" s="5"/>
      <c r="F216" s="5"/>
      <c r="G216" s="5"/>
      <c r="H216" s="5"/>
      <c r="I216" s="5"/>
      <c r="J216" s="3"/>
      <c r="K216" s="21"/>
      <c r="L216" s="653"/>
    </row>
    <row r="217" spans="1:12" s="1" customFormat="1" ht="21" customHeight="1" x14ac:dyDescent="0.35">
      <c r="A217" s="1206" t="s">
        <v>302</v>
      </c>
      <c r="B217" s="1208" t="s">
        <v>28</v>
      </c>
      <c r="C217" s="1210" t="s">
        <v>343</v>
      </c>
      <c r="D217" s="613"/>
      <c r="E217" s="1212" t="s">
        <v>305</v>
      </c>
      <c r="F217" s="1212"/>
      <c r="G217" s="1212"/>
      <c r="H217" s="1212"/>
      <c r="I217" s="1212"/>
      <c r="J217" s="1208" t="s">
        <v>29</v>
      </c>
      <c r="K217" s="1213" t="s">
        <v>306</v>
      </c>
      <c r="L217" s="1215" t="str">
        <f>L202</f>
        <v>REMARKS</v>
      </c>
    </row>
    <row r="218" spans="1:12" s="1" customFormat="1" ht="21" customHeight="1" thickBot="1" x14ac:dyDescent="0.4">
      <c r="A218" s="1207"/>
      <c r="B218" s="1209"/>
      <c r="C218" s="1211"/>
      <c r="D218" s="614"/>
      <c r="E218" s="7" t="s">
        <v>308</v>
      </c>
      <c r="F218" s="7" t="s">
        <v>309</v>
      </c>
      <c r="G218" s="7" t="s">
        <v>310</v>
      </c>
      <c r="H218" s="7" t="s">
        <v>311</v>
      </c>
      <c r="I218" s="7" t="s">
        <v>312</v>
      </c>
      <c r="J218" s="1209"/>
      <c r="K218" s="1214"/>
      <c r="L218" s="1216"/>
    </row>
    <row r="219" spans="1:12" s="16" customFormat="1" ht="31" x14ac:dyDescent="0.35">
      <c r="A219" s="589">
        <v>142</v>
      </c>
      <c r="B219" s="24" t="s">
        <v>286</v>
      </c>
      <c r="C219" s="15">
        <f>SUM(E219:I219)</f>
        <v>21.69</v>
      </c>
      <c r="D219" s="590">
        <f>'[23]road inventory 2018'!C218</f>
        <v>19.299999999999997</v>
      </c>
      <c r="E219" s="15">
        <v>0.8</v>
      </c>
      <c r="F219" s="15">
        <v>0</v>
      </c>
      <c r="G219" s="15">
        <v>0</v>
      </c>
      <c r="H219" s="15">
        <v>20.89</v>
      </c>
      <c r="I219" s="15">
        <v>0</v>
      </c>
      <c r="J219" s="106" t="s">
        <v>12</v>
      </c>
      <c r="K219" s="591" t="s">
        <v>489</v>
      </c>
      <c r="L219" s="24"/>
    </row>
    <row r="220" spans="1:12" ht="31" x14ac:dyDescent="0.35">
      <c r="A220" s="596">
        <v>143</v>
      </c>
      <c r="B220" s="28" t="s">
        <v>287</v>
      </c>
      <c r="C220" s="15">
        <f t="shared" ref="C220:C226" si="17">SUM(E220:I220)</f>
        <v>8.91</v>
      </c>
      <c r="D220" s="590">
        <f>'[23]road inventory 2018'!C219</f>
        <v>8.7999999999999989</v>
      </c>
      <c r="E220" s="10">
        <v>0.2</v>
      </c>
      <c r="F220" s="10">
        <v>0</v>
      </c>
      <c r="G220" s="10">
        <v>0</v>
      </c>
      <c r="H220" s="10">
        <v>8.7100000000000009</v>
      </c>
      <c r="I220" s="10">
        <v>0</v>
      </c>
      <c r="J220" s="103" t="s">
        <v>12</v>
      </c>
      <c r="K220" s="597" t="s">
        <v>490</v>
      </c>
      <c r="L220" s="28"/>
    </row>
    <row r="221" spans="1:12" s="16" customFormat="1" ht="31" x14ac:dyDescent="0.35">
      <c r="A221" s="589">
        <v>144</v>
      </c>
      <c r="B221" s="24" t="s">
        <v>288</v>
      </c>
      <c r="C221" s="15">
        <f t="shared" si="17"/>
        <v>7.88</v>
      </c>
      <c r="D221" s="590">
        <f>'[23]road inventory 2018'!C220</f>
        <v>7.8999999999999995</v>
      </c>
      <c r="E221" s="15">
        <v>1.75</v>
      </c>
      <c r="F221" s="15">
        <v>0</v>
      </c>
      <c r="G221" s="15">
        <v>0</v>
      </c>
      <c r="H221" s="15">
        <v>6.13</v>
      </c>
      <c r="I221" s="15">
        <v>0</v>
      </c>
      <c r="J221" s="106" t="s">
        <v>12</v>
      </c>
      <c r="K221" s="591" t="s">
        <v>491</v>
      </c>
      <c r="L221" s="24"/>
    </row>
    <row r="222" spans="1:12" s="16" customFormat="1" x14ac:dyDescent="0.35">
      <c r="A222" s="589">
        <v>121</v>
      </c>
      <c r="B222" s="24" t="s">
        <v>104</v>
      </c>
      <c r="C222" s="15">
        <f t="shared" si="17"/>
        <v>23.3</v>
      </c>
      <c r="D222" s="590">
        <f>'[23]road inventory 2018'!C221</f>
        <v>23.2</v>
      </c>
      <c r="E222" s="15">
        <v>1.3</v>
      </c>
      <c r="F222" s="15">
        <v>0</v>
      </c>
      <c r="G222" s="15">
        <v>1.72</v>
      </c>
      <c r="H222" s="15">
        <v>20.28</v>
      </c>
      <c r="I222" s="15">
        <v>0</v>
      </c>
      <c r="J222" s="106" t="s">
        <v>12</v>
      </c>
      <c r="K222" s="591" t="s">
        <v>492</v>
      </c>
      <c r="L222" s="24"/>
    </row>
    <row r="223" spans="1:12" ht="18" customHeight="1" x14ac:dyDescent="0.35">
      <c r="A223" s="596">
        <v>145</v>
      </c>
      <c r="B223" s="28" t="s">
        <v>109</v>
      </c>
      <c r="C223" s="15">
        <f t="shared" si="17"/>
        <v>3.6</v>
      </c>
      <c r="D223" s="590">
        <f>'[23]road inventory 2018'!C222</f>
        <v>3.3</v>
      </c>
      <c r="E223" s="10">
        <v>0</v>
      </c>
      <c r="F223" s="10">
        <v>0</v>
      </c>
      <c r="G223" s="10">
        <v>0</v>
      </c>
      <c r="H223" s="10">
        <v>3.6</v>
      </c>
      <c r="I223" s="10">
        <v>0</v>
      </c>
      <c r="J223" s="103" t="s">
        <v>41</v>
      </c>
      <c r="K223" s="597"/>
      <c r="L223" s="28"/>
    </row>
    <row r="224" spans="1:12" s="16" customFormat="1" ht="18" customHeight="1" x14ac:dyDescent="0.35">
      <c r="A224" s="589">
        <v>126</v>
      </c>
      <c r="B224" s="24" t="s">
        <v>110</v>
      </c>
      <c r="C224" s="15">
        <f t="shared" si="17"/>
        <v>10.097</v>
      </c>
      <c r="D224" s="590">
        <f>'[23]road inventory 2018'!C223</f>
        <v>9.6</v>
      </c>
      <c r="E224" s="15">
        <v>8.16</v>
      </c>
      <c r="F224" s="15">
        <v>0</v>
      </c>
      <c r="G224" s="15">
        <v>0</v>
      </c>
      <c r="H224" s="15">
        <f>1.937</f>
        <v>1.9370000000000001</v>
      </c>
      <c r="I224" s="15">
        <v>0</v>
      </c>
      <c r="J224" s="106" t="s">
        <v>836</v>
      </c>
      <c r="K224" s="591" t="s">
        <v>493</v>
      </c>
      <c r="L224" s="24"/>
    </row>
    <row r="225" spans="1:12" s="16" customFormat="1" ht="31" x14ac:dyDescent="0.35">
      <c r="A225" s="589">
        <v>146</v>
      </c>
      <c r="B225" s="24" t="s">
        <v>115</v>
      </c>
      <c r="C225" s="15">
        <f t="shared" si="17"/>
        <v>12.15</v>
      </c>
      <c r="D225" s="590">
        <f>'[23]road inventory 2018'!C224</f>
        <v>8.3000000000000007</v>
      </c>
      <c r="E225" s="15">
        <v>0</v>
      </c>
      <c r="F225" s="15">
        <v>0</v>
      </c>
      <c r="G225" s="15">
        <v>0</v>
      </c>
      <c r="H225" s="15">
        <v>12.15</v>
      </c>
      <c r="I225" s="15">
        <v>0</v>
      </c>
      <c r="J225" s="106" t="s">
        <v>12</v>
      </c>
      <c r="K225" s="591"/>
      <c r="L225" s="24"/>
    </row>
    <row r="226" spans="1:12" s="16" customFormat="1" ht="18" customHeight="1" x14ac:dyDescent="0.35">
      <c r="A226" s="589">
        <v>147</v>
      </c>
      <c r="B226" s="24" t="s">
        <v>289</v>
      </c>
      <c r="C226" s="15">
        <f t="shared" si="17"/>
        <v>4.59</v>
      </c>
      <c r="D226" s="590">
        <f>'[23]road inventory 2018'!C225</f>
        <v>4.2</v>
      </c>
      <c r="E226" s="15">
        <v>0.2</v>
      </c>
      <c r="F226" s="15">
        <v>0</v>
      </c>
      <c r="G226" s="15">
        <v>0</v>
      </c>
      <c r="H226" s="15">
        <v>4.3899999999999997</v>
      </c>
      <c r="I226" s="15">
        <v>0</v>
      </c>
      <c r="J226" s="106" t="s">
        <v>10</v>
      </c>
      <c r="K226" s="591"/>
      <c r="L226" s="24"/>
    </row>
    <row r="227" spans="1:12" s="16" customFormat="1" ht="18" customHeight="1" x14ac:dyDescent="0.35">
      <c r="A227" s="626"/>
      <c r="B227" s="60"/>
      <c r="C227" s="61">
        <f>SUM(C219:C226)</f>
        <v>92.216999999999999</v>
      </c>
      <c r="D227" s="61">
        <f t="shared" ref="D227:I227" si="18">SUM(D219:D226)</f>
        <v>84.59999999999998</v>
      </c>
      <c r="E227" s="61">
        <f t="shared" si="18"/>
        <v>12.41</v>
      </c>
      <c r="F227" s="61">
        <f t="shared" si="18"/>
        <v>0</v>
      </c>
      <c r="G227" s="61">
        <f t="shared" si="18"/>
        <v>1.72</v>
      </c>
      <c r="H227" s="61">
        <f t="shared" si="18"/>
        <v>78.087000000000003</v>
      </c>
      <c r="I227" s="61">
        <f t="shared" si="18"/>
        <v>0</v>
      </c>
      <c r="J227" s="628"/>
      <c r="K227" s="629"/>
      <c r="L227" s="24"/>
    </row>
    <row r="228" spans="1:12" ht="18" customHeight="1" thickBot="1" x14ac:dyDescent="0.4">
      <c r="A228" s="53" t="s">
        <v>341</v>
      </c>
      <c r="B228" s="34"/>
      <c r="C228" s="31">
        <f>SUM(C219:C226)</f>
        <v>92.216999999999999</v>
      </c>
      <c r="D228" s="630"/>
      <c r="E228" s="31">
        <f>SUM(E219:E226)</f>
        <v>12.41</v>
      </c>
      <c r="F228" s="31">
        <f>SUM(F219:F226)</f>
        <v>0</v>
      </c>
      <c r="G228" s="31">
        <f>SUM(G219:G226)</f>
        <v>1.72</v>
      </c>
      <c r="H228" s="31">
        <f>SUM(H219:H226)</f>
        <v>78.087000000000003</v>
      </c>
      <c r="I228" s="31">
        <f>SUM(I219:I226)</f>
        <v>0</v>
      </c>
      <c r="J228" s="608"/>
      <c r="K228" s="609"/>
      <c r="L228" s="653"/>
    </row>
    <row r="229" spans="1:12" ht="18" customHeight="1" thickBot="1" x14ac:dyDescent="0.4">
      <c r="L229" s="28"/>
    </row>
    <row r="230" spans="1:12" s="1" customFormat="1" x14ac:dyDescent="0.35">
      <c r="A230" s="1217" t="s">
        <v>494</v>
      </c>
      <c r="B230" s="1218"/>
      <c r="C230" s="1218"/>
      <c r="D230" s="1218"/>
      <c r="E230" s="1218"/>
      <c r="F230" s="1218"/>
      <c r="G230" s="1218"/>
      <c r="H230" s="1218"/>
      <c r="I230" s="1218"/>
      <c r="J230" s="1218"/>
      <c r="K230" s="1218"/>
      <c r="L230" s="668"/>
    </row>
    <row r="231" spans="1:12" s="1" customFormat="1" ht="16" thickBot="1" x14ac:dyDescent="0.4">
      <c r="A231" s="585"/>
      <c r="B231" s="2"/>
      <c r="C231" s="5"/>
      <c r="D231" s="586"/>
      <c r="E231" s="5"/>
      <c r="F231" s="5"/>
      <c r="G231" s="5"/>
      <c r="H231" s="5"/>
      <c r="I231" s="5"/>
      <c r="J231" s="3"/>
      <c r="K231" s="21"/>
      <c r="L231" s="653"/>
    </row>
    <row r="232" spans="1:12" s="1" customFormat="1" ht="21" customHeight="1" x14ac:dyDescent="0.35">
      <c r="A232" s="1206" t="s">
        <v>302</v>
      </c>
      <c r="B232" s="1208" t="s">
        <v>28</v>
      </c>
      <c r="C232" s="1210" t="s">
        <v>343</v>
      </c>
      <c r="D232" s="613"/>
      <c r="E232" s="1212" t="s">
        <v>305</v>
      </c>
      <c r="F232" s="1212"/>
      <c r="G232" s="1212"/>
      <c r="H232" s="1212"/>
      <c r="I232" s="1212"/>
      <c r="J232" s="1208" t="s">
        <v>29</v>
      </c>
      <c r="K232" s="1213" t="s">
        <v>306</v>
      </c>
      <c r="L232" s="1215" t="str">
        <f>L217</f>
        <v>REMARKS</v>
      </c>
    </row>
    <row r="233" spans="1:12" s="1" customFormat="1" ht="21" customHeight="1" thickBot="1" x14ac:dyDescent="0.4">
      <c r="A233" s="1207"/>
      <c r="B233" s="1209"/>
      <c r="C233" s="1211"/>
      <c r="D233" s="614"/>
      <c r="E233" s="7" t="s">
        <v>308</v>
      </c>
      <c r="F233" s="7" t="s">
        <v>309</v>
      </c>
      <c r="G233" s="7" t="s">
        <v>310</v>
      </c>
      <c r="H233" s="7" t="s">
        <v>311</v>
      </c>
      <c r="I233" s="7" t="s">
        <v>312</v>
      </c>
      <c r="J233" s="1209"/>
      <c r="K233" s="1214"/>
      <c r="L233" s="1216"/>
    </row>
    <row r="234" spans="1:12" ht="18" customHeight="1" x14ac:dyDescent="0.35">
      <c r="A234" s="596">
        <v>148</v>
      </c>
      <c r="B234" s="28" t="s">
        <v>290</v>
      </c>
      <c r="C234" s="10">
        <f>SUM(E234:I234)</f>
        <v>3.0799999999999996</v>
      </c>
      <c r="D234" s="615">
        <f>'[23]road inventory 2018'!C232</f>
        <v>3</v>
      </c>
      <c r="E234" s="10">
        <v>0.32</v>
      </c>
      <c r="F234" s="10">
        <v>0</v>
      </c>
      <c r="G234" s="10">
        <v>0</v>
      </c>
      <c r="H234" s="10">
        <v>2.76</v>
      </c>
      <c r="I234" s="10">
        <v>0</v>
      </c>
      <c r="J234" s="103" t="s">
        <v>41</v>
      </c>
      <c r="K234" s="597" t="s">
        <v>495</v>
      </c>
      <c r="L234" s="28"/>
    </row>
    <row r="235" spans="1:12" s="16" customFormat="1" x14ac:dyDescent="0.35">
      <c r="A235" s="589">
        <v>149</v>
      </c>
      <c r="B235" s="24" t="s">
        <v>496</v>
      </c>
      <c r="C235" s="10">
        <f>SUM(E235:I235)</f>
        <v>5.01</v>
      </c>
      <c r="D235" s="615">
        <f>'[23]road inventory 2018'!C233</f>
        <v>5</v>
      </c>
      <c r="E235" s="15">
        <v>0.79</v>
      </c>
      <c r="F235" s="15">
        <v>0</v>
      </c>
      <c r="G235" s="15">
        <v>0</v>
      </c>
      <c r="H235" s="15">
        <v>4.22</v>
      </c>
      <c r="I235" s="15">
        <v>0</v>
      </c>
      <c r="J235" s="106" t="s">
        <v>12</v>
      </c>
      <c r="K235" s="591" t="s">
        <v>497</v>
      </c>
      <c r="L235" s="24"/>
    </row>
    <row r="236" spans="1:12" ht="18" customHeight="1" x14ac:dyDescent="0.35">
      <c r="A236" s="596">
        <v>150</v>
      </c>
      <c r="B236" s="28" t="s">
        <v>116</v>
      </c>
      <c r="C236" s="10">
        <f>SUM(E236:I236)</f>
        <v>11.27</v>
      </c>
      <c r="D236" s="615">
        <f>'[23]road inventory 2018'!C234</f>
        <v>11</v>
      </c>
      <c r="E236" s="10">
        <v>2.4500000000000002</v>
      </c>
      <c r="F236" s="10">
        <v>0</v>
      </c>
      <c r="G236" s="10">
        <v>0</v>
      </c>
      <c r="H236" s="10">
        <v>8.82</v>
      </c>
      <c r="I236" s="10">
        <v>0</v>
      </c>
      <c r="J236" s="103" t="s">
        <v>33</v>
      </c>
      <c r="K236" s="597" t="s">
        <v>498</v>
      </c>
      <c r="L236" s="28"/>
    </row>
    <row r="237" spans="1:12" s="16" customFormat="1" ht="18" customHeight="1" x14ac:dyDescent="0.35">
      <c r="A237" s="589">
        <v>151</v>
      </c>
      <c r="B237" s="24" t="s">
        <v>499</v>
      </c>
      <c r="C237" s="10">
        <f>SUM(E237:I237)</f>
        <v>3.99</v>
      </c>
      <c r="D237" s="615">
        <f>'[23]road inventory 2018'!C235</f>
        <v>4</v>
      </c>
      <c r="E237" s="15">
        <v>0</v>
      </c>
      <c r="F237" s="15">
        <v>0</v>
      </c>
      <c r="G237" s="15">
        <v>0</v>
      </c>
      <c r="H237" s="15">
        <v>3.99</v>
      </c>
      <c r="I237" s="15">
        <v>0</v>
      </c>
      <c r="J237" s="106" t="s">
        <v>12</v>
      </c>
      <c r="K237" s="591" t="s">
        <v>500</v>
      </c>
      <c r="L237" s="24"/>
    </row>
    <row r="238" spans="1:12" ht="18" customHeight="1" x14ac:dyDescent="0.35">
      <c r="A238" s="596">
        <v>152</v>
      </c>
      <c r="B238" s="28" t="s">
        <v>120</v>
      </c>
      <c r="C238" s="10">
        <f>SUM(E238:I238)</f>
        <v>4.82</v>
      </c>
      <c r="D238" s="615">
        <f>'[23]road inventory 2018'!C236</f>
        <v>4.5999999999999996</v>
      </c>
      <c r="E238" s="10">
        <v>0</v>
      </c>
      <c r="F238" s="10">
        <v>0</v>
      </c>
      <c r="G238" s="10">
        <v>0</v>
      </c>
      <c r="H238" s="10">
        <v>4.82</v>
      </c>
      <c r="I238" s="10">
        <v>0</v>
      </c>
      <c r="J238" s="103" t="s">
        <v>33</v>
      </c>
      <c r="K238" s="597"/>
      <c r="L238" s="28"/>
    </row>
    <row r="239" spans="1:12" ht="18" customHeight="1" x14ac:dyDescent="0.35">
      <c r="A239" s="635"/>
      <c r="B239" s="40"/>
      <c r="C239" s="41">
        <f>SUM(C234:C238)</f>
        <v>28.17</v>
      </c>
      <c r="D239" s="41">
        <f t="shared" ref="D239:I239" si="19">SUM(D234:D238)</f>
        <v>27.6</v>
      </c>
      <c r="E239" s="41">
        <f t="shared" si="19"/>
        <v>3.5600000000000005</v>
      </c>
      <c r="F239" s="41">
        <f t="shared" si="19"/>
        <v>0</v>
      </c>
      <c r="G239" s="41">
        <f t="shared" si="19"/>
        <v>0</v>
      </c>
      <c r="H239" s="41">
        <f t="shared" si="19"/>
        <v>24.61</v>
      </c>
      <c r="I239" s="41">
        <f t="shared" si="19"/>
        <v>0</v>
      </c>
      <c r="J239" s="109"/>
      <c r="K239" s="605"/>
      <c r="L239" s="28"/>
    </row>
    <row r="240" spans="1:12" ht="18" customHeight="1" thickBot="1" x14ac:dyDescent="0.4">
      <c r="A240" s="53" t="s">
        <v>341</v>
      </c>
      <c r="B240" s="34"/>
      <c r="C240" s="31">
        <f>SUM(C234:C238)</f>
        <v>28.17</v>
      </c>
      <c r="D240" s="630"/>
      <c r="E240" s="31">
        <f>SUM(E234:E238)</f>
        <v>3.5600000000000005</v>
      </c>
      <c r="F240" s="31">
        <f>SUM(F234:F238)</f>
        <v>0</v>
      </c>
      <c r="G240" s="31">
        <f>SUM(G234:G238)</f>
        <v>0</v>
      </c>
      <c r="H240" s="31">
        <f>SUM(H234:H238)</f>
        <v>24.61</v>
      </c>
      <c r="I240" s="31">
        <f>SUM(I234:I238)</f>
        <v>0</v>
      </c>
      <c r="J240" s="608"/>
      <c r="K240" s="609"/>
      <c r="L240" s="653"/>
    </row>
    <row r="241" spans="1:12" ht="18" customHeight="1" thickBot="1" x14ac:dyDescent="0.4">
      <c r="L241" s="28"/>
    </row>
    <row r="242" spans="1:12" s="1" customFormat="1" x14ac:dyDescent="0.35">
      <c r="A242" s="1217" t="s">
        <v>501</v>
      </c>
      <c r="B242" s="1218"/>
      <c r="C242" s="1218"/>
      <c r="D242" s="1218"/>
      <c r="E242" s="1218"/>
      <c r="F242" s="1218"/>
      <c r="G242" s="1218"/>
      <c r="H242" s="1218"/>
      <c r="I242" s="1218"/>
      <c r="J242" s="1218"/>
      <c r="K242" s="1218"/>
      <c r="L242" s="668"/>
    </row>
    <row r="243" spans="1:12" s="1" customFormat="1" ht="16" thickBot="1" x14ac:dyDescent="0.4">
      <c r="A243" s="585"/>
      <c r="B243" s="2"/>
      <c r="C243" s="5"/>
      <c r="D243" s="586"/>
      <c r="E243" s="5"/>
      <c r="F243" s="5"/>
      <c r="G243" s="5"/>
      <c r="H243" s="5"/>
      <c r="I243" s="5"/>
      <c r="J243" s="3"/>
      <c r="K243" s="21"/>
      <c r="L243" s="653"/>
    </row>
    <row r="244" spans="1:12" s="1" customFormat="1" ht="21" customHeight="1" x14ac:dyDescent="0.35">
      <c r="A244" s="1206" t="s">
        <v>302</v>
      </c>
      <c r="B244" s="1208" t="s">
        <v>28</v>
      </c>
      <c r="C244" s="1210" t="s">
        <v>343</v>
      </c>
      <c r="D244" s="613"/>
      <c r="E244" s="1212" t="s">
        <v>305</v>
      </c>
      <c r="F244" s="1212"/>
      <c r="G244" s="1212"/>
      <c r="H244" s="1212"/>
      <c r="I244" s="1212"/>
      <c r="J244" s="1208" t="s">
        <v>29</v>
      </c>
      <c r="K244" s="1213" t="s">
        <v>306</v>
      </c>
      <c r="L244" s="1215" t="str">
        <f>L232</f>
        <v>REMARKS</v>
      </c>
    </row>
    <row r="245" spans="1:12" s="1" customFormat="1" ht="21" customHeight="1" thickBot="1" x14ac:dyDescent="0.4">
      <c r="A245" s="1207"/>
      <c r="B245" s="1209"/>
      <c r="C245" s="1211"/>
      <c r="D245" s="614"/>
      <c r="E245" s="7" t="s">
        <v>308</v>
      </c>
      <c r="F245" s="7" t="s">
        <v>309</v>
      </c>
      <c r="G245" s="7" t="s">
        <v>310</v>
      </c>
      <c r="H245" s="7" t="s">
        <v>311</v>
      </c>
      <c r="I245" s="7" t="s">
        <v>312</v>
      </c>
      <c r="J245" s="1209"/>
      <c r="K245" s="1214"/>
      <c r="L245" s="1216"/>
    </row>
    <row r="246" spans="1:12" s="677" customFormat="1" ht="18" customHeight="1" x14ac:dyDescent="0.35">
      <c r="A246" s="669">
        <v>153</v>
      </c>
      <c r="B246" s="107" t="s">
        <v>121</v>
      </c>
      <c r="C246" s="670">
        <f>SUM(E246:I246)</f>
        <v>11</v>
      </c>
      <c r="D246" s="671">
        <f>'[23]road inventory 2018'!C243</f>
        <v>11</v>
      </c>
      <c r="E246" s="670">
        <v>1.96</v>
      </c>
      <c r="F246" s="670">
        <f>[24]CARRIAGEWAY!$X$360</f>
        <v>0</v>
      </c>
      <c r="G246" s="670">
        <f>[24]CARRIAGEWAY!$Z$360</f>
        <v>0</v>
      </c>
      <c r="H246" s="672">
        <v>9.0399999999999991</v>
      </c>
      <c r="I246" s="670">
        <v>0</v>
      </c>
      <c r="J246" s="673" t="str">
        <f>[24]CARRIAGEWAY!$Z$361</f>
        <v>FAIR</v>
      </c>
      <c r="K246" s="674" t="s">
        <v>502</v>
      </c>
      <c r="L246" s="107"/>
    </row>
    <row r="247" spans="1:12" s="16" customFormat="1" ht="18" customHeight="1" x14ac:dyDescent="0.35">
      <c r="A247" s="589">
        <v>125</v>
      </c>
      <c r="B247" s="24" t="s">
        <v>125</v>
      </c>
      <c r="C247" s="670">
        <f t="shared" ref="C247:C259" si="20">SUM(E247:I247)</f>
        <v>2.9</v>
      </c>
      <c r="D247" s="671">
        <f>'[23]road inventory 2018'!C244</f>
        <v>2.9</v>
      </c>
      <c r="E247" s="15">
        <v>0</v>
      </c>
      <c r="F247" s="15">
        <v>0</v>
      </c>
      <c r="G247" s="15">
        <v>0</v>
      </c>
      <c r="H247" s="70">
        <v>2.9</v>
      </c>
      <c r="I247" s="15">
        <v>0</v>
      </c>
      <c r="J247" s="106" t="s">
        <v>12</v>
      </c>
      <c r="K247" s="591" t="s">
        <v>502</v>
      </c>
      <c r="L247" s="24"/>
    </row>
    <row r="248" spans="1:12" s="16" customFormat="1" ht="18" customHeight="1" x14ac:dyDescent="0.35">
      <c r="A248" s="589">
        <v>154</v>
      </c>
      <c r="B248" s="24" t="s">
        <v>127</v>
      </c>
      <c r="C248" s="670">
        <f t="shared" si="20"/>
        <v>7</v>
      </c>
      <c r="D248" s="671">
        <f>'[23]road inventory 2018'!C245</f>
        <v>7</v>
      </c>
      <c r="E248" s="15">
        <v>0</v>
      </c>
      <c r="F248" s="15">
        <v>0</v>
      </c>
      <c r="G248" s="15">
        <v>0</v>
      </c>
      <c r="H248" s="70">
        <v>7</v>
      </c>
      <c r="I248" s="15">
        <v>0</v>
      </c>
      <c r="J248" s="106" t="s">
        <v>12</v>
      </c>
      <c r="K248" s="591" t="s">
        <v>503</v>
      </c>
      <c r="L248" s="24"/>
    </row>
    <row r="249" spans="1:12" s="16" customFormat="1" x14ac:dyDescent="0.35">
      <c r="A249" s="589">
        <v>127</v>
      </c>
      <c r="B249" s="24" t="s">
        <v>504</v>
      </c>
      <c r="C249" s="670">
        <f t="shared" si="20"/>
        <v>2.7</v>
      </c>
      <c r="D249" s="590">
        <f>'[23]road inventory 2018'!C249</f>
        <v>2.7</v>
      </c>
      <c r="E249" s="15">
        <v>0</v>
      </c>
      <c r="F249" s="15">
        <v>0</v>
      </c>
      <c r="G249" s="15">
        <v>0</v>
      </c>
      <c r="H249" s="70">
        <v>2.7</v>
      </c>
      <c r="I249" s="15">
        <v>0</v>
      </c>
      <c r="J249" s="106" t="s">
        <v>12</v>
      </c>
      <c r="K249" s="591" t="s">
        <v>505</v>
      </c>
      <c r="L249" s="24"/>
    </row>
    <row r="250" spans="1:12" x14ac:dyDescent="0.35">
      <c r="A250" s="596">
        <v>128</v>
      </c>
      <c r="B250" s="28" t="s">
        <v>507</v>
      </c>
      <c r="C250" s="670">
        <f t="shared" si="20"/>
        <v>2.2999999999999998</v>
      </c>
      <c r="D250" s="590">
        <f>'[23]road inventory 2018'!C250</f>
        <v>2.3000000000000003</v>
      </c>
      <c r="E250" s="10">
        <v>2.2999999999999998</v>
      </c>
      <c r="F250" s="10">
        <v>0</v>
      </c>
      <c r="G250" s="10">
        <v>0</v>
      </c>
      <c r="H250" s="678">
        <v>0</v>
      </c>
      <c r="I250" s="10">
        <v>0</v>
      </c>
      <c r="J250" s="103" t="s">
        <v>10</v>
      </c>
      <c r="K250" s="597" t="s">
        <v>508</v>
      </c>
      <c r="L250" s="28"/>
    </row>
    <row r="251" spans="1:12" ht="31" x14ac:dyDescent="0.35">
      <c r="A251" s="596">
        <v>155</v>
      </c>
      <c r="B251" s="28" t="s">
        <v>509</v>
      </c>
      <c r="C251" s="670">
        <f t="shared" si="20"/>
        <v>3.7</v>
      </c>
      <c r="D251" s="590">
        <f>'[23]road inventory 2018'!C251</f>
        <v>3.7</v>
      </c>
      <c r="E251" s="10">
        <v>0</v>
      </c>
      <c r="F251" s="10">
        <v>0</v>
      </c>
      <c r="G251" s="10">
        <v>3.7</v>
      </c>
      <c r="H251" s="678">
        <v>0</v>
      </c>
      <c r="I251" s="10">
        <v>0</v>
      </c>
      <c r="J251" s="103" t="s">
        <v>41</v>
      </c>
      <c r="K251" s="597" t="s">
        <v>510</v>
      </c>
      <c r="L251" s="28"/>
    </row>
    <row r="252" spans="1:12" ht="18" customHeight="1" x14ac:dyDescent="0.35">
      <c r="A252" s="596">
        <v>129</v>
      </c>
      <c r="B252" s="28" t="s">
        <v>512</v>
      </c>
      <c r="C252" s="670">
        <f t="shared" si="20"/>
        <v>2.7</v>
      </c>
      <c r="D252" s="590">
        <f>'[23]road inventory 2018'!C252</f>
        <v>2.7</v>
      </c>
      <c r="E252" s="10">
        <v>0</v>
      </c>
      <c r="F252" s="10">
        <v>0</v>
      </c>
      <c r="G252" s="10">
        <v>0</v>
      </c>
      <c r="H252" s="678">
        <v>2.7</v>
      </c>
      <c r="I252" s="10">
        <v>0</v>
      </c>
      <c r="J252" s="103" t="s">
        <v>33</v>
      </c>
      <c r="K252" s="597" t="s">
        <v>513</v>
      </c>
      <c r="L252" s="28"/>
    </row>
    <row r="253" spans="1:12" s="16" customFormat="1" ht="18" customHeight="1" x14ac:dyDescent="0.35">
      <c r="A253" s="589">
        <v>156</v>
      </c>
      <c r="B253" s="24" t="s">
        <v>130</v>
      </c>
      <c r="C253" s="670">
        <f t="shared" si="20"/>
        <v>20</v>
      </c>
      <c r="D253" s="590">
        <f>'[23]road inventory 2018'!C253</f>
        <v>20</v>
      </c>
      <c r="E253" s="15">
        <v>8.5299999999999994</v>
      </c>
      <c r="F253" s="15">
        <v>0</v>
      </c>
      <c r="G253" s="15">
        <v>0</v>
      </c>
      <c r="H253" s="70">
        <v>11.47</v>
      </c>
      <c r="I253" s="15">
        <v>0</v>
      </c>
      <c r="J253" s="106" t="s">
        <v>10</v>
      </c>
      <c r="K253" s="591" t="s">
        <v>514</v>
      </c>
      <c r="L253" s="24"/>
    </row>
    <row r="254" spans="1:12" ht="18" customHeight="1" x14ac:dyDescent="0.35">
      <c r="A254" s="596">
        <v>157</v>
      </c>
      <c r="B254" s="28" t="s">
        <v>515</v>
      </c>
      <c r="C254" s="670">
        <f t="shared" si="20"/>
        <v>0</v>
      </c>
      <c r="D254" s="10">
        <f>'[23]road inventory 2018'!C254</f>
        <v>8.6999999999999993</v>
      </c>
      <c r="E254" s="10">
        <v>0</v>
      </c>
      <c r="F254" s="10">
        <v>0</v>
      </c>
      <c r="G254" s="10">
        <v>0</v>
      </c>
      <c r="H254" s="678">
        <v>0</v>
      </c>
      <c r="I254" s="10">
        <v>0</v>
      </c>
      <c r="J254" s="103" t="s">
        <v>12</v>
      </c>
      <c r="K254" s="597"/>
      <c r="L254" s="28" t="s">
        <v>837</v>
      </c>
    </row>
    <row r="255" spans="1:12" ht="18" customHeight="1" x14ac:dyDescent="0.35">
      <c r="A255" s="596">
        <v>158</v>
      </c>
      <c r="B255" s="28" t="s">
        <v>517</v>
      </c>
      <c r="C255" s="670">
        <f t="shared" si="20"/>
        <v>7.2</v>
      </c>
      <c r="D255" s="10">
        <f>'[23]road inventory 2018'!C255</f>
        <v>7.1999999999999993</v>
      </c>
      <c r="E255" s="10">
        <v>0</v>
      </c>
      <c r="F255" s="10">
        <v>0</v>
      </c>
      <c r="G255" s="10">
        <v>0</v>
      </c>
      <c r="H255" s="678">
        <v>7.2</v>
      </c>
      <c r="I255" s="10">
        <v>0</v>
      </c>
      <c r="J255" s="103" t="s">
        <v>33</v>
      </c>
      <c r="K255" s="597"/>
      <c r="L255" s="28" t="s">
        <v>837</v>
      </c>
    </row>
    <row r="256" spans="1:12" ht="18" customHeight="1" x14ac:dyDescent="0.35">
      <c r="A256" s="596">
        <v>159</v>
      </c>
      <c r="B256" s="28" t="s">
        <v>518</v>
      </c>
      <c r="C256" s="670">
        <f t="shared" si="20"/>
        <v>0</v>
      </c>
      <c r="D256" s="10">
        <f>'[23]road inventory 2018'!C256</f>
        <v>4.8</v>
      </c>
      <c r="E256" s="10">
        <v>0</v>
      </c>
      <c r="F256" s="10">
        <v>0</v>
      </c>
      <c r="G256" s="10">
        <v>0</v>
      </c>
      <c r="H256" s="678">
        <v>0</v>
      </c>
      <c r="I256" s="10">
        <v>0</v>
      </c>
      <c r="J256" s="103" t="s">
        <v>33</v>
      </c>
      <c r="K256" s="597"/>
      <c r="L256" s="28" t="s">
        <v>837</v>
      </c>
    </row>
    <row r="257" spans="1:12" ht="18" customHeight="1" x14ac:dyDescent="0.35">
      <c r="A257" s="596">
        <v>130</v>
      </c>
      <c r="B257" s="28" t="s">
        <v>519</v>
      </c>
      <c r="C257" s="670">
        <f t="shared" si="20"/>
        <v>1.19</v>
      </c>
      <c r="D257" s="10">
        <f>'[23]road inventory 2018'!C257</f>
        <v>6</v>
      </c>
      <c r="E257" s="10">
        <f>[25]CARRIAGEWAY!$V$360</f>
        <v>0</v>
      </c>
      <c r="F257" s="10">
        <f>[25]CARRIAGEWAY!$X$360</f>
        <v>0</v>
      </c>
      <c r="G257" s="10">
        <v>1.19</v>
      </c>
      <c r="H257" s="678">
        <f>[25]CARRIAGEWAY!$Y$360</f>
        <v>0</v>
      </c>
      <c r="I257" s="10">
        <v>0</v>
      </c>
      <c r="J257" s="103" t="str">
        <f>[25]CARRIAGEWAY!$Z$361</f>
        <v>POOR</v>
      </c>
      <c r="K257" s="597" t="s">
        <v>520</v>
      </c>
      <c r="L257" s="28" t="s">
        <v>833</v>
      </c>
    </row>
    <row r="258" spans="1:12" s="16" customFormat="1" ht="18" customHeight="1" x14ac:dyDescent="0.35">
      <c r="A258" s="589">
        <v>131</v>
      </c>
      <c r="B258" s="24" t="s">
        <v>523</v>
      </c>
      <c r="C258" s="670">
        <f t="shared" si="20"/>
        <v>5.1999999999999993</v>
      </c>
      <c r="D258" s="590">
        <f>'[23]road inventory 2018'!C258</f>
        <v>5.2</v>
      </c>
      <c r="E258" s="15">
        <v>2.0099999999999998</v>
      </c>
      <c r="F258" s="15">
        <v>0</v>
      </c>
      <c r="G258" s="15">
        <v>0</v>
      </c>
      <c r="H258" s="70">
        <v>3.19</v>
      </c>
      <c r="I258" s="15">
        <v>0</v>
      </c>
      <c r="J258" s="106" t="s">
        <v>12</v>
      </c>
      <c r="K258" s="591"/>
      <c r="L258" s="24"/>
    </row>
    <row r="259" spans="1:12" s="16" customFormat="1" ht="18" customHeight="1" x14ac:dyDescent="0.35">
      <c r="A259" s="589">
        <v>135</v>
      </c>
      <c r="B259" s="24" t="s">
        <v>139</v>
      </c>
      <c r="C259" s="670">
        <f t="shared" si="20"/>
        <v>4.4000000000000004</v>
      </c>
      <c r="D259" s="590">
        <f>'[23]road inventory 2018'!C259</f>
        <v>4.4000000000000004</v>
      </c>
      <c r="E259" s="15">
        <v>0</v>
      </c>
      <c r="F259" s="15">
        <v>0</v>
      </c>
      <c r="G259" s="15">
        <v>0</v>
      </c>
      <c r="H259" s="70">
        <v>4.4000000000000004</v>
      </c>
      <c r="I259" s="15">
        <v>0</v>
      </c>
      <c r="J259" s="106" t="s">
        <v>12</v>
      </c>
      <c r="K259" s="591" t="s">
        <v>525</v>
      </c>
      <c r="L259" s="24"/>
    </row>
    <row r="260" spans="1:12" s="16" customFormat="1" ht="18" customHeight="1" x14ac:dyDescent="0.35">
      <c r="A260" s="626"/>
      <c r="B260" s="60"/>
      <c r="C260" s="61">
        <f t="shared" ref="C260:I260" si="21">SUM(C246:C259)</f>
        <v>70.290000000000006</v>
      </c>
      <c r="D260" s="61">
        <f t="shared" si="21"/>
        <v>88.600000000000009</v>
      </c>
      <c r="E260" s="61">
        <f t="shared" si="21"/>
        <v>14.799999999999999</v>
      </c>
      <c r="F260" s="61">
        <f t="shared" si="21"/>
        <v>0</v>
      </c>
      <c r="G260" s="61">
        <f t="shared" si="21"/>
        <v>4.8900000000000006</v>
      </c>
      <c r="H260" s="61">
        <f t="shared" si="21"/>
        <v>50.599999999999994</v>
      </c>
      <c r="I260" s="61">
        <f t="shared" si="21"/>
        <v>0</v>
      </c>
      <c r="J260" s="628"/>
      <c r="K260" s="629"/>
      <c r="L260" s="24"/>
    </row>
    <row r="261" spans="1:12" ht="18" customHeight="1" thickBot="1" x14ac:dyDescent="0.4">
      <c r="A261" s="53" t="s">
        <v>341</v>
      </c>
      <c r="B261" s="34"/>
      <c r="C261" s="31">
        <f>SUM(E261:I261)</f>
        <v>70.289999999999992</v>
      </c>
      <c r="D261" s="630"/>
      <c r="E261" s="31">
        <f>SUM(E246:E259)</f>
        <v>14.799999999999999</v>
      </c>
      <c r="F261" s="31">
        <f>SUM(F246:F259)</f>
        <v>0</v>
      </c>
      <c r="G261" s="31">
        <f>SUM(G246:G259)</f>
        <v>4.8900000000000006</v>
      </c>
      <c r="H261" s="31">
        <f>SUM(H246:H259)</f>
        <v>50.599999999999994</v>
      </c>
      <c r="I261" s="31">
        <f>SUM(I246:I259)</f>
        <v>0</v>
      </c>
      <c r="J261" s="608"/>
      <c r="K261" s="609"/>
      <c r="L261" s="653"/>
    </row>
    <row r="262" spans="1:12" ht="18" customHeight="1" thickBot="1" x14ac:dyDescent="0.4">
      <c r="L262" s="40"/>
    </row>
    <row r="263" spans="1:12" s="1" customFormat="1" x14ac:dyDescent="0.35">
      <c r="A263" s="1217" t="s">
        <v>526</v>
      </c>
      <c r="B263" s="1218"/>
      <c r="C263" s="1218"/>
      <c r="D263" s="1218"/>
      <c r="E263" s="1218"/>
      <c r="F263" s="1218"/>
      <c r="G263" s="1218"/>
      <c r="H263" s="1218"/>
      <c r="I263" s="1218"/>
      <c r="J263" s="1218"/>
      <c r="K263" s="1218"/>
      <c r="L263" s="1219"/>
    </row>
    <row r="264" spans="1:12" s="1" customFormat="1" ht="16" thickBot="1" x14ac:dyDescent="0.4">
      <c r="A264" s="585"/>
      <c r="B264" s="2"/>
      <c r="C264" s="5"/>
      <c r="D264" s="586"/>
      <c r="E264" s="5"/>
      <c r="F264" s="5"/>
      <c r="G264" s="5"/>
      <c r="H264" s="5"/>
      <c r="I264" s="5"/>
      <c r="J264" s="3"/>
      <c r="K264" s="21"/>
      <c r="L264" s="18"/>
    </row>
    <row r="265" spans="1:12" s="1" customFormat="1" ht="21" customHeight="1" x14ac:dyDescent="0.35">
      <c r="A265" s="1206" t="s">
        <v>302</v>
      </c>
      <c r="B265" s="1208" t="s">
        <v>28</v>
      </c>
      <c r="C265" s="1210" t="s">
        <v>343</v>
      </c>
      <c r="D265" s="613"/>
      <c r="E265" s="1212" t="s">
        <v>305</v>
      </c>
      <c r="F265" s="1212"/>
      <c r="G265" s="1212"/>
      <c r="H265" s="1212"/>
      <c r="I265" s="1212"/>
      <c r="J265" s="1208" t="s">
        <v>29</v>
      </c>
      <c r="K265" s="1213" t="s">
        <v>306</v>
      </c>
      <c r="L265" s="1220" t="s">
        <v>307</v>
      </c>
    </row>
    <row r="266" spans="1:12" s="1" customFormat="1" ht="21" customHeight="1" thickBot="1" x14ac:dyDescent="0.4">
      <c r="A266" s="1207"/>
      <c r="B266" s="1209"/>
      <c r="C266" s="1211"/>
      <c r="D266" s="614"/>
      <c r="E266" s="7" t="s">
        <v>308</v>
      </c>
      <c r="F266" s="7" t="s">
        <v>309</v>
      </c>
      <c r="G266" s="7" t="s">
        <v>310</v>
      </c>
      <c r="H266" s="7" t="s">
        <v>311</v>
      </c>
      <c r="I266" s="7" t="s">
        <v>312</v>
      </c>
      <c r="J266" s="1209"/>
      <c r="K266" s="1214"/>
      <c r="L266" s="1221"/>
    </row>
    <row r="267" spans="1:12" s="16" customFormat="1" ht="18" customHeight="1" x14ac:dyDescent="0.35">
      <c r="A267" s="589">
        <v>160</v>
      </c>
      <c r="B267" s="24" t="s">
        <v>527</v>
      </c>
      <c r="C267" s="15">
        <f>SUM(E267:I267)</f>
        <v>28</v>
      </c>
      <c r="D267" s="590">
        <f>'[23]road inventory 2018'!C266</f>
        <v>28</v>
      </c>
      <c r="E267" s="15">
        <v>11.72</v>
      </c>
      <c r="F267" s="15">
        <v>0</v>
      </c>
      <c r="G267" s="15">
        <v>0</v>
      </c>
      <c r="H267" s="15">
        <v>16.28</v>
      </c>
      <c r="I267" s="15">
        <v>0</v>
      </c>
      <c r="J267" s="106" t="s">
        <v>33</v>
      </c>
      <c r="K267" s="591" t="s">
        <v>528</v>
      </c>
      <c r="L267" s="592"/>
    </row>
    <row r="268" spans="1:12" s="16" customFormat="1" ht="18" customHeight="1" x14ac:dyDescent="0.35">
      <c r="A268" s="589">
        <v>161</v>
      </c>
      <c r="B268" s="24" t="s">
        <v>529</v>
      </c>
      <c r="C268" s="15">
        <f t="shared" ref="C268:C277" si="22">SUM(E268:I268)</f>
        <v>1.8</v>
      </c>
      <c r="D268" s="590">
        <f>'[23]road inventory 2018'!C267</f>
        <v>1.8</v>
      </c>
      <c r="E268" s="15">
        <v>1.8</v>
      </c>
      <c r="F268" s="15">
        <v>0</v>
      </c>
      <c r="G268" s="15">
        <v>0</v>
      </c>
      <c r="H268" s="15">
        <v>0</v>
      </c>
      <c r="I268" s="15">
        <v>0</v>
      </c>
      <c r="J268" s="106" t="s">
        <v>12</v>
      </c>
      <c r="K268" s="591" t="s">
        <v>528</v>
      </c>
      <c r="L268" s="24"/>
    </row>
    <row r="269" spans="1:12" s="16" customFormat="1" ht="18" customHeight="1" x14ac:dyDescent="0.35">
      <c r="A269" s="589">
        <v>162</v>
      </c>
      <c r="B269" s="24" t="s">
        <v>530</v>
      </c>
      <c r="C269" s="15">
        <f t="shared" si="22"/>
        <v>1.9</v>
      </c>
      <c r="D269" s="590">
        <f>'[23]road inventory 2018'!C268</f>
        <v>1.9</v>
      </c>
      <c r="E269" s="15">
        <v>0</v>
      </c>
      <c r="F269" s="15">
        <v>0</v>
      </c>
      <c r="G269" s="15">
        <v>0</v>
      </c>
      <c r="H269" s="15">
        <v>1.9</v>
      </c>
      <c r="I269" s="15">
        <v>0</v>
      </c>
      <c r="J269" s="106" t="s">
        <v>33</v>
      </c>
      <c r="K269" s="591" t="s">
        <v>531</v>
      </c>
      <c r="L269" s="24"/>
    </row>
    <row r="270" spans="1:12" ht="18" customHeight="1" x14ac:dyDescent="0.35">
      <c r="A270" s="596">
        <v>163</v>
      </c>
      <c r="B270" s="28" t="s">
        <v>532</v>
      </c>
      <c r="C270" s="15">
        <f t="shared" si="22"/>
        <v>9</v>
      </c>
      <c r="D270" s="590">
        <f>'[23]road inventory 2018'!C269</f>
        <v>9</v>
      </c>
      <c r="E270" s="10">
        <v>0.65</v>
      </c>
      <c r="F270" s="10">
        <v>0</v>
      </c>
      <c r="G270" s="10">
        <v>0</v>
      </c>
      <c r="H270" s="10">
        <v>8.35</v>
      </c>
      <c r="I270" s="10">
        <v>0</v>
      </c>
      <c r="J270" s="103" t="s">
        <v>33</v>
      </c>
      <c r="K270" s="597" t="s">
        <v>533</v>
      </c>
      <c r="L270" s="28"/>
    </row>
    <row r="271" spans="1:12" s="16" customFormat="1" ht="18" customHeight="1" x14ac:dyDescent="0.35">
      <c r="A271" s="589">
        <v>164</v>
      </c>
      <c r="B271" s="24" t="s">
        <v>534</v>
      </c>
      <c r="C271" s="15">
        <f t="shared" si="22"/>
        <v>2.2000000000000002</v>
      </c>
      <c r="D271" s="590">
        <f>'[23]road inventory 2018'!C270</f>
        <v>2.2000000000000002</v>
      </c>
      <c r="E271" s="15">
        <v>0</v>
      </c>
      <c r="F271" s="15">
        <v>0</v>
      </c>
      <c r="G271" s="15">
        <v>0</v>
      </c>
      <c r="H271" s="15">
        <v>2.2000000000000002</v>
      </c>
      <c r="I271" s="15">
        <v>0</v>
      </c>
      <c r="J271" s="106" t="s">
        <v>33</v>
      </c>
      <c r="K271" s="591" t="s">
        <v>535</v>
      </c>
      <c r="L271" s="24"/>
    </row>
    <row r="272" spans="1:12" ht="18" customHeight="1" x14ac:dyDescent="0.35">
      <c r="A272" s="596">
        <v>165</v>
      </c>
      <c r="B272" s="28" t="s">
        <v>536</v>
      </c>
      <c r="C272" s="15">
        <f t="shared" si="22"/>
        <v>3.5</v>
      </c>
      <c r="D272" s="590">
        <f>'[23]road inventory 2018'!C271</f>
        <v>3.5</v>
      </c>
      <c r="E272" s="10">
        <v>0</v>
      </c>
      <c r="F272" s="10">
        <v>0</v>
      </c>
      <c r="G272" s="10">
        <v>0</v>
      </c>
      <c r="H272" s="10">
        <v>3.5</v>
      </c>
      <c r="I272" s="10">
        <v>0</v>
      </c>
      <c r="J272" s="103" t="s">
        <v>33</v>
      </c>
      <c r="K272" s="597" t="s">
        <v>537</v>
      </c>
      <c r="L272" s="28"/>
    </row>
    <row r="273" spans="1:12" s="16" customFormat="1" ht="18" customHeight="1" x14ac:dyDescent="0.35">
      <c r="A273" s="589">
        <v>166</v>
      </c>
      <c r="B273" s="24" t="s">
        <v>538</v>
      </c>
      <c r="C273" s="15">
        <f t="shared" si="22"/>
        <v>2.8</v>
      </c>
      <c r="D273" s="590">
        <f>'[23]road inventory 2018'!C272</f>
        <v>2.8</v>
      </c>
      <c r="E273" s="15">
        <v>0</v>
      </c>
      <c r="F273" s="15">
        <v>0</v>
      </c>
      <c r="G273" s="15">
        <v>0</v>
      </c>
      <c r="H273" s="15">
        <v>2.8</v>
      </c>
      <c r="I273" s="15">
        <v>0</v>
      </c>
      <c r="J273" s="106" t="s">
        <v>12</v>
      </c>
      <c r="K273" s="591" t="s">
        <v>539</v>
      </c>
      <c r="L273" s="24"/>
    </row>
    <row r="274" spans="1:12" ht="18" customHeight="1" x14ac:dyDescent="0.35">
      <c r="A274" s="596">
        <v>167</v>
      </c>
      <c r="B274" s="28" t="s">
        <v>540</v>
      </c>
      <c r="C274" s="15">
        <f t="shared" si="22"/>
        <v>5.5</v>
      </c>
      <c r="D274" s="590">
        <f>'[23]road inventory 2018'!C273</f>
        <v>5.5</v>
      </c>
      <c r="E274" s="10">
        <v>0</v>
      </c>
      <c r="F274" s="10">
        <v>0</v>
      </c>
      <c r="G274" s="10">
        <v>0</v>
      </c>
      <c r="H274" s="10">
        <v>5.5</v>
      </c>
      <c r="I274" s="10">
        <v>0</v>
      </c>
      <c r="J274" s="103" t="s">
        <v>12</v>
      </c>
      <c r="K274" s="597" t="s">
        <v>541</v>
      </c>
      <c r="L274" s="28"/>
    </row>
    <row r="275" spans="1:12" ht="18" customHeight="1" x14ac:dyDescent="0.35">
      <c r="A275" s="596">
        <v>168</v>
      </c>
      <c r="B275" s="28" t="s">
        <v>542</v>
      </c>
      <c r="C275" s="15">
        <f t="shared" si="22"/>
        <v>2.8</v>
      </c>
      <c r="D275" s="590">
        <f>'[23]road inventory 2018'!C274</f>
        <v>2.8</v>
      </c>
      <c r="E275" s="10">
        <v>0</v>
      </c>
      <c r="F275" s="10">
        <v>0</v>
      </c>
      <c r="G275" s="10">
        <v>0</v>
      </c>
      <c r="H275" s="10">
        <v>2.8</v>
      </c>
      <c r="I275" s="10">
        <v>0</v>
      </c>
      <c r="J275" s="103" t="s">
        <v>33</v>
      </c>
      <c r="K275" s="597" t="s">
        <v>543</v>
      </c>
      <c r="L275" s="28"/>
    </row>
    <row r="276" spans="1:12" ht="18" customHeight="1" x14ac:dyDescent="0.35">
      <c r="A276" s="596">
        <v>170</v>
      </c>
      <c r="B276" s="28" t="s">
        <v>544</v>
      </c>
      <c r="C276" s="15">
        <f t="shared" si="22"/>
        <v>1.3</v>
      </c>
      <c r="D276" s="590">
        <f>'[23]road inventory 2018'!C275</f>
        <v>1.3</v>
      </c>
      <c r="E276" s="10">
        <v>0</v>
      </c>
      <c r="F276" s="10">
        <v>0</v>
      </c>
      <c r="G276" s="10">
        <v>0</v>
      </c>
      <c r="H276" s="10">
        <v>1.3</v>
      </c>
      <c r="I276" s="10">
        <v>0</v>
      </c>
      <c r="J276" s="103" t="s">
        <v>33</v>
      </c>
      <c r="K276" s="597" t="s">
        <v>533</v>
      </c>
      <c r="L276" s="28"/>
    </row>
    <row r="277" spans="1:12" ht="18" customHeight="1" x14ac:dyDescent="0.35">
      <c r="A277" s="596">
        <v>169</v>
      </c>
      <c r="B277" s="28" t="s">
        <v>545</v>
      </c>
      <c r="C277" s="15">
        <f t="shared" si="22"/>
        <v>3.2</v>
      </c>
      <c r="D277" s="590">
        <f>'[23]road inventory 2018'!C276</f>
        <v>3.2</v>
      </c>
      <c r="E277" s="10">
        <v>0</v>
      </c>
      <c r="F277" s="10">
        <v>0</v>
      </c>
      <c r="G277" s="10">
        <v>0</v>
      </c>
      <c r="H277" s="10">
        <v>3.2</v>
      </c>
      <c r="I277" s="10">
        <v>0</v>
      </c>
      <c r="J277" s="103" t="s">
        <v>41</v>
      </c>
      <c r="K277" s="597" t="s">
        <v>546</v>
      </c>
      <c r="L277" s="28"/>
    </row>
    <row r="278" spans="1:12" ht="18" customHeight="1" x14ac:dyDescent="0.35">
      <c r="A278" s="635"/>
      <c r="B278" s="40"/>
      <c r="C278" s="41">
        <f>SUM(C267:C277)</f>
        <v>62</v>
      </c>
      <c r="D278" s="41">
        <f t="shared" ref="D278:I278" si="23">SUM(D267:D277)</f>
        <v>62</v>
      </c>
      <c r="E278" s="41">
        <f t="shared" si="23"/>
        <v>14.170000000000002</v>
      </c>
      <c r="F278" s="41">
        <f t="shared" si="23"/>
        <v>0</v>
      </c>
      <c r="G278" s="41">
        <f t="shared" si="23"/>
        <v>0</v>
      </c>
      <c r="H278" s="41">
        <f t="shared" si="23"/>
        <v>47.83</v>
      </c>
      <c r="I278" s="41">
        <f t="shared" si="23"/>
        <v>0</v>
      </c>
      <c r="J278" s="109"/>
      <c r="K278" s="605"/>
      <c r="L278" s="28"/>
    </row>
    <row r="279" spans="1:12" ht="18" customHeight="1" thickBot="1" x14ac:dyDescent="0.4">
      <c r="A279" s="53" t="s">
        <v>341</v>
      </c>
      <c r="B279" s="34"/>
      <c r="C279" s="31">
        <f>SUM(E279:I279)</f>
        <v>62</v>
      </c>
      <c r="D279" s="630"/>
      <c r="E279" s="31">
        <f>SUM(E267:E277)</f>
        <v>14.170000000000002</v>
      </c>
      <c r="F279" s="31">
        <f>SUM(F267:F277)</f>
        <v>0</v>
      </c>
      <c r="G279" s="31">
        <f>SUM(G267:G277)</f>
        <v>0</v>
      </c>
      <c r="H279" s="31">
        <f>SUM(H267:H277)</f>
        <v>47.83</v>
      </c>
      <c r="I279" s="31">
        <f>SUM(I267:I277)</f>
        <v>0</v>
      </c>
      <c r="J279" s="608"/>
      <c r="K279" s="609"/>
      <c r="L279" s="653"/>
    </row>
    <row r="280" spans="1:12" ht="18" customHeight="1" thickBot="1" x14ac:dyDescent="0.4">
      <c r="L280" s="40"/>
    </row>
    <row r="281" spans="1:12" s="1" customFormat="1" x14ac:dyDescent="0.35">
      <c r="A281" s="1217" t="s">
        <v>547</v>
      </c>
      <c r="B281" s="1218"/>
      <c r="C281" s="1218"/>
      <c r="D281" s="1218"/>
      <c r="E281" s="1218"/>
      <c r="F281" s="1218"/>
      <c r="G281" s="1218"/>
      <c r="H281" s="1218"/>
      <c r="I281" s="1218"/>
      <c r="J281" s="1218"/>
      <c r="K281" s="1218"/>
      <c r="L281" s="684"/>
    </row>
    <row r="282" spans="1:12" s="1" customFormat="1" ht="16" thickBot="1" x14ac:dyDescent="0.4">
      <c r="A282" s="585"/>
      <c r="B282" s="2"/>
      <c r="C282" s="5"/>
      <c r="D282" s="586"/>
      <c r="E282" s="5"/>
      <c r="F282" s="5"/>
      <c r="G282" s="5"/>
      <c r="H282" s="5"/>
      <c r="I282" s="5"/>
      <c r="J282" s="3"/>
      <c r="K282" s="21"/>
      <c r="L282" s="97"/>
    </row>
    <row r="283" spans="1:12" s="1" customFormat="1" ht="21" customHeight="1" x14ac:dyDescent="0.35">
      <c r="A283" s="1206" t="s">
        <v>302</v>
      </c>
      <c r="B283" s="1208" t="s">
        <v>28</v>
      </c>
      <c r="C283" s="1210" t="s">
        <v>343</v>
      </c>
      <c r="D283" s="613"/>
      <c r="E283" s="1212" t="s">
        <v>305</v>
      </c>
      <c r="F283" s="1212"/>
      <c r="G283" s="1212"/>
      <c r="H283" s="1212"/>
      <c r="I283" s="1212"/>
      <c r="J283" s="1208" t="s">
        <v>29</v>
      </c>
      <c r="K283" s="1213" t="s">
        <v>306</v>
      </c>
      <c r="L283" s="1222" t="s">
        <v>307</v>
      </c>
    </row>
    <row r="284" spans="1:12" s="1" customFormat="1" ht="21" customHeight="1" thickBot="1" x14ac:dyDescent="0.4">
      <c r="A284" s="1207"/>
      <c r="B284" s="1209"/>
      <c r="C284" s="1211"/>
      <c r="D284" s="614"/>
      <c r="E284" s="7" t="s">
        <v>308</v>
      </c>
      <c r="F284" s="7" t="s">
        <v>309</v>
      </c>
      <c r="G284" s="7" t="s">
        <v>310</v>
      </c>
      <c r="H284" s="7" t="s">
        <v>311</v>
      </c>
      <c r="I284" s="7" t="s">
        <v>312</v>
      </c>
      <c r="J284" s="1209"/>
      <c r="K284" s="1214"/>
      <c r="L284" s="1223"/>
    </row>
    <row r="285" spans="1:12" ht="28.5" customHeight="1" x14ac:dyDescent="0.35">
      <c r="A285" s="596">
        <v>196</v>
      </c>
      <c r="B285" s="28" t="s">
        <v>548</v>
      </c>
      <c r="C285" s="10">
        <f>SUM(E285:I285)</f>
        <v>12.69</v>
      </c>
      <c r="D285" s="10">
        <f>'[23]road inventory 2018'!C283</f>
        <v>12.700000000000001</v>
      </c>
      <c r="E285" s="10">
        <v>8.1999999999999993</v>
      </c>
      <c r="F285" s="10">
        <v>0</v>
      </c>
      <c r="G285" s="10">
        <v>0</v>
      </c>
      <c r="H285" s="10">
        <v>4.49</v>
      </c>
      <c r="I285" s="10">
        <v>0</v>
      </c>
      <c r="J285" s="103" t="s">
        <v>12</v>
      </c>
      <c r="K285" s="597" t="s">
        <v>549</v>
      </c>
      <c r="L285" s="112" t="s">
        <v>838</v>
      </c>
    </row>
    <row r="286" spans="1:12" s="16" customFormat="1" ht="18" customHeight="1" x14ac:dyDescent="0.35">
      <c r="A286" s="589">
        <v>197</v>
      </c>
      <c r="B286" s="24" t="s">
        <v>550</v>
      </c>
      <c r="C286" s="10">
        <f t="shared" ref="C286:C292" si="24">SUM(E286:I286)</f>
        <v>4.9400000000000004</v>
      </c>
      <c r="D286" s="590">
        <f>'[23]road inventory 2018'!C284</f>
        <v>6.6</v>
      </c>
      <c r="E286" s="15">
        <v>4.9400000000000004</v>
      </c>
      <c r="F286" s="15">
        <v>0</v>
      </c>
      <c r="G286" s="15">
        <v>0</v>
      </c>
      <c r="H286" s="15">
        <v>0</v>
      </c>
      <c r="I286" s="15">
        <v>0</v>
      </c>
      <c r="J286" s="106" t="s">
        <v>12</v>
      </c>
      <c r="K286" s="591" t="s">
        <v>551</v>
      </c>
      <c r="L286" s="24"/>
    </row>
    <row r="287" spans="1:12" ht="18" customHeight="1" x14ac:dyDescent="0.35">
      <c r="A287" s="596">
        <v>199</v>
      </c>
      <c r="B287" s="28" t="s">
        <v>552</v>
      </c>
      <c r="C287" s="10">
        <f t="shared" si="24"/>
        <v>4.13</v>
      </c>
      <c r="D287" s="590">
        <f>'[23]road inventory 2018'!C285</f>
        <v>5</v>
      </c>
      <c r="E287" s="10">
        <v>0</v>
      </c>
      <c r="F287" s="10">
        <v>0</v>
      </c>
      <c r="G287" s="10">
        <v>0</v>
      </c>
      <c r="H287" s="10">
        <v>4.13</v>
      </c>
      <c r="I287" s="10">
        <v>0</v>
      </c>
      <c r="J287" s="103" t="s">
        <v>33</v>
      </c>
      <c r="K287" s="597" t="s">
        <v>553</v>
      </c>
      <c r="L287" s="28"/>
    </row>
    <row r="288" spans="1:12" s="16" customFormat="1" ht="18" customHeight="1" x14ac:dyDescent="0.35">
      <c r="A288" s="589">
        <v>200</v>
      </c>
      <c r="B288" s="24" t="s">
        <v>291</v>
      </c>
      <c r="C288" s="10">
        <f t="shared" si="24"/>
        <v>1.1000000000000001</v>
      </c>
      <c r="D288" s="590">
        <f>'[23]road inventory 2018'!C286</f>
        <v>1.1000000000000001</v>
      </c>
      <c r="E288" s="15">
        <v>1.1000000000000001</v>
      </c>
      <c r="F288" s="15">
        <v>0</v>
      </c>
      <c r="G288" s="15">
        <v>0</v>
      </c>
      <c r="H288" s="15">
        <v>0</v>
      </c>
      <c r="I288" s="15">
        <v>0</v>
      </c>
      <c r="J288" s="106" t="s">
        <v>10</v>
      </c>
      <c r="K288" s="591" t="s">
        <v>554</v>
      </c>
      <c r="L288" s="24"/>
    </row>
    <row r="289" spans="1:12" ht="18" customHeight="1" x14ac:dyDescent="0.35">
      <c r="A289" s="596">
        <v>201</v>
      </c>
      <c r="B289" s="28" t="s">
        <v>555</v>
      </c>
      <c r="C289" s="10">
        <f t="shared" si="24"/>
        <v>4.97</v>
      </c>
      <c r="D289" s="590">
        <f>'[23]road inventory 2018'!C287</f>
        <v>5.2</v>
      </c>
      <c r="E289" s="10">
        <v>4.97</v>
      </c>
      <c r="F289" s="10">
        <v>0</v>
      </c>
      <c r="G289" s="10">
        <v>0</v>
      </c>
      <c r="H289" s="10">
        <v>0</v>
      </c>
      <c r="I289" s="10">
        <v>0</v>
      </c>
      <c r="J289" s="103" t="s">
        <v>12</v>
      </c>
      <c r="K289" s="597" t="s">
        <v>556</v>
      </c>
      <c r="L289" s="28"/>
    </row>
    <row r="290" spans="1:12" ht="31" x14ac:dyDescent="0.35">
      <c r="A290" s="596">
        <v>202</v>
      </c>
      <c r="B290" s="28" t="s">
        <v>557</v>
      </c>
      <c r="C290" s="10">
        <f t="shared" si="24"/>
        <v>5.3000000000000007</v>
      </c>
      <c r="D290" s="10">
        <f>'[23]road inventory 2018'!C288</f>
        <v>5.3000000000000007</v>
      </c>
      <c r="E290" s="10">
        <v>0.9</v>
      </c>
      <c r="F290" s="10">
        <v>0</v>
      </c>
      <c r="G290" s="10">
        <v>0</v>
      </c>
      <c r="H290" s="10">
        <v>4.4000000000000004</v>
      </c>
      <c r="I290" s="10">
        <v>0</v>
      </c>
      <c r="J290" s="103" t="s">
        <v>33</v>
      </c>
      <c r="K290" s="597" t="s">
        <v>556</v>
      </c>
      <c r="L290" s="28" t="str">
        <f>L285</f>
        <v>FOR VERIFICATION</v>
      </c>
    </row>
    <row r="291" spans="1:12" s="16" customFormat="1" ht="18" customHeight="1" x14ac:dyDescent="0.35">
      <c r="A291" s="589">
        <v>203</v>
      </c>
      <c r="B291" s="24" t="s">
        <v>558</v>
      </c>
      <c r="C291" s="10">
        <f t="shared" si="24"/>
        <v>4</v>
      </c>
      <c r="D291" s="590">
        <f>'[23]road inventory 2018'!C289</f>
        <v>3.8</v>
      </c>
      <c r="E291" s="15">
        <v>2.5499999999999998</v>
      </c>
      <c r="F291" s="15">
        <v>1.45</v>
      </c>
      <c r="G291" s="15">
        <v>0</v>
      </c>
      <c r="H291" s="15">
        <v>0</v>
      </c>
      <c r="I291" s="15">
        <v>0</v>
      </c>
      <c r="J291" s="106" t="s">
        <v>839</v>
      </c>
      <c r="K291" s="591" t="s">
        <v>559</v>
      </c>
      <c r="L291" s="24"/>
    </row>
    <row r="292" spans="1:12" ht="18" customHeight="1" x14ac:dyDescent="0.35">
      <c r="A292" s="596">
        <v>228</v>
      </c>
      <c r="B292" s="28" t="s">
        <v>141</v>
      </c>
      <c r="C292" s="10">
        <f t="shared" si="24"/>
        <v>8.11</v>
      </c>
      <c r="D292" s="590">
        <f>'[23]road inventory 2018'!C290</f>
        <v>9.3000000000000007</v>
      </c>
      <c r="E292" s="10">
        <v>8</v>
      </c>
      <c r="F292" s="10">
        <v>0</v>
      </c>
      <c r="G292" s="10">
        <v>0.11</v>
      </c>
      <c r="H292" s="10">
        <v>0</v>
      </c>
      <c r="I292" s="10">
        <v>0</v>
      </c>
      <c r="J292" s="103" t="s">
        <v>33</v>
      </c>
      <c r="K292" s="597"/>
      <c r="L292" s="28"/>
    </row>
    <row r="293" spans="1:12" ht="18" customHeight="1" x14ac:dyDescent="0.35">
      <c r="A293" s="596"/>
      <c r="B293" s="28"/>
      <c r="C293" s="10">
        <f>SUM(C285:C292)</f>
        <v>45.239999999999995</v>
      </c>
      <c r="D293" s="10">
        <f t="shared" ref="D293:I293" si="25">SUM(D285:D292)</f>
        <v>49</v>
      </c>
      <c r="E293" s="10">
        <f t="shared" si="25"/>
        <v>30.66</v>
      </c>
      <c r="F293" s="10">
        <f t="shared" si="25"/>
        <v>1.45</v>
      </c>
      <c r="G293" s="10">
        <f t="shared" si="25"/>
        <v>0.11</v>
      </c>
      <c r="H293" s="10">
        <f t="shared" si="25"/>
        <v>13.020000000000001</v>
      </c>
      <c r="I293" s="10">
        <f t="shared" si="25"/>
        <v>0</v>
      </c>
      <c r="J293" s="103"/>
      <c r="K293" s="597"/>
      <c r="L293" s="28"/>
    </row>
    <row r="294" spans="1:12" ht="18" customHeight="1" thickBot="1" x14ac:dyDescent="0.4">
      <c r="A294" s="53" t="s">
        <v>341</v>
      </c>
      <c r="B294" s="34"/>
      <c r="C294" s="31">
        <f>SUM(E294:I294)</f>
        <v>45.24</v>
      </c>
      <c r="D294" s="630"/>
      <c r="E294" s="31">
        <f>SUM(E285:E292)</f>
        <v>30.66</v>
      </c>
      <c r="F294" s="31">
        <f>SUM(F285:F292)</f>
        <v>1.45</v>
      </c>
      <c r="G294" s="31">
        <f>SUM(G285:G292)</f>
        <v>0.11</v>
      </c>
      <c r="H294" s="31">
        <f>SUM(H285:H292)</f>
        <v>13.020000000000001</v>
      </c>
      <c r="I294" s="31">
        <f>SUM(I285:I292)</f>
        <v>0</v>
      </c>
      <c r="J294" s="608"/>
      <c r="K294" s="609"/>
      <c r="L294" s="653"/>
    </row>
    <row r="295" spans="1:12" x14ac:dyDescent="0.35">
      <c r="L295" s="28"/>
    </row>
    <row r="296" spans="1:12" s="1" customFormat="1" x14ac:dyDescent="0.35">
      <c r="A296" s="1203" t="s">
        <v>560</v>
      </c>
      <c r="B296" s="1204"/>
      <c r="C296" s="1204"/>
      <c r="D296" s="1204"/>
      <c r="E296" s="1204"/>
      <c r="F296" s="1204"/>
      <c r="G296" s="1204"/>
      <c r="H296" s="1204"/>
      <c r="I296" s="1204"/>
      <c r="J296" s="1204"/>
      <c r="K296" s="1204"/>
      <c r="L296" s="1205"/>
    </row>
    <row r="297" spans="1:12" s="1" customFormat="1" ht="16" thickBot="1" x14ac:dyDescent="0.4">
      <c r="A297" s="585"/>
      <c r="B297" s="2"/>
      <c r="C297" s="5"/>
      <c r="D297" s="586"/>
      <c r="E297" s="5"/>
      <c r="F297" s="5"/>
      <c r="G297" s="5"/>
      <c r="H297" s="5"/>
      <c r="I297" s="5"/>
      <c r="J297" s="3"/>
      <c r="K297" s="21"/>
      <c r="L297" s="653"/>
    </row>
    <row r="298" spans="1:12" s="1" customFormat="1" ht="21" customHeight="1" x14ac:dyDescent="0.35">
      <c r="A298" s="1206" t="s">
        <v>302</v>
      </c>
      <c r="B298" s="1208" t="s">
        <v>28</v>
      </c>
      <c r="C298" s="1210" t="s">
        <v>343</v>
      </c>
      <c r="D298" s="613"/>
      <c r="E298" s="1212" t="s">
        <v>305</v>
      </c>
      <c r="F298" s="1212"/>
      <c r="G298" s="1212"/>
      <c r="H298" s="1212"/>
      <c r="I298" s="1212"/>
      <c r="J298" s="1208" t="s">
        <v>29</v>
      </c>
      <c r="K298" s="1213" t="s">
        <v>306</v>
      </c>
      <c r="L298" s="1215" t="str">
        <f>L283</f>
        <v>REMARKS</v>
      </c>
    </row>
    <row r="299" spans="1:12" s="1" customFormat="1" ht="21" customHeight="1" thickBot="1" x14ac:dyDescent="0.4">
      <c r="A299" s="1207"/>
      <c r="B299" s="1209"/>
      <c r="C299" s="1211"/>
      <c r="D299" s="614"/>
      <c r="E299" s="7" t="s">
        <v>308</v>
      </c>
      <c r="F299" s="7" t="s">
        <v>309</v>
      </c>
      <c r="G299" s="7" t="s">
        <v>310</v>
      </c>
      <c r="H299" s="7" t="s">
        <v>311</v>
      </c>
      <c r="I299" s="7" t="s">
        <v>312</v>
      </c>
      <c r="J299" s="1209"/>
      <c r="K299" s="1214"/>
      <c r="L299" s="1216"/>
    </row>
    <row r="300" spans="1:12" ht="18" customHeight="1" x14ac:dyDescent="0.35">
      <c r="A300" s="596">
        <v>204</v>
      </c>
      <c r="B300" s="28" t="s">
        <v>561</v>
      </c>
      <c r="C300" s="10">
        <f>SUM(E300:I300)</f>
        <v>15.87</v>
      </c>
      <c r="D300" s="10">
        <f>'[23]road inventory 2018'!C298</f>
        <v>15.87</v>
      </c>
      <c r="E300" s="10">
        <v>6.92</v>
      </c>
      <c r="F300" s="10">
        <v>2.5499999999999998</v>
      </c>
      <c r="G300" s="10">
        <v>0</v>
      </c>
      <c r="H300" s="10">
        <v>6.4</v>
      </c>
      <c r="I300" s="10">
        <v>0</v>
      </c>
      <c r="J300" s="103" t="s">
        <v>33</v>
      </c>
      <c r="K300" s="597" t="s">
        <v>562</v>
      </c>
      <c r="L300" s="28" t="str">
        <f>L290</f>
        <v>FOR VERIFICATION</v>
      </c>
    </row>
    <row r="301" spans="1:12" s="16" customFormat="1" ht="18" customHeight="1" x14ac:dyDescent="0.35">
      <c r="A301" s="589">
        <v>205</v>
      </c>
      <c r="B301" s="24" t="s">
        <v>563</v>
      </c>
      <c r="C301" s="10">
        <f t="shared" ref="C301:C310" si="26">SUM(E301:I301)</f>
        <v>0.37</v>
      </c>
      <c r="D301" s="615">
        <f>'[23]road inventory 2018'!C299</f>
        <v>0.37</v>
      </c>
      <c r="E301" s="15">
        <v>0.37</v>
      </c>
      <c r="F301" s="15">
        <v>0</v>
      </c>
      <c r="G301" s="15">
        <v>0</v>
      </c>
      <c r="H301" s="15">
        <v>0</v>
      </c>
      <c r="I301" s="15">
        <v>0</v>
      </c>
      <c r="J301" s="106" t="s">
        <v>10</v>
      </c>
      <c r="K301" s="591" t="s">
        <v>564</v>
      </c>
      <c r="L301" s="24"/>
    </row>
    <row r="302" spans="1:12" s="16" customFormat="1" ht="31" x14ac:dyDescent="0.35">
      <c r="A302" s="589">
        <v>213</v>
      </c>
      <c r="B302" s="24" t="s">
        <v>293</v>
      </c>
      <c r="C302" s="10">
        <f t="shared" si="26"/>
        <v>2.8499999999999996</v>
      </c>
      <c r="D302" s="615">
        <f>'[23]road inventory 2018'!C300</f>
        <v>1.8599999999999999</v>
      </c>
      <c r="E302" s="15">
        <v>2.11</v>
      </c>
      <c r="F302" s="15">
        <v>0.74</v>
      </c>
      <c r="G302" s="15">
        <v>0</v>
      </c>
      <c r="H302" s="15">
        <v>0</v>
      </c>
      <c r="I302" s="15">
        <v>0</v>
      </c>
      <c r="J302" s="106" t="s">
        <v>10</v>
      </c>
      <c r="K302" s="591" t="s">
        <v>565</v>
      </c>
      <c r="L302" s="24"/>
    </row>
    <row r="303" spans="1:12" ht="18" customHeight="1" x14ac:dyDescent="0.35">
      <c r="A303" s="596">
        <v>206</v>
      </c>
      <c r="B303" s="28" t="s">
        <v>295</v>
      </c>
      <c r="C303" s="10">
        <f t="shared" si="26"/>
        <v>1.94</v>
      </c>
      <c r="D303" s="615">
        <f>'[23]road inventory 2018'!C301</f>
        <v>2</v>
      </c>
      <c r="E303" s="10">
        <v>1.94</v>
      </c>
      <c r="F303" s="10">
        <v>0</v>
      </c>
      <c r="G303" s="10">
        <v>0</v>
      </c>
      <c r="H303" s="10">
        <v>0</v>
      </c>
      <c r="I303" s="10">
        <v>0</v>
      </c>
      <c r="J303" s="103" t="s">
        <v>10</v>
      </c>
      <c r="K303" s="597" t="s">
        <v>566</v>
      </c>
      <c r="L303" s="28"/>
    </row>
    <row r="304" spans="1:12" ht="31" x14ac:dyDescent="0.35">
      <c r="A304" s="596">
        <v>207</v>
      </c>
      <c r="B304" s="28" t="s">
        <v>292</v>
      </c>
      <c r="C304" s="10">
        <f t="shared" si="26"/>
        <v>2.0099999999999998</v>
      </c>
      <c r="D304" s="615">
        <f>'[23]road inventory 2018'!C302</f>
        <v>3.38</v>
      </c>
      <c r="E304" s="10">
        <v>0</v>
      </c>
      <c r="F304" s="10">
        <v>0</v>
      </c>
      <c r="G304" s="10">
        <v>0</v>
      </c>
      <c r="H304" s="10">
        <v>0</v>
      </c>
      <c r="I304" s="10">
        <v>2.0099999999999998</v>
      </c>
      <c r="J304" s="103" t="s">
        <v>10</v>
      </c>
      <c r="K304" s="597" t="s">
        <v>567</v>
      </c>
      <c r="L304" s="28"/>
    </row>
    <row r="305" spans="1:12" ht="18" customHeight="1" thickBot="1" x14ac:dyDescent="0.4">
      <c r="A305" s="686">
        <v>229</v>
      </c>
      <c r="B305" s="687" t="s">
        <v>568</v>
      </c>
      <c r="C305" s="10">
        <f t="shared" si="26"/>
        <v>0.1</v>
      </c>
      <c r="D305" s="10">
        <f>'[23]road inventory 2018'!C303</f>
        <v>0.1</v>
      </c>
      <c r="E305" s="688">
        <v>0.1</v>
      </c>
      <c r="F305" s="688">
        <v>0</v>
      </c>
      <c r="G305" s="688">
        <v>0</v>
      </c>
      <c r="H305" s="688">
        <v>0</v>
      </c>
      <c r="I305" s="688">
        <v>0</v>
      </c>
      <c r="J305" s="643" t="s">
        <v>33</v>
      </c>
      <c r="K305" s="644" t="s">
        <v>569</v>
      </c>
      <c r="L305" s="28" t="str">
        <f>L290</f>
        <v>FOR VERIFICATION</v>
      </c>
    </row>
    <row r="306" spans="1:12" ht="31" x14ac:dyDescent="0.35">
      <c r="A306" s="596">
        <v>215</v>
      </c>
      <c r="B306" s="28" t="s">
        <v>570</v>
      </c>
      <c r="C306" s="10">
        <f t="shared" si="26"/>
        <v>3.8</v>
      </c>
      <c r="D306" s="10">
        <f>'[23]road inventory 2018'!C307</f>
        <v>3.8</v>
      </c>
      <c r="E306" s="10">
        <v>0</v>
      </c>
      <c r="F306" s="10">
        <v>0</v>
      </c>
      <c r="G306" s="10">
        <v>0</v>
      </c>
      <c r="H306" s="10">
        <v>3.8</v>
      </c>
      <c r="I306" s="10">
        <v>0</v>
      </c>
      <c r="J306" s="103" t="s">
        <v>33</v>
      </c>
      <c r="K306" s="597" t="s">
        <v>571</v>
      </c>
      <c r="L306" s="28" t="str">
        <f>L300</f>
        <v>FOR VERIFICATION</v>
      </c>
    </row>
    <row r="307" spans="1:12" ht="18" customHeight="1" x14ac:dyDescent="0.35">
      <c r="A307" s="596">
        <v>208</v>
      </c>
      <c r="B307" s="28" t="s">
        <v>572</v>
      </c>
      <c r="C307" s="10">
        <f t="shared" si="26"/>
        <v>4.3</v>
      </c>
      <c r="D307" s="10">
        <f>'[23]road inventory 2018'!C308</f>
        <v>4.3</v>
      </c>
      <c r="E307" s="10">
        <v>0</v>
      </c>
      <c r="F307" s="10">
        <v>0</v>
      </c>
      <c r="G307" s="10">
        <v>0</v>
      </c>
      <c r="H307" s="10">
        <v>4.3</v>
      </c>
      <c r="I307" s="10">
        <v>0</v>
      </c>
      <c r="J307" s="103" t="s">
        <v>33</v>
      </c>
      <c r="K307" s="597" t="s">
        <v>573</v>
      </c>
      <c r="L307" s="28" t="str">
        <f>L300</f>
        <v>FOR VERIFICATION</v>
      </c>
    </row>
    <row r="308" spans="1:12" ht="18" customHeight="1" x14ac:dyDescent="0.35">
      <c r="A308" s="596">
        <v>209</v>
      </c>
      <c r="B308" s="28" t="s">
        <v>294</v>
      </c>
      <c r="C308" s="10">
        <f t="shared" si="26"/>
        <v>1.92</v>
      </c>
      <c r="D308" s="10">
        <f>'[23]road inventory 2018'!C309</f>
        <v>2.6</v>
      </c>
      <c r="E308" s="10">
        <v>1.92</v>
      </c>
      <c r="F308" s="10">
        <v>0</v>
      </c>
      <c r="G308" s="10">
        <v>0</v>
      </c>
      <c r="H308" s="10">
        <v>0</v>
      </c>
      <c r="I308" s="10">
        <v>0</v>
      </c>
      <c r="J308" s="103" t="s">
        <v>33</v>
      </c>
      <c r="K308" s="597" t="s">
        <v>574</v>
      </c>
      <c r="L308" s="28"/>
    </row>
    <row r="309" spans="1:12" ht="18" customHeight="1" x14ac:dyDescent="0.35">
      <c r="A309" s="596">
        <v>210</v>
      </c>
      <c r="B309" s="28" t="s">
        <v>575</v>
      </c>
      <c r="C309" s="10">
        <f t="shared" si="26"/>
        <v>0.8</v>
      </c>
      <c r="D309" s="10">
        <f>'[23]road inventory 2018'!C310</f>
        <v>0.8</v>
      </c>
      <c r="E309" s="10">
        <v>0.8</v>
      </c>
      <c r="F309" s="10">
        <v>0</v>
      </c>
      <c r="G309" s="10">
        <v>0</v>
      </c>
      <c r="H309" s="10">
        <v>0</v>
      </c>
      <c r="I309" s="10">
        <v>0</v>
      </c>
      <c r="J309" s="103" t="s">
        <v>12</v>
      </c>
      <c r="K309" s="597" t="s">
        <v>576</v>
      </c>
      <c r="L309" s="28" t="str">
        <f>L300</f>
        <v>FOR VERIFICATION</v>
      </c>
    </row>
    <row r="310" spans="1:12" ht="18" customHeight="1" x14ac:dyDescent="0.35">
      <c r="A310" s="596">
        <v>211</v>
      </c>
      <c r="B310" s="28" t="s">
        <v>577</v>
      </c>
      <c r="C310" s="10">
        <f t="shared" si="26"/>
        <v>0.85</v>
      </c>
      <c r="D310" s="10">
        <f>'[23]road inventory 2018'!C311</f>
        <v>0.7</v>
      </c>
      <c r="E310" s="10">
        <v>0.85</v>
      </c>
      <c r="F310" s="10">
        <v>0</v>
      </c>
      <c r="G310" s="10">
        <v>0</v>
      </c>
      <c r="H310" s="10">
        <v>0</v>
      </c>
      <c r="I310" s="10">
        <v>0</v>
      </c>
      <c r="J310" s="103" t="s">
        <v>10</v>
      </c>
      <c r="K310" s="597" t="s">
        <v>578</v>
      </c>
      <c r="L310" s="28"/>
    </row>
    <row r="311" spans="1:12" s="16" customFormat="1" ht="18" customHeight="1" x14ac:dyDescent="0.35">
      <c r="A311" s="626"/>
      <c r="B311" s="60"/>
      <c r="C311" s="61">
        <f t="shared" ref="C311:I311" si="27">SUM(C300:C310)</f>
        <v>34.81</v>
      </c>
      <c r="D311" s="61">
        <f t="shared" si="27"/>
        <v>35.78</v>
      </c>
      <c r="E311" s="61">
        <f t="shared" si="27"/>
        <v>15.01</v>
      </c>
      <c r="F311" s="61">
        <f t="shared" si="27"/>
        <v>3.29</v>
      </c>
      <c r="G311" s="61">
        <f t="shared" si="27"/>
        <v>0</v>
      </c>
      <c r="H311" s="61">
        <f t="shared" si="27"/>
        <v>14.5</v>
      </c>
      <c r="I311" s="61">
        <f t="shared" si="27"/>
        <v>2.0099999999999998</v>
      </c>
      <c r="J311" s="628"/>
      <c r="K311" s="629"/>
      <c r="L311" s="24"/>
    </row>
    <row r="312" spans="1:12" ht="18" customHeight="1" thickBot="1" x14ac:dyDescent="0.4">
      <c r="A312" s="53" t="s">
        <v>341</v>
      </c>
      <c r="B312" s="34"/>
      <c r="C312" s="31">
        <f>SUM(E312:I312)</f>
        <v>34.809999999999995</v>
      </c>
      <c r="D312" s="630"/>
      <c r="E312" s="31">
        <f>SUM(E300:E310)</f>
        <v>15.01</v>
      </c>
      <c r="F312" s="31">
        <f>SUM(F300:F310)</f>
        <v>3.29</v>
      </c>
      <c r="G312" s="31">
        <f>SUM(G300:G310)</f>
        <v>0</v>
      </c>
      <c r="H312" s="31">
        <f>SUM(H300:H310)</f>
        <v>14.5</v>
      </c>
      <c r="I312" s="31">
        <f>SUM(I300:I310)</f>
        <v>2.0099999999999998</v>
      </c>
      <c r="J312" s="608"/>
      <c r="K312" s="609"/>
      <c r="L312" s="653"/>
    </row>
    <row r="313" spans="1:12" ht="18" customHeight="1" x14ac:dyDescent="0.35">
      <c r="L313" s="28"/>
    </row>
    <row r="314" spans="1:12" s="1" customFormat="1" x14ac:dyDescent="0.35">
      <c r="A314" s="1203" t="s">
        <v>579</v>
      </c>
      <c r="B314" s="1204"/>
      <c r="C314" s="1204"/>
      <c r="D314" s="1204"/>
      <c r="E314" s="1204"/>
      <c r="F314" s="1204"/>
      <c r="G314" s="1204"/>
      <c r="H314" s="1204"/>
      <c r="I314" s="1204"/>
      <c r="J314" s="1204"/>
      <c r="K314" s="1204"/>
      <c r="L314" s="1205"/>
    </row>
    <row r="315" spans="1:12" s="1" customFormat="1" ht="16" thickBot="1" x14ac:dyDescent="0.4">
      <c r="A315" s="585"/>
      <c r="B315" s="2"/>
      <c r="C315" s="5"/>
      <c r="D315" s="586"/>
      <c r="E315" s="5"/>
      <c r="F315" s="5"/>
      <c r="G315" s="5"/>
      <c r="H315" s="5"/>
      <c r="I315" s="5"/>
      <c r="J315" s="3"/>
      <c r="K315" s="21"/>
      <c r="L315" s="653"/>
    </row>
    <row r="316" spans="1:12" s="1" customFormat="1" x14ac:dyDescent="0.35">
      <c r="A316" s="1206" t="s">
        <v>302</v>
      </c>
      <c r="B316" s="1208" t="s">
        <v>28</v>
      </c>
      <c r="C316" s="1210" t="s">
        <v>343</v>
      </c>
      <c r="D316" s="613"/>
      <c r="E316" s="1212" t="s">
        <v>305</v>
      </c>
      <c r="F316" s="1212"/>
      <c r="G316" s="1212"/>
      <c r="H316" s="1212"/>
      <c r="I316" s="1212"/>
      <c r="J316" s="1208" t="s">
        <v>29</v>
      </c>
      <c r="K316" s="1213" t="s">
        <v>306</v>
      </c>
      <c r="L316" s="1215" t="str">
        <f>L298</f>
        <v>REMARKS</v>
      </c>
    </row>
    <row r="317" spans="1:12" s="1" customFormat="1" ht="21" customHeight="1" thickBot="1" x14ac:dyDescent="0.4">
      <c r="A317" s="1207"/>
      <c r="B317" s="1209"/>
      <c r="C317" s="1211"/>
      <c r="D317" s="614"/>
      <c r="E317" s="7" t="s">
        <v>308</v>
      </c>
      <c r="F317" s="7" t="s">
        <v>309</v>
      </c>
      <c r="G317" s="7" t="s">
        <v>310</v>
      </c>
      <c r="H317" s="7" t="s">
        <v>311</v>
      </c>
      <c r="I317" s="7" t="s">
        <v>312</v>
      </c>
      <c r="J317" s="1209"/>
      <c r="K317" s="1214"/>
      <c r="L317" s="1216"/>
    </row>
    <row r="318" spans="1:12" ht="18" customHeight="1" x14ac:dyDescent="0.35">
      <c r="A318" s="596">
        <v>214</v>
      </c>
      <c r="B318" s="28" t="s">
        <v>580</v>
      </c>
      <c r="C318" s="10">
        <f>SUM(E318:I318)</f>
        <v>4.5</v>
      </c>
      <c r="D318" s="10">
        <f>'[23]road inventory 2018'!C318</f>
        <v>4.5</v>
      </c>
      <c r="E318" s="633">
        <v>0.7</v>
      </c>
      <c r="F318" s="633">
        <v>0</v>
      </c>
      <c r="G318" s="633">
        <v>0</v>
      </c>
      <c r="H318" s="10">
        <v>3.8</v>
      </c>
      <c r="I318" s="10">
        <v>0</v>
      </c>
      <c r="J318" s="103" t="s">
        <v>12</v>
      </c>
      <c r="K318" s="597" t="s">
        <v>581</v>
      </c>
      <c r="L318" s="28" t="str">
        <f>L328</f>
        <v>FOR VERIFICATION</v>
      </c>
    </row>
    <row r="319" spans="1:12" ht="18" customHeight="1" x14ac:dyDescent="0.35">
      <c r="A319" s="596">
        <v>212</v>
      </c>
      <c r="B319" s="28" t="s">
        <v>582</v>
      </c>
      <c r="C319" s="10">
        <f>SUM(E319:I319)</f>
        <v>2.75</v>
      </c>
      <c r="D319" s="10">
        <f>'[23]road inventory 2018'!C319</f>
        <v>2.75</v>
      </c>
      <c r="E319" s="633">
        <v>2.6</v>
      </c>
      <c r="F319" s="633">
        <v>0</v>
      </c>
      <c r="G319" s="633">
        <v>0</v>
      </c>
      <c r="H319" s="10">
        <v>0.15</v>
      </c>
      <c r="I319" s="10">
        <v>0</v>
      </c>
      <c r="J319" s="103" t="s">
        <v>12</v>
      </c>
      <c r="K319" s="597" t="s">
        <v>528</v>
      </c>
      <c r="L319" s="28" t="str">
        <f>L318</f>
        <v>FOR VERIFICATION</v>
      </c>
    </row>
    <row r="320" spans="1:12" s="16" customFormat="1" ht="18" customHeight="1" x14ac:dyDescent="0.35">
      <c r="A320" s="626"/>
      <c r="B320" s="60"/>
      <c r="C320" s="61">
        <f>SUM(C318:C319)</f>
        <v>7.25</v>
      </c>
      <c r="D320" s="61">
        <f t="shared" ref="D320:I320" si="28">SUM(D318:D319)</f>
        <v>7.25</v>
      </c>
      <c r="E320" s="61">
        <f t="shared" si="28"/>
        <v>3.3</v>
      </c>
      <c r="F320" s="61">
        <f t="shared" si="28"/>
        <v>0</v>
      </c>
      <c r="G320" s="61">
        <f t="shared" si="28"/>
        <v>0</v>
      </c>
      <c r="H320" s="61">
        <f t="shared" si="28"/>
        <v>3.9499999999999997</v>
      </c>
      <c r="I320" s="61">
        <f t="shared" si="28"/>
        <v>0</v>
      </c>
      <c r="J320" s="628"/>
      <c r="K320" s="629"/>
      <c r="L320" s="24"/>
    </row>
    <row r="321" spans="1:12" ht="18" customHeight="1" thickBot="1" x14ac:dyDescent="0.4">
      <c r="A321" s="53" t="s">
        <v>341</v>
      </c>
      <c r="B321" s="69"/>
      <c r="C321" s="31">
        <f>SUM(E321:I321)</f>
        <v>7.25</v>
      </c>
      <c r="D321" s="630"/>
      <c r="E321" s="31">
        <f>SUM(E318:E319)</f>
        <v>3.3</v>
      </c>
      <c r="F321" s="31">
        <f>SUM(F318:F319)</f>
        <v>0</v>
      </c>
      <c r="G321" s="31">
        <f>SUM(G318:G319)</f>
        <v>0</v>
      </c>
      <c r="H321" s="31">
        <f>SUM(H318:H319)</f>
        <v>3.9499999999999997</v>
      </c>
      <c r="I321" s="31">
        <f>SUM(I318:I319)</f>
        <v>0</v>
      </c>
      <c r="J321" s="608"/>
      <c r="K321" s="609"/>
      <c r="L321" s="653"/>
    </row>
    <row r="322" spans="1:12" ht="18" customHeight="1" x14ac:dyDescent="0.35">
      <c r="L322" s="28"/>
    </row>
    <row r="323" spans="1:12" s="1" customFormat="1" x14ac:dyDescent="0.35">
      <c r="A323" s="1203" t="s">
        <v>583</v>
      </c>
      <c r="B323" s="1204"/>
      <c r="C323" s="1204"/>
      <c r="D323" s="1204"/>
      <c r="E323" s="1204"/>
      <c r="F323" s="1204"/>
      <c r="G323" s="1204"/>
      <c r="H323" s="1204"/>
      <c r="I323" s="1204"/>
      <c r="J323" s="1204"/>
      <c r="K323" s="1204"/>
      <c r="L323" s="1205"/>
    </row>
    <row r="324" spans="1:12" s="1" customFormat="1" ht="16" thickBot="1" x14ac:dyDescent="0.4">
      <c r="A324" s="585"/>
      <c r="B324" s="2"/>
      <c r="C324" s="5"/>
      <c r="D324" s="586"/>
      <c r="E324" s="5"/>
      <c r="F324" s="5"/>
      <c r="G324" s="5"/>
      <c r="H324" s="5"/>
      <c r="I324" s="5"/>
      <c r="J324" s="3"/>
      <c r="K324" s="21"/>
      <c r="L324" s="653"/>
    </row>
    <row r="325" spans="1:12" s="1" customFormat="1" x14ac:dyDescent="0.35">
      <c r="A325" s="1206" t="s">
        <v>302</v>
      </c>
      <c r="B325" s="1208" t="s">
        <v>28</v>
      </c>
      <c r="C325" s="1210" t="s">
        <v>343</v>
      </c>
      <c r="D325" s="613"/>
      <c r="E325" s="1212" t="s">
        <v>305</v>
      </c>
      <c r="F325" s="1212"/>
      <c r="G325" s="1212"/>
      <c r="H325" s="1212"/>
      <c r="I325" s="1212"/>
      <c r="J325" s="1208" t="s">
        <v>29</v>
      </c>
      <c r="K325" s="1213" t="s">
        <v>306</v>
      </c>
      <c r="L325" s="1215" t="str">
        <f>L316</f>
        <v>REMARKS</v>
      </c>
    </row>
    <row r="326" spans="1:12" s="1" customFormat="1" ht="21" customHeight="1" thickBot="1" x14ac:dyDescent="0.4">
      <c r="A326" s="1207"/>
      <c r="B326" s="1209"/>
      <c r="C326" s="1211"/>
      <c r="D326" s="614"/>
      <c r="E326" s="7" t="s">
        <v>308</v>
      </c>
      <c r="F326" s="7" t="s">
        <v>309</v>
      </c>
      <c r="G326" s="7" t="s">
        <v>310</v>
      </c>
      <c r="H326" s="7" t="s">
        <v>311</v>
      </c>
      <c r="I326" s="7" t="s">
        <v>312</v>
      </c>
      <c r="J326" s="1209"/>
      <c r="K326" s="1214"/>
      <c r="L326" s="1216"/>
    </row>
    <row r="327" spans="1:12" s="697" customFormat="1" ht="18" customHeight="1" x14ac:dyDescent="0.35">
      <c r="A327" s="689">
        <v>173</v>
      </c>
      <c r="B327" s="690" t="s">
        <v>584</v>
      </c>
      <c r="C327" s="691">
        <f>SUM(E327:I327)</f>
        <v>1.04</v>
      </c>
      <c r="D327" s="692">
        <f>'[23]road inventory 2018'!C326</f>
        <v>1.5</v>
      </c>
      <c r="E327" s="691">
        <v>1.04</v>
      </c>
      <c r="F327" s="691">
        <v>0</v>
      </c>
      <c r="G327" s="691">
        <v>0</v>
      </c>
      <c r="H327" s="691">
        <v>0</v>
      </c>
      <c r="I327" s="691">
        <v>0</v>
      </c>
      <c r="J327" s="693" t="s">
        <v>839</v>
      </c>
      <c r="K327" s="694"/>
      <c r="L327" s="690"/>
    </row>
    <row r="328" spans="1:12" ht="18" customHeight="1" x14ac:dyDescent="0.35">
      <c r="A328" s="596">
        <v>174</v>
      </c>
      <c r="B328" s="28" t="s">
        <v>585</v>
      </c>
      <c r="C328" s="691">
        <f t="shared" ref="C328:C339" si="29">SUM(E328:I328)</f>
        <v>0.2</v>
      </c>
      <c r="D328" s="10">
        <f>'[23]road inventory 2018'!C327</f>
        <v>0.2</v>
      </c>
      <c r="E328" s="10">
        <v>0.2</v>
      </c>
      <c r="F328" s="10">
        <v>0</v>
      </c>
      <c r="G328" s="10">
        <v>0</v>
      </c>
      <c r="H328" s="10">
        <v>0</v>
      </c>
      <c r="I328" s="10">
        <v>0</v>
      </c>
      <c r="J328" s="28" t="s">
        <v>33</v>
      </c>
      <c r="K328" s="597"/>
      <c r="L328" s="28" t="str">
        <f>L306</f>
        <v>FOR VERIFICATION</v>
      </c>
    </row>
    <row r="329" spans="1:12" s="697" customFormat="1" ht="18" customHeight="1" x14ac:dyDescent="0.35">
      <c r="A329" s="689">
        <v>175</v>
      </c>
      <c r="B329" s="690" t="s">
        <v>586</v>
      </c>
      <c r="C329" s="691">
        <f t="shared" si="29"/>
        <v>3.31</v>
      </c>
      <c r="D329" s="692">
        <f>'[23]road inventory 2018'!C328</f>
        <v>3.6</v>
      </c>
      <c r="E329" s="691">
        <v>3.31</v>
      </c>
      <c r="F329" s="691">
        <v>0</v>
      </c>
      <c r="G329" s="691">
        <v>0</v>
      </c>
      <c r="H329" s="691">
        <v>0</v>
      </c>
      <c r="I329" s="691">
        <v>0</v>
      </c>
      <c r="J329" s="690" t="s">
        <v>12</v>
      </c>
      <c r="K329" s="694"/>
      <c r="L329" s="690"/>
    </row>
    <row r="330" spans="1:12" s="697" customFormat="1" ht="18" customHeight="1" x14ac:dyDescent="0.35">
      <c r="A330" s="689">
        <v>176</v>
      </c>
      <c r="B330" s="690" t="s">
        <v>587</v>
      </c>
      <c r="C330" s="691">
        <f t="shared" si="29"/>
        <v>22.21</v>
      </c>
      <c r="D330" s="692">
        <f>'[23]road inventory 2018'!C329</f>
        <v>20.5</v>
      </c>
      <c r="E330" s="691">
        <v>5.21</v>
      </c>
      <c r="F330" s="691">
        <v>0</v>
      </c>
      <c r="G330" s="691">
        <v>0</v>
      </c>
      <c r="H330" s="691">
        <v>17</v>
      </c>
      <c r="I330" s="691">
        <v>0</v>
      </c>
      <c r="J330" s="690" t="s">
        <v>12</v>
      </c>
      <c r="K330" s="694"/>
      <c r="L330" s="690"/>
    </row>
    <row r="331" spans="1:12" s="697" customFormat="1" ht="18" customHeight="1" x14ac:dyDescent="0.35">
      <c r="A331" s="689">
        <v>177</v>
      </c>
      <c r="B331" s="690" t="s">
        <v>588</v>
      </c>
      <c r="C331" s="691">
        <f t="shared" si="29"/>
        <v>13.55</v>
      </c>
      <c r="D331" s="692">
        <f>'[23]road inventory 2018'!C330</f>
        <v>13.5</v>
      </c>
      <c r="E331" s="691">
        <v>13.55</v>
      </c>
      <c r="F331" s="691">
        <v>0</v>
      </c>
      <c r="G331" s="691">
        <v>0</v>
      </c>
      <c r="H331" s="691">
        <v>0</v>
      </c>
      <c r="I331" s="691">
        <v>0</v>
      </c>
      <c r="J331" s="693" t="s">
        <v>10</v>
      </c>
      <c r="K331" s="694"/>
      <c r="L331" s="690"/>
    </row>
    <row r="332" spans="1:12" s="697" customFormat="1" ht="18" customHeight="1" x14ac:dyDescent="0.35">
      <c r="A332" s="689">
        <v>172</v>
      </c>
      <c r="B332" s="690" t="s">
        <v>589</v>
      </c>
      <c r="C332" s="691">
        <f t="shared" si="29"/>
        <v>4.4399999999999995</v>
      </c>
      <c r="D332" s="692">
        <f>'[23]road inventory 2018'!C331</f>
        <v>5.7</v>
      </c>
      <c r="E332" s="691">
        <v>1.02</v>
      </c>
      <c r="F332" s="691">
        <v>0</v>
      </c>
      <c r="G332" s="691">
        <v>0</v>
      </c>
      <c r="H332" s="691">
        <v>0</v>
      </c>
      <c r="I332" s="691">
        <v>3.42</v>
      </c>
      <c r="J332" s="693" t="str">
        <f>J289</f>
        <v>Fair</v>
      </c>
      <c r="K332" s="694"/>
      <c r="L332" s="690"/>
    </row>
    <row r="333" spans="1:12" ht="31" x14ac:dyDescent="0.35">
      <c r="A333" s="596">
        <v>178</v>
      </c>
      <c r="B333" s="28" t="s">
        <v>296</v>
      </c>
      <c r="C333" s="691">
        <f t="shared" si="29"/>
        <v>25.54</v>
      </c>
      <c r="D333" s="10">
        <f>'[23]road inventory 2018'!C332</f>
        <v>25.54</v>
      </c>
      <c r="E333" s="10">
        <v>1.23</v>
      </c>
      <c r="F333" s="10">
        <v>0</v>
      </c>
      <c r="G333" s="10">
        <v>0</v>
      </c>
      <c r="H333" s="10">
        <v>24.31</v>
      </c>
      <c r="I333" s="10">
        <v>0</v>
      </c>
      <c r="J333" s="28" t="s">
        <v>33</v>
      </c>
      <c r="K333" s="597"/>
      <c r="L333" s="28" t="str">
        <f>L309</f>
        <v>FOR VERIFICATION</v>
      </c>
    </row>
    <row r="334" spans="1:12" ht="18" customHeight="1" x14ac:dyDescent="0.35">
      <c r="A334" s="596">
        <v>179</v>
      </c>
      <c r="B334" s="28" t="s">
        <v>590</v>
      </c>
      <c r="C334" s="691">
        <f t="shared" si="29"/>
        <v>9.4499999999999993</v>
      </c>
      <c r="D334" s="10">
        <f>'[23]road inventory 2018'!C333</f>
        <v>9.4</v>
      </c>
      <c r="E334" s="10">
        <v>0.43</v>
      </c>
      <c r="F334" s="10">
        <v>0</v>
      </c>
      <c r="G334" s="10">
        <v>0</v>
      </c>
      <c r="H334" s="10">
        <v>9.02</v>
      </c>
      <c r="I334" s="10">
        <v>0</v>
      </c>
      <c r="J334" s="103" t="s">
        <v>33</v>
      </c>
      <c r="K334" s="597"/>
      <c r="L334" s="28"/>
    </row>
    <row r="335" spans="1:12" ht="18" customHeight="1" x14ac:dyDescent="0.35">
      <c r="A335" s="596">
        <v>180</v>
      </c>
      <c r="B335" s="28" t="s">
        <v>591</v>
      </c>
      <c r="C335" s="691">
        <f t="shared" si="29"/>
        <v>2.42</v>
      </c>
      <c r="D335" s="10">
        <f>'[23]road inventory 2018'!C334</f>
        <v>2.42</v>
      </c>
      <c r="E335" s="10">
        <v>0</v>
      </c>
      <c r="F335" s="10">
        <v>0</v>
      </c>
      <c r="G335" s="10">
        <v>0</v>
      </c>
      <c r="H335" s="10">
        <v>2.42</v>
      </c>
      <c r="I335" s="10">
        <v>0</v>
      </c>
      <c r="J335" s="28" t="s">
        <v>12</v>
      </c>
      <c r="K335" s="597"/>
      <c r="L335" s="28" t="str">
        <f>L333</f>
        <v>FOR VERIFICATION</v>
      </c>
    </row>
    <row r="336" spans="1:12" ht="31" x14ac:dyDescent="0.35">
      <c r="A336" s="596">
        <v>181</v>
      </c>
      <c r="B336" s="28" t="s">
        <v>592</v>
      </c>
      <c r="C336" s="691">
        <f t="shared" si="29"/>
        <v>4.03</v>
      </c>
      <c r="D336" s="10">
        <f>'[23]road inventory 2018'!C335</f>
        <v>4.9000000000000004</v>
      </c>
      <c r="E336" s="10">
        <v>4.03</v>
      </c>
      <c r="F336" s="10">
        <v>0</v>
      </c>
      <c r="G336" s="10">
        <v>0</v>
      </c>
      <c r="H336" s="10">
        <v>0</v>
      </c>
      <c r="I336" s="10">
        <v>0</v>
      </c>
      <c r="J336" s="103" t="s">
        <v>10</v>
      </c>
      <c r="K336" s="597"/>
      <c r="L336" s="28"/>
    </row>
    <row r="337" spans="1:12" ht="31" x14ac:dyDescent="0.35">
      <c r="A337" s="596">
        <v>182</v>
      </c>
      <c r="B337" s="28" t="s">
        <v>593</v>
      </c>
      <c r="C337" s="691">
        <f t="shared" si="29"/>
        <v>16.57</v>
      </c>
      <c r="D337" s="10">
        <f>'[23]road inventory 2018'!C336</f>
        <v>16</v>
      </c>
      <c r="E337" s="10">
        <v>16.57</v>
      </c>
      <c r="F337" s="10">
        <v>0</v>
      </c>
      <c r="G337" s="10">
        <v>0</v>
      </c>
      <c r="H337" s="10">
        <v>0</v>
      </c>
      <c r="I337" s="10">
        <v>0</v>
      </c>
      <c r="J337" s="28" t="s">
        <v>10</v>
      </c>
      <c r="K337" s="597"/>
      <c r="L337" s="28"/>
    </row>
    <row r="338" spans="1:12" ht="18" customHeight="1" x14ac:dyDescent="0.35">
      <c r="A338" s="596">
        <v>183</v>
      </c>
      <c r="B338" s="28" t="s">
        <v>594</v>
      </c>
      <c r="C338" s="691">
        <f t="shared" si="29"/>
        <v>1.7</v>
      </c>
      <c r="D338" s="10">
        <f>'[23]road inventory 2018'!C337</f>
        <v>1.7</v>
      </c>
      <c r="E338" s="10">
        <v>0</v>
      </c>
      <c r="F338" s="10">
        <v>0</v>
      </c>
      <c r="G338" s="10">
        <v>0</v>
      </c>
      <c r="H338" s="10">
        <v>1.7</v>
      </c>
      <c r="I338" s="10">
        <v>0</v>
      </c>
      <c r="J338" s="28" t="s">
        <v>33</v>
      </c>
      <c r="K338" s="597"/>
      <c r="L338" s="28" t="str">
        <f>L335</f>
        <v>FOR VERIFICATION</v>
      </c>
    </row>
    <row r="339" spans="1:12" s="697" customFormat="1" ht="18" customHeight="1" x14ac:dyDescent="0.35">
      <c r="A339" s="689">
        <v>184</v>
      </c>
      <c r="B339" s="690" t="s">
        <v>595</v>
      </c>
      <c r="C339" s="691">
        <f t="shared" si="29"/>
        <v>12.03</v>
      </c>
      <c r="D339" s="692">
        <f>'[23]road inventory 2018'!C338</f>
        <v>12</v>
      </c>
      <c r="E339" s="691">
        <v>10.01</v>
      </c>
      <c r="F339" s="691">
        <v>0</v>
      </c>
      <c r="G339" s="691">
        <v>0</v>
      </c>
      <c r="H339" s="691">
        <v>2.02</v>
      </c>
      <c r="I339" s="691">
        <v>0</v>
      </c>
      <c r="J339" s="690" t="s">
        <v>10</v>
      </c>
      <c r="K339" s="694"/>
      <c r="L339" s="690"/>
    </row>
    <row r="340" spans="1:12" s="677" customFormat="1" ht="18" customHeight="1" x14ac:dyDescent="0.35">
      <c r="A340" s="699"/>
      <c r="B340" s="108"/>
      <c r="C340" s="700">
        <f>SUM(C327:C339)</f>
        <v>116.49</v>
      </c>
      <c r="D340" s="700">
        <f t="shared" ref="D340:I340" si="30">SUM(D327:D339)</f>
        <v>116.96000000000001</v>
      </c>
      <c r="E340" s="700">
        <f t="shared" si="30"/>
        <v>56.6</v>
      </c>
      <c r="F340" s="700">
        <f t="shared" si="30"/>
        <v>0</v>
      </c>
      <c r="G340" s="700">
        <f t="shared" si="30"/>
        <v>0</v>
      </c>
      <c r="H340" s="700">
        <f t="shared" si="30"/>
        <v>56.470000000000006</v>
      </c>
      <c r="I340" s="700">
        <f t="shared" si="30"/>
        <v>3.42</v>
      </c>
      <c r="J340" s="108"/>
      <c r="K340" s="701"/>
      <c r="L340" s="107"/>
    </row>
    <row r="341" spans="1:12" ht="18" customHeight="1" thickBot="1" x14ac:dyDescent="0.4">
      <c r="A341" s="53" t="s">
        <v>341</v>
      </c>
      <c r="B341" s="34"/>
      <c r="C341" s="31">
        <f>SUM(E341:I341)</f>
        <v>116.49000000000001</v>
      </c>
      <c r="D341" s="630"/>
      <c r="E341" s="31">
        <f>SUM(E327:E339)</f>
        <v>56.6</v>
      </c>
      <c r="F341" s="31">
        <f>SUM(F327:F339)</f>
        <v>0</v>
      </c>
      <c r="G341" s="31">
        <f>SUM(G327:G339)</f>
        <v>0</v>
      </c>
      <c r="H341" s="31">
        <f>SUM(H327:H339)</f>
        <v>56.470000000000006</v>
      </c>
      <c r="I341" s="31">
        <f>SUM(I327:I339)</f>
        <v>3.42</v>
      </c>
      <c r="J341" s="608"/>
      <c r="K341" s="609"/>
      <c r="L341" s="653"/>
    </row>
    <row r="342" spans="1:12" ht="18" customHeight="1" x14ac:dyDescent="0.35">
      <c r="L342" s="28"/>
    </row>
    <row r="343" spans="1:12" s="1" customFormat="1" x14ac:dyDescent="0.35">
      <c r="A343" s="1203" t="s">
        <v>596</v>
      </c>
      <c r="B343" s="1204"/>
      <c r="C343" s="1204"/>
      <c r="D343" s="1204"/>
      <c r="E343" s="1204"/>
      <c r="F343" s="1204"/>
      <c r="G343" s="1204"/>
      <c r="H343" s="1204"/>
      <c r="I343" s="1204"/>
      <c r="J343" s="1204"/>
      <c r="K343" s="1204"/>
      <c r="L343" s="1205"/>
    </row>
    <row r="344" spans="1:12" s="1" customFormat="1" ht="16" thickBot="1" x14ac:dyDescent="0.4">
      <c r="A344" s="585"/>
      <c r="B344" s="2"/>
      <c r="C344" s="5"/>
      <c r="D344" s="586"/>
      <c r="E344" s="5"/>
      <c r="F344" s="5"/>
      <c r="G344" s="5"/>
      <c r="H344" s="5"/>
      <c r="I344" s="5"/>
      <c r="J344" s="3"/>
      <c r="K344" s="21"/>
      <c r="L344" s="653"/>
    </row>
    <row r="345" spans="1:12" s="1" customFormat="1" x14ac:dyDescent="0.35">
      <c r="A345" s="1206" t="s">
        <v>302</v>
      </c>
      <c r="B345" s="1208" t="s">
        <v>28</v>
      </c>
      <c r="C345" s="1210" t="s">
        <v>343</v>
      </c>
      <c r="D345" s="613"/>
      <c r="E345" s="1212" t="s">
        <v>305</v>
      </c>
      <c r="F345" s="1212"/>
      <c r="G345" s="1212"/>
      <c r="H345" s="1212"/>
      <c r="I345" s="1212"/>
      <c r="J345" s="1208" t="s">
        <v>29</v>
      </c>
      <c r="K345" s="1213" t="s">
        <v>306</v>
      </c>
      <c r="L345" s="1215" t="str">
        <f>L325</f>
        <v>REMARKS</v>
      </c>
    </row>
    <row r="346" spans="1:12" s="1" customFormat="1" ht="21" customHeight="1" thickBot="1" x14ac:dyDescent="0.4">
      <c r="A346" s="1207"/>
      <c r="B346" s="1209"/>
      <c r="C346" s="1211"/>
      <c r="D346" s="614"/>
      <c r="E346" s="7" t="s">
        <v>308</v>
      </c>
      <c r="F346" s="7" t="s">
        <v>309</v>
      </c>
      <c r="G346" s="7" t="s">
        <v>310</v>
      </c>
      <c r="H346" s="7" t="s">
        <v>311</v>
      </c>
      <c r="I346" s="7" t="s">
        <v>312</v>
      </c>
      <c r="J346" s="1209"/>
      <c r="K346" s="1214"/>
      <c r="L346" s="1216"/>
    </row>
    <row r="347" spans="1:12" s="16" customFormat="1" ht="18" customHeight="1" x14ac:dyDescent="0.35">
      <c r="A347" s="589">
        <v>187</v>
      </c>
      <c r="B347" s="24" t="s">
        <v>597</v>
      </c>
      <c r="C347" s="15">
        <f>SUM(E347:I347)</f>
        <v>0.44600000000000001</v>
      </c>
      <c r="D347" s="702">
        <f>'[23]road inventory 2018'!C345</f>
        <v>0.504</v>
      </c>
      <c r="E347" s="15">
        <v>0.44600000000000001</v>
      </c>
      <c r="F347" s="15">
        <v>0</v>
      </c>
      <c r="G347" s="15">
        <v>0</v>
      </c>
      <c r="H347" s="15">
        <v>0</v>
      </c>
      <c r="I347" s="15">
        <v>0</v>
      </c>
      <c r="J347" s="24" t="str">
        <f>J338</f>
        <v>Poor</v>
      </c>
      <c r="K347" s="591"/>
      <c r="L347" s="24"/>
    </row>
    <row r="348" spans="1:12" s="16" customFormat="1" ht="18" customHeight="1" x14ac:dyDescent="0.35">
      <c r="A348" s="589">
        <v>188</v>
      </c>
      <c r="B348" s="24" t="s">
        <v>598</v>
      </c>
      <c r="C348" s="15">
        <f t="shared" ref="C348:C354" si="31">SUM(E348:I348)</f>
        <v>0.158</v>
      </c>
      <c r="D348" s="702">
        <f>'[23]road inventory 2018'!C346</f>
        <v>0.158</v>
      </c>
      <c r="E348" s="15">
        <v>0.158</v>
      </c>
      <c r="F348" s="15">
        <v>0</v>
      </c>
      <c r="G348" s="15">
        <v>0</v>
      </c>
      <c r="H348" s="15">
        <v>0</v>
      </c>
      <c r="I348" s="15">
        <v>0</v>
      </c>
      <c r="J348" s="24" t="str">
        <f>J338</f>
        <v>Poor</v>
      </c>
      <c r="K348" s="591"/>
      <c r="L348" s="24"/>
    </row>
    <row r="349" spans="1:12" s="16" customFormat="1" ht="18" customHeight="1" x14ac:dyDescent="0.35">
      <c r="A349" s="589">
        <v>189</v>
      </c>
      <c r="B349" s="24" t="s">
        <v>599</v>
      </c>
      <c r="C349" s="15">
        <f t="shared" si="31"/>
        <v>0.998</v>
      </c>
      <c r="D349" s="702">
        <f>'[23]road inventory 2018'!C347</f>
        <v>0.74199999999999999</v>
      </c>
      <c r="E349" s="15">
        <v>0.998</v>
      </c>
      <c r="F349" s="15">
        <v>0</v>
      </c>
      <c r="G349" s="15">
        <v>0</v>
      </c>
      <c r="H349" s="15">
        <v>0</v>
      </c>
      <c r="I349" s="15">
        <v>0</v>
      </c>
      <c r="J349" s="24" t="s">
        <v>12</v>
      </c>
      <c r="K349" s="591"/>
      <c r="L349" s="24"/>
    </row>
    <row r="350" spans="1:12" s="677" customFormat="1" ht="31" x14ac:dyDescent="0.35">
      <c r="A350" s="669">
        <v>185</v>
      </c>
      <c r="B350" s="107" t="s">
        <v>840</v>
      </c>
      <c r="C350" s="15">
        <f t="shared" si="31"/>
        <v>12.03</v>
      </c>
      <c r="D350" s="702">
        <f>'[23]road inventory 2018'!C348</f>
        <v>10.9</v>
      </c>
      <c r="E350" s="670">
        <v>10.01</v>
      </c>
      <c r="F350" s="670">
        <v>0</v>
      </c>
      <c r="G350" s="670">
        <v>0</v>
      </c>
      <c r="H350" s="670">
        <v>2.02</v>
      </c>
      <c r="I350" s="670">
        <v>0</v>
      </c>
      <c r="J350" s="107" t="s">
        <v>10</v>
      </c>
      <c r="K350" s="674"/>
      <c r="L350" s="107"/>
    </row>
    <row r="351" spans="1:12" ht="18" customHeight="1" x14ac:dyDescent="0.35">
      <c r="A351" s="596">
        <v>186</v>
      </c>
      <c r="B351" s="28" t="s">
        <v>601</v>
      </c>
      <c r="C351" s="15">
        <f t="shared" si="31"/>
        <v>10.75</v>
      </c>
      <c r="D351" s="103">
        <f>'[23]road inventory 2018'!C349</f>
        <v>10.5</v>
      </c>
      <c r="E351" s="10">
        <v>0</v>
      </c>
      <c r="F351" s="10">
        <v>0</v>
      </c>
      <c r="G351" s="10">
        <v>0</v>
      </c>
      <c r="H351" s="10">
        <v>10.75</v>
      </c>
      <c r="I351" s="10">
        <v>0</v>
      </c>
      <c r="J351" s="28" t="s">
        <v>33</v>
      </c>
      <c r="K351" s="597"/>
      <c r="L351" s="28" t="str">
        <f>L338</f>
        <v>FOR VERIFICATION</v>
      </c>
    </row>
    <row r="352" spans="1:12" ht="18" customHeight="1" x14ac:dyDescent="0.35">
      <c r="A352" s="596">
        <v>190</v>
      </c>
      <c r="B352" s="28" t="s">
        <v>602</v>
      </c>
      <c r="C352" s="15">
        <f t="shared" si="31"/>
        <v>17.5</v>
      </c>
      <c r="D352" s="103">
        <f>'[23]road inventory 2018'!C350</f>
        <v>17.5</v>
      </c>
      <c r="E352" s="10">
        <v>0</v>
      </c>
      <c r="F352" s="10">
        <v>0</v>
      </c>
      <c r="G352" s="10">
        <v>0</v>
      </c>
      <c r="H352" s="10">
        <v>17.5</v>
      </c>
      <c r="I352" s="10">
        <v>0</v>
      </c>
      <c r="J352" s="28" t="s">
        <v>12</v>
      </c>
      <c r="K352" s="597"/>
      <c r="L352" s="28" t="str">
        <f>L351</f>
        <v>FOR VERIFICATION</v>
      </c>
    </row>
    <row r="353" spans="1:12" ht="18" customHeight="1" x14ac:dyDescent="0.35">
      <c r="A353" s="596">
        <v>191</v>
      </c>
      <c r="B353" s="28" t="s">
        <v>603</v>
      </c>
      <c r="C353" s="15">
        <f t="shared" si="31"/>
        <v>3.5</v>
      </c>
      <c r="D353" s="103">
        <f>'[23]road inventory 2018'!C351</f>
        <v>3.5</v>
      </c>
      <c r="E353" s="10">
        <v>0</v>
      </c>
      <c r="F353" s="10">
        <v>0</v>
      </c>
      <c r="G353" s="10">
        <v>0</v>
      </c>
      <c r="H353" s="10">
        <v>3.5</v>
      </c>
      <c r="I353" s="10">
        <v>0</v>
      </c>
      <c r="J353" s="28" t="s">
        <v>12</v>
      </c>
      <c r="K353" s="597"/>
      <c r="L353" s="28" t="str">
        <f>L352</f>
        <v>FOR VERIFICATION</v>
      </c>
    </row>
    <row r="354" spans="1:12" ht="18" customHeight="1" x14ac:dyDescent="0.35">
      <c r="A354" s="596">
        <v>230</v>
      </c>
      <c r="B354" s="28" t="s">
        <v>604</v>
      </c>
      <c r="C354" s="15">
        <f t="shared" si="31"/>
        <v>1.58</v>
      </c>
      <c r="D354" s="103">
        <f>'[23]road inventory 2018'!C352</f>
        <v>1.58</v>
      </c>
      <c r="E354" s="10">
        <v>0</v>
      </c>
      <c r="F354" s="10">
        <v>0</v>
      </c>
      <c r="G354" s="10">
        <v>0</v>
      </c>
      <c r="H354" s="10">
        <v>1.58</v>
      </c>
      <c r="I354" s="10">
        <v>0</v>
      </c>
      <c r="J354" s="28" t="s">
        <v>41</v>
      </c>
      <c r="K354" s="597"/>
      <c r="L354" s="28" t="str">
        <f>L352</f>
        <v>FOR VERIFICATION</v>
      </c>
    </row>
    <row r="355" spans="1:12" ht="18" customHeight="1" x14ac:dyDescent="0.35">
      <c r="A355" s="635"/>
      <c r="B355" s="40"/>
      <c r="C355" s="703">
        <f>SUM(C347:C354)</f>
        <v>46.961999999999996</v>
      </c>
      <c r="D355" s="703">
        <f t="shared" ref="D355:I355" si="32">SUM(D347:D354)</f>
        <v>45.384</v>
      </c>
      <c r="E355" s="703">
        <f t="shared" si="32"/>
        <v>11.612</v>
      </c>
      <c r="F355" s="703">
        <f t="shared" si="32"/>
        <v>0</v>
      </c>
      <c r="G355" s="703">
        <f t="shared" si="32"/>
        <v>0</v>
      </c>
      <c r="H355" s="703">
        <f t="shared" si="32"/>
        <v>35.349999999999994</v>
      </c>
      <c r="I355" s="703">
        <f t="shared" si="32"/>
        <v>0</v>
      </c>
      <c r="J355" s="40"/>
      <c r="K355" s="605"/>
      <c r="L355" s="28"/>
    </row>
    <row r="356" spans="1:12" ht="18" customHeight="1" thickBot="1" x14ac:dyDescent="0.4">
      <c r="A356" s="53" t="s">
        <v>341</v>
      </c>
      <c r="B356" s="34"/>
      <c r="C356" s="31">
        <f>SUM(E356:I356)</f>
        <v>46.961999999999996</v>
      </c>
      <c r="D356" s="630">
        <f t="shared" ref="D356:I356" si="33">SUM(D347:D354)</f>
        <v>45.384</v>
      </c>
      <c r="E356" s="31">
        <f t="shared" si="33"/>
        <v>11.612</v>
      </c>
      <c r="F356" s="31">
        <f t="shared" si="33"/>
        <v>0</v>
      </c>
      <c r="G356" s="31">
        <f t="shared" si="33"/>
        <v>0</v>
      </c>
      <c r="H356" s="31">
        <f t="shared" si="33"/>
        <v>35.349999999999994</v>
      </c>
      <c r="I356" s="31">
        <f t="shared" si="33"/>
        <v>0</v>
      </c>
      <c r="J356" s="608"/>
      <c r="K356" s="609"/>
      <c r="L356" s="653"/>
    </row>
    <row r="357" spans="1:12" ht="18" customHeight="1" x14ac:dyDescent="0.35">
      <c r="L357" s="28"/>
    </row>
    <row r="358" spans="1:12" s="1" customFormat="1" x14ac:dyDescent="0.35">
      <c r="A358" s="1203" t="s">
        <v>605</v>
      </c>
      <c r="B358" s="1204"/>
      <c r="C358" s="1204"/>
      <c r="D358" s="1204"/>
      <c r="E358" s="1204"/>
      <c r="F358" s="1204"/>
      <c r="G358" s="1204"/>
      <c r="H358" s="1204"/>
      <c r="I358" s="1204"/>
      <c r="J358" s="1204"/>
      <c r="K358" s="1204"/>
      <c r="L358" s="1205"/>
    </row>
    <row r="359" spans="1:12" s="1" customFormat="1" ht="16" thickBot="1" x14ac:dyDescent="0.4">
      <c r="A359" s="585"/>
      <c r="B359" s="2"/>
      <c r="C359" s="5"/>
      <c r="D359" s="586"/>
      <c r="E359" s="5"/>
      <c r="F359" s="5"/>
      <c r="G359" s="5"/>
      <c r="H359" s="5"/>
      <c r="I359" s="5"/>
      <c r="J359" s="3"/>
      <c r="K359" s="21"/>
      <c r="L359" s="653"/>
    </row>
    <row r="360" spans="1:12" s="1" customFormat="1" x14ac:dyDescent="0.35">
      <c r="A360" s="1206" t="s">
        <v>302</v>
      </c>
      <c r="B360" s="1208" t="s">
        <v>28</v>
      </c>
      <c r="C360" s="1210" t="s">
        <v>343</v>
      </c>
      <c r="D360" s="613"/>
      <c r="E360" s="1212" t="s">
        <v>305</v>
      </c>
      <c r="F360" s="1212"/>
      <c r="G360" s="1212"/>
      <c r="H360" s="1212"/>
      <c r="I360" s="1212"/>
      <c r="J360" s="1208" t="s">
        <v>29</v>
      </c>
      <c r="K360" s="1213" t="s">
        <v>306</v>
      </c>
      <c r="L360" s="1215" t="str">
        <f>L345</f>
        <v>REMARKS</v>
      </c>
    </row>
    <row r="361" spans="1:12" s="1" customFormat="1" ht="21" customHeight="1" thickBot="1" x14ac:dyDescent="0.4">
      <c r="A361" s="1207"/>
      <c r="B361" s="1209"/>
      <c r="C361" s="1211"/>
      <c r="D361" s="614"/>
      <c r="E361" s="7" t="s">
        <v>308</v>
      </c>
      <c r="F361" s="7" t="s">
        <v>309</v>
      </c>
      <c r="G361" s="7" t="s">
        <v>310</v>
      </c>
      <c r="H361" s="7" t="s">
        <v>311</v>
      </c>
      <c r="I361" s="7" t="s">
        <v>312</v>
      </c>
      <c r="J361" s="1209"/>
      <c r="K361" s="1214"/>
      <c r="L361" s="1216"/>
    </row>
    <row r="362" spans="1:12" s="16" customFormat="1" x14ac:dyDescent="0.35">
      <c r="A362" s="589">
        <v>192</v>
      </c>
      <c r="B362" s="24" t="s">
        <v>606</v>
      </c>
      <c r="C362" s="73">
        <f>SUM(E362:I362)</f>
        <v>13.02</v>
      </c>
      <c r="D362" s="706">
        <f>'[23]road inventory 2018'!C359</f>
        <v>17</v>
      </c>
      <c r="E362" s="15">
        <v>10.11</v>
      </c>
      <c r="F362" s="15">
        <v>0</v>
      </c>
      <c r="G362" s="15">
        <v>0</v>
      </c>
      <c r="H362" s="15">
        <v>2.91</v>
      </c>
      <c r="I362" s="15">
        <v>0</v>
      </c>
      <c r="J362" s="24" t="s">
        <v>12</v>
      </c>
      <c r="K362" s="591"/>
      <c r="L362" s="24"/>
    </row>
    <row r="363" spans="1:12" s="16" customFormat="1" ht="31" x14ac:dyDescent="0.35">
      <c r="A363" s="589">
        <v>193</v>
      </c>
      <c r="B363" s="24" t="s">
        <v>607</v>
      </c>
      <c r="C363" s="73">
        <f>SUM(E363:I363)</f>
        <v>1.53</v>
      </c>
      <c r="D363" s="706">
        <f>'[23]road inventory 2018'!C360</f>
        <v>1.8</v>
      </c>
      <c r="E363" s="15">
        <v>1.53</v>
      </c>
      <c r="F363" s="15">
        <v>0</v>
      </c>
      <c r="G363" s="15">
        <v>0</v>
      </c>
      <c r="H363" s="15">
        <v>0</v>
      </c>
      <c r="I363" s="15">
        <v>0</v>
      </c>
      <c r="J363" s="24" t="s">
        <v>12</v>
      </c>
      <c r="K363" s="591"/>
      <c r="L363" s="24"/>
    </row>
    <row r="364" spans="1:12" s="16" customFormat="1" ht="31.5" thickBot="1" x14ac:dyDescent="0.4">
      <c r="A364" s="649">
        <v>194</v>
      </c>
      <c r="B364" s="64" t="s">
        <v>608</v>
      </c>
      <c r="C364" s="73">
        <f>SUM(E364:I364)</f>
        <v>5.12</v>
      </c>
      <c r="D364" s="707">
        <f>'[23]road inventory 2018'!C361</f>
        <v>5.3</v>
      </c>
      <c r="E364" s="65">
        <v>4.12</v>
      </c>
      <c r="F364" s="65">
        <v>0</v>
      </c>
      <c r="G364" s="65">
        <v>0</v>
      </c>
      <c r="H364" s="65">
        <v>1</v>
      </c>
      <c r="I364" s="65">
        <v>0</v>
      </c>
      <c r="J364" s="64" t="s">
        <v>12</v>
      </c>
      <c r="K364" s="652"/>
      <c r="L364" s="24"/>
    </row>
    <row r="365" spans="1:12" s="16" customFormat="1" ht="31" x14ac:dyDescent="0.35">
      <c r="A365" s="589">
        <v>195</v>
      </c>
      <c r="B365" s="24" t="s">
        <v>609</v>
      </c>
      <c r="C365" s="73">
        <f>SUM(E365:I365)</f>
        <v>5.01</v>
      </c>
      <c r="D365" s="706">
        <f>'[23]road inventory 2018'!C365</f>
        <v>3.9000000000000004</v>
      </c>
      <c r="E365" s="15">
        <v>1.06</v>
      </c>
      <c r="F365" s="15">
        <v>0</v>
      </c>
      <c r="G365" s="15">
        <v>0</v>
      </c>
      <c r="H365" s="15">
        <v>3.95</v>
      </c>
      <c r="I365" s="15">
        <v>0</v>
      </c>
      <c r="J365" s="24" t="s">
        <v>12</v>
      </c>
      <c r="K365" s="591"/>
      <c r="L365" s="24"/>
    </row>
    <row r="366" spans="1:12" s="16" customFormat="1" x14ac:dyDescent="0.35">
      <c r="A366" s="626"/>
      <c r="B366" s="60"/>
      <c r="C366" s="75">
        <f t="shared" ref="C366:I366" si="34">SUM(C362:C365)</f>
        <v>24.68</v>
      </c>
      <c r="D366" s="75">
        <f t="shared" si="34"/>
        <v>28</v>
      </c>
      <c r="E366" s="75">
        <f t="shared" si="34"/>
        <v>16.819999999999997</v>
      </c>
      <c r="F366" s="75">
        <f t="shared" si="34"/>
        <v>0</v>
      </c>
      <c r="G366" s="75">
        <f t="shared" si="34"/>
        <v>0</v>
      </c>
      <c r="H366" s="75">
        <f t="shared" si="34"/>
        <v>7.86</v>
      </c>
      <c r="I366" s="75">
        <f t="shared" si="34"/>
        <v>0</v>
      </c>
      <c r="J366" s="60"/>
      <c r="K366" s="629"/>
      <c r="L366" s="24"/>
    </row>
    <row r="367" spans="1:12" ht="18" customHeight="1" thickBot="1" x14ac:dyDescent="0.4">
      <c r="A367" s="53" t="s">
        <v>341</v>
      </c>
      <c r="B367" s="34"/>
      <c r="C367" s="31">
        <f>SUM(E367:I367)</f>
        <v>24.679999999999996</v>
      </c>
      <c r="D367" s="630">
        <f t="shared" ref="D367:I367" si="35">SUM(D362:D365)</f>
        <v>28</v>
      </c>
      <c r="E367" s="31">
        <f t="shared" si="35"/>
        <v>16.819999999999997</v>
      </c>
      <c r="F367" s="31">
        <f t="shared" si="35"/>
        <v>0</v>
      </c>
      <c r="G367" s="31">
        <f t="shared" si="35"/>
        <v>0</v>
      </c>
      <c r="H367" s="31">
        <f t="shared" si="35"/>
        <v>7.86</v>
      </c>
      <c r="I367" s="31">
        <f t="shared" si="35"/>
        <v>0</v>
      </c>
      <c r="J367" s="608"/>
      <c r="K367" s="609"/>
      <c r="L367" s="653"/>
    </row>
    <row r="368" spans="1:12" ht="18" customHeight="1" x14ac:dyDescent="0.35">
      <c r="A368" s="544"/>
      <c r="B368" s="35"/>
      <c r="C368" s="22"/>
      <c r="D368" s="610"/>
      <c r="E368" s="22"/>
      <c r="F368" s="22"/>
      <c r="G368" s="22"/>
      <c r="H368" s="22"/>
      <c r="I368" s="22"/>
      <c r="J368" s="1"/>
      <c r="K368" s="21"/>
      <c r="L368" s="653"/>
    </row>
    <row r="369" spans="1:12" s="1" customFormat="1" x14ac:dyDescent="0.35">
      <c r="A369" s="1203" t="s">
        <v>610</v>
      </c>
      <c r="B369" s="1204"/>
      <c r="C369" s="1204"/>
      <c r="D369" s="1204"/>
      <c r="E369" s="1204"/>
      <c r="F369" s="1204"/>
      <c r="G369" s="1204"/>
      <c r="H369" s="1204"/>
      <c r="I369" s="1204"/>
      <c r="J369" s="1204"/>
      <c r="K369" s="1204"/>
      <c r="L369" s="1205"/>
    </row>
    <row r="370" spans="1:12" s="1" customFormat="1" ht="16" thickBot="1" x14ac:dyDescent="0.4">
      <c r="A370" s="585"/>
      <c r="B370" s="2"/>
      <c r="C370" s="5"/>
      <c r="D370" s="586"/>
      <c r="E370" s="5"/>
      <c r="F370" s="5"/>
      <c r="G370" s="5"/>
      <c r="H370" s="5"/>
      <c r="I370" s="5"/>
      <c r="J370" s="3"/>
      <c r="K370" s="21"/>
      <c r="L370" s="653"/>
    </row>
    <row r="371" spans="1:12" s="1" customFormat="1" x14ac:dyDescent="0.35">
      <c r="A371" s="1206" t="s">
        <v>302</v>
      </c>
      <c r="B371" s="1208" t="s">
        <v>28</v>
      </c>
      <c r="C371" s="1210" t="s">
        <v>343</v>
      </c>
      <c r="D371" s="613"/>
      <c r="E371" s="1212" t="s">
        <v>305</v>
      </c>
      <c r="F371" s="1212"/>
      <c r="G371" s="1212"/>
      <c r="H371" s="1212"/>
      <c r="I371" s="1212"/>
      <c r="J371" s="1208" t="s">
        <v>29</v>
      </c>
      <c r="K371" s="1213" t="s">
        <v>306</v>
      </c>
      <c r="L371" s="1215" t="str">
        <f>L360</f>
        <v>REMARKS</v>
      </c>
    </row>
    <row r="372" spans="1:12" s="1" customFormat="1" ht="21" customHeight="1" thickBot="1" x14ac:dyDescent="0.4">
      <c r="A372" s="1207"/>
      <c r="B372" s="1209"/>
      <c r="C372" s="1211"/>
      <c r="D372" s="614"/>
      <c r="E372" s="7" t="s">
        <v>308</v>
      </c>
      <c r="F372" s="7" t="s">
        <v>309</v>
      </c>
      <c r="G372" s="7" t="s">
        <v>310</v>
      </c>
      <c r="H372" s="7" t="s">
        <v>311</v>
      </c>
      <c r="I372" s="7" t="s">
        <v>312</v>
      </c>
      <c r="J372" s="1209"/>
      <c r="K372" s="1214"/>
      <c r="L372" s="1216"/>
    </row>
    <row r="373" spans="1:12" ht="18" customHeight="1" x14ac:dyDescent="0.35">
      <c r="A373" s="596">
        <v>171</v>
      </c>
      <c r="B373" s="28" t="s">
        <v>611</v>
      </c>
      <c r="C373" s="10">
        <f>SUM(E373:H373)</f>
        <v>8.7409999999999997</v>
      </c>
      <c r="D373" s="10"/>
      <c r="E373" s="10">
        <v>1.18</v>
      </c>
      <c r="F373" s="10">
        <v>0</v>
      </c>
      <c r="G373" s="10">
        <v>0</v>
      </c>
      <c r="H373" s="10">
        <v>7.5609999999999999</v>
      </c>
      <c r="I373" s="10">
        <v>0</v>
      </c>
      <c r="J373" s="103" t="s">
        <v>12</v>
      </c>
      <c r="K373" s="597"/>
      <c r="L373" s="28" t="str">
        <f>L354</f>
        <v>FOR VERIFICATION</v>
      </c>
    </row>
    <row r="374" spans="1:12" ht="18" customHeight="1" x14ac:dyDescent="0.35">
      <c r="A374" s="596"/>
      <c r="B374" s="28"/>
      <c r="C374" s="10"/>
      <c r="D374" s="615"/>
      <c r="E374" s="10"/>
      <c r="F374" s="10"/>
      <c r="G374" s="10"/>
      <c r="H374" s="10"/>
      <c r="I374" s="10"/>
      <c r="J374" s="102"/>
      <c r="K374" s="659"/>
      <c r="L374" s="653"/>
    </row>
    <row r="375" spans="1:12" x14ac:dyDescent="0.35">
      <c r="A375" s="658" t="s">
        <v>341</v>
      </c>
      <c r="B375" s="81"/>
      <c r="C375" s="82">
        <f t="shared" ref="C375:I375" si="36">+C373</f>
        <v>8.7409999999999997</v>
      </c>
      <c r="D375" s="708"/>
      <c r="E375" s="82">
        <f t="shared" si="36"/>
        <v>1.18</v>
      </c>
      <c r="F375" s="82">
        <f t="shared" si="36"/>
        <v>0</v>
      </c>
      <c r="G375" s="82">
        <f t="shared" si="36"/>
        <v>0</v>
      </c>
      <c r="H375" s="82">
        <f t="shared" si="36"/>
        <v>7.5609999999999999</v>
      </c>
      <c r="I375" s="82">
        <f t="shared" si="36"/>
        <v>0</v>
      </c>
      <c r="J375" s="102"/>
      <c r="K375" s="659"/>
      <c r="L375" s="653"/>
    </row>
    <row r="376" spans="1:12" ht="18" customHeight="1" x14ac:dyDescent="0.35">
      <c r="A376" s="596"/>
      <c r="B376" s="84"/>
      <c r="C376" s="11"/>
      <c r="D376" s="656"/>
      <c r="E376" s="11"/>
      <c r="F376" s="11"/>
      <c r="G376" s="11"/>
      <c r="H376" s="11"/>
      <c r="I376" s="11"/>
      <c r="J376" s="102"/>
      <c r="K376" s="709"/>
      <c r="L376" s="653"/>
    </row>
    <row r="377" spans="1:12" ht="18" customHeight="1" thickBot="1" x14ac:dyDescent="0.4">
      <c r="A377" s="1199" t="s">
        <v>612</v>
      </c>
      <c r="B377" s="1200"/>
      <c r="C377" s="19">
        <f>C375+C367+C356+C341+C321+C312+C294+C279+C261+C240+C228+C213+C198</f>
        <v>755.56</v>
      </c>
      <c r="D377" s="607"/>
      <c r="E377" s="19">
        <f>+E375+E367+E356+E341+E321+E312+E294+E279+E261+E240+E228+E213+E198</f>
        <v>247.15899999999996</v>
      </c>
      <c r="F377" s="19">
        <f>+F375+F367+F356+F341+F321+F312+F294+F279+F261+F240+F228+F213+F198</f>
        <v>4.74</v>
      </c>
      <c r="G377" s="19">
        <f>+G375+G367+G356+G341+G321+G312+G294+G279+G261+G240+G228+G213+G198</f>
        <v>6.7200000000000006</v>
      </c>
      <c r="H377" s="19">
        <f>+H375+H367+H356+H341+H321+H312+H294+H279+H261+H240+H228+H213+H198</f>
        <v>491.51099999999991</v>
      </c>
      <c r="I377" s="19">
        <f>+I375+I367+I356+I341+I321+I312+I294+I279+I261+I240+I228+I213+I198</f>
        <v>5.43</v>
      </c>
      <c r="J377" s="608"/>
      <c r="K377" s="710"/>
      <c r="L377" s="653"/>
    </row>
    <row r="378" spans="1:12" ht="16" thickBot="1" x14ac:dyDescent="0.4">
      <c r="A378" s="1201" t="s">
        <v>204</v>
      </c>
      <c r="B378" s="1202"/>
      <c r="C378" s="87">
        <f>C377+C174</f>
        <v>1224.1799999999998</v>
      </c>
      <c r="D378" s="711"/>
      <c r="E378" s="87">
        <f>+E377+E174</f>
        <v>389.88900000000001</v>
      </c>
      <c r="F378" s="87">
        <f>+F377+F174</f>
        <v>4.74</v>
      </c>
      <c r="G378" s="87">
        <f>+G377+G174</f>
        <v>6.7200000000000006</v>
      </c>
      <c r="H378" s="87">
        <f>+H377+H174</f>
        <v>817.40099999999984</v>
      </c>
      <c r="I378" s="87">
        <f>+I377+I174</f>
        <v>5.43</v>
      </c>
      <c r="J378" s="712"/>
      <c r="K378" s="713"/>
      <c r="L378" s="714"/>
    </row>
    <row r="379" spans="1:12" ht="15" customHeight="1" x14ac:dyDescent="0.35">
      <c r="A379" s="716"/>
      <c r="B379" s="716"/>
      <c r="C379" s="22"/>
      <c r="D379" s="610"/>
      <c r="E379" s="22"/>
      <c r="F379" s="22"/>
      <c r="G379" s="22"/>
      <c r="H379" s="22"/>
      <c r="I379" s="22"/>
      <c r="J379" s="1"/>
      <c r="K379" s="21"/>
      <c r="L379" s="21"/>
    </row>
    <row r="380" spans="1:12" ht="15" customHeight="1" x14ac:dyDescent="0.35">
      <c r="A380" s="3"/>
      <c r="B380" s="716" t="s">
        <v>841</v>
      </c>
      <c r="C380" s="22">
        <f>SUM(E378:I378)</f>
        <v>1224.18</v>
      </c>
      <c r="D380" s="610"/>
      <c r="E380" s="22"/>
      <c r="F380" s="22"/>
      <c r="G380" s="22"/>
      <c r="H380" s="22"/>
      <c r="I380" s="22"/>
      <c r="J380" s="1"/>
      <c r="K380" s="21"/>
      <c r="L380" s="21"/>
    </row>
    <row r="381" spans="1:12" ht="15" customHeight="1" x14ac:dyDescent="0.35">
      <c r="A381" s="3"/>
      <c r="B381" s="716"/>
      <c r="C381" s="22"/>
      <c r="D381" s="610"/>
      <c r="E381" s="22"/>
      <c r="F381" s="22"/>
      <c r="G381" s="22"/>
      <c r="H381" s="22"/>
      <c r="I381" s="22"/>
      <c r="J381" s="1"/>
      <c r="K381" s="21"/>
      <c r="L381" s="21"/>
    </row>
    <row r="382" spans="1:12" ht="15" customHeight="1" x14ac:dyDescent="0.35">
      <c r="A382" s="3"/>
      <c r="B382" s="716"/>
      <c r="C382" s="22"/>
      <c r="D382" s="610"/>
      <c r="E382" s="22"/>
      <c r="F382" s="22"/>
      <c r="G382" s="22"/>
      <c r="H382" s="22"/>
      <c r="I382" s="22"/>
      <c r="J382" s="1"/>
      <c r="K382" s="21"/>
      <c r="L382" s="21"/>
    </row>
    <row r="383" spans="1:12" ht="15" customHeight="1" x14ac:dyDescent="0.35">
      <c r="A383" s="3"/>
      <c r="B383" s="717" t="s">
        <v>154</v>
      </c>
      <c r="C383" s="22"/>
      <c r="D383" s="610"/>
      <c r="E383" s="22"/>
      <c r="F383" s="22"/>
      <c r="G383" s="22"/>
      <c r="H383" s="22"/>
      <c r="I383" s="22"/>
      <c r="J383" s="1"/>
      <c r="K383" s="21"/>
      <c r="L383" s="21"/>
    </row>
    <row r="384" spans="1:12" ht="15" customHeight="1" x14ac:dyDescent="0.35">
      <c r="A384" s="3"/>
      <c r="B384" s="583" t="s">
        <v>155</v>
      </c>
      <c r="C384" s="22"/>
      <c r="D384" s="610"/>
      <c r="E384" s="22"/>
      <c r="F384" s="22"/>
      <c r="G384" s="22"/>
      <c r="H384" s="22"/>
      <c r="I384" s="22"/>
      <c r="J384" s="1"/>
      <c r="K384" s="21"/>
      <c r="L384" s="21"/>
    </row>
    <row r="385" spans="1:12" ht="15" customHeight="1" x14ac:dyDescent="0.35">
      <c r="A385" s="3"/>
      <c r="B385" s="583" t="s">
        <v>842</v>
      </c>
      <c r="C385" s="22"/>
      <c r="D385" s="610"/>
      <c r="E385" s="22"/>
      <c r="F385" s="22"/>
      <c r="G385" s="22"/>
      <c r="H385" s="22"/>
      <c r="I385" s="22"/>
      <c r="J385" s="1"/>
      <c r="K385" s="21"/>
      <c r="L385" s="21"/>
    </row>
    <row r="386" spans="1:12" ht="38.25" customHeight="1" thickBot="1" x14ac:dyDescent="0.4">
      <c r="A386" s="718"/>
      <c r="B386" s="718"/>
      <c r="C386" s="719"/>
      <c r="D386" s="720"/>
      <c r="E386" s="719"/>
      <c r="F386" s="719"/>
      <c r="G386" s="719"/>
      <c r="H386" s="719"/>
      <c r="I386" s="719"/>
      <c r="J386" s="721"/>
      <c r="K386" s="715"/>
      <c r="L386" s="715"/>
    </row>
    <row r="387" spans="1:12" x14ac:dyDescent="0.35">
      <c r="B387" s="722" t="s">
        <v>10</v>
      </c>
      <c r="C387" s="723">
        <f>C10+C13+C15+C16+C17+C18+C19+C20+C25+C39+C42+C46+C48+C49+C50+C96+C97+C98+C100+C115+C116+C121+C123+C124+C141+C149+C150+C151+C159+C170+C180+C181+C187+C190+C204+C205+C207+C224+C226+C250+C253+C288+C291+C301+C302+C303+C304+C310+C327+C331+C336+C337+C339+C350</f>
        <v>287.98699999999997</v>
      </c>
      <c r="D387" s="724">
        <v>285.47999999999996</v>
      </c>
      <c r="E387" s="725"/>
      <c r="F387" s="726"/>
      <c r="G387" s="727"/>
    </row>
    <row r="388" spans="1:12" x14ac:dyDescent="0.35">
      <c r="B388" s="728" t="s">
        <v>12</v>
      </c>
      <c r="C388" s="729">
        <f>C8+C9+C11+C14+C21+C22+C27+C28+C29+C30+C40+C41+C43+C44+C45+C47+C53+C54+C55+C56+C57+C58+C59+C62+C65+C72+C73+C75+C76+C77+C86+C94+C99+C110+C111+C112+C113+C114+C117+C118+C122+C125+C126+C127+C128+C129+C130+C131+C134+C135+C136+C137+C138+C140+C157+C171+C184+C186+C188+C191+C192+C193+C194+C195+C196+C208+C210+C211+C219+C220+C221+C222+C225+C235+C237+C246+C247+C248+C249+C254+C258+C259+C268+C273+C274+C285+C286+C289+C309+C318+C319+C329+C330+C332+C335+C349+C352+C353+C362+C363+C364+C365+C373</f>
        <v>595.7890000000001</v>
      </c>
      <c r="D388" s="724">
        <v>595.79900000000009</v>
      </c>
      <c r="E388" s="730">
        <f>C387+C388</f>
        <v>883.77600000000007</v>
      </c>
      <c r="F388" s="731">
        <f>'GOOD TO FAIR2019'!C311</f>
        <v>883.58600000000001</v>
      </c>
      <c r="G388" s="729">
        <f>F388-E388</f>
        <v>-0.19000000000005457</v>
      </c>
    </row>
    <row r="389" spans="1:12" x14ac:dyDescent="0.35">
      <c r="B389" s="728" t="s">
        <v>33</v>
      </c>
      <c r="C389" s="729">
        <f>C12+C23+C24+C26+C52+C60+C61+C78+C93+C95+C101+C119+C120+C132+C133+C139+C155+C156+C162+C182+C183+C185+C206+C209+C236+C238+C252+C255+C257+C267+C269+C270+C271+C272+C275+C276+C287+C290+C292+C300+C305+C306+C307+C328+C333+C338+C347+C348+C351+C334+C308+C256</f>
        <v>267.43400000000003</v>
      </c>
      <c r="D389" s="724">
        <v>260.23399999999992</v>
      </c>
      <c r="E389" s="732"/>
      <c r="F389" s="731"/>
      <c r="G389" s="733"/>
    </row>
    <row r="390" spans="1:12" ht="16" thickBot="1" x14ac:dyDescent="0.4">
      <c r="B390" s="734" t="s">
        <v>41</v>
      </c>
      <c r="C390" s="735">
        <f>C31+C51+C63+C64+C102+C152+C153+C154+C158+C160+C161+C189+C223+C234+C251+C277+C354</f>
        <v>72.97</v>
      </c>
      <c r="D390" s="724">
        <v>72.97</v>
      </c>
      <c r="E390" s="736">
        <f>C387+C388+C389+C390</f>
        <v>1224.18</v>
      </c>
      <c r="F390" s="737">
        <f>C378</f>
        <v>1224.1799999999998</v>
      </c>
      <c r="G390" s="735">
        <f>F390-E390</f>
        <v>0</v>
      </c>
    </row>
    <row r="391" spans="1:12" x14ac:dyDescent="0.35">
      <c r="D391" s="724">
        <f>SUBTOTAL(9,D387:D390)</f>
        <v>1214.4829999999999</v>
      </c>
    </row>
    <row r="392" spans="1:12" ht="18" customHeight="1" x14ac:dyDescent="0.35"/>
    <row r="393" spans="1:12" ht="18" customHeight="1" x14ac:dyDescent="0.35">
      <c r="C393" s="38"/>
      <c r="D393" s="645"/>
    </row>
    <row r="394" spans="1:12" s="95" customFormat="1" ht="18" customHeight="1" x14ac:dyDescent="0.35">
      <c r="B394" s="2"/>
      <c r="C394" s="3"/>
      <c r="D394" s="582"/>
      <c r="E394" s="3"/>
      <c r="F394" s="3"/>
      <c r="G394" s="3"/>
      <c r="H394" s="3"/>
      <c r="I394" s="3"/>
      <c r="J394" s="3"/>
      <c r="K394" s="2"/>
      <c r="L394" s="2"/>
    </row>
    <row r="395" spans="1:12" s="95" customFormat="1" ht="18" customHeight="1" x14ac:dyDescent="0.35">
      <c r="B395" s="2"/>
      <c r="C395" s="3"/>
      <c r="D395" s="582"/>
      <c r="E395" s="3"/>
      <c r="F395" s="3"/>
      <c r="G395" s="3"/>
      <c r="H395" s="3"/>
      <c r="I395" s="3"/>
      <c r="J395" s="3"/>
      <c r="K395" s="2"/>
      <c r="L395" s="2"/>
    </row>
    <row r="396" spans="1:12" s="95" customFormat="1" ht="18" customHeight="1" x14ac:dyDescent="0.35">
      <c r="B396" s="2"/>
      <c r="C396" s="3"/>
      <c r="D396" s="582"/>
      <c r="E396" s="3"/>
      <c r="F396" s="3"/>
      <c r="G396" s="3"/>
      <c r="H396" s="3"/>
      <c r="I396" s="3"/>
      <c r="J396" s="3"/>
      <c r="K396" s="2"/>
      <c r="L396" s="2"/>
    </row>
    <row r="397" spans="1:12" s="95" customFormat="1" ht="18" customHeight="1" x14ac:dyDescent="0.35">
      <c r="B397" s="2"/>
      <c r="C397" s="3"/>
      <c r="D397" s="582"/>
      <c r="E397" s="3"/>
      <c r="F397" s="3"/>
      <c r="G397" s="3"/>
      <c r="H397" s="3"/>
      <c r="I397" s="3"/>
      <c r="J397" s="3"/>
      <c r="K397" s="2"/>
      <c r="L397" s="2"/>
    </row>
    <row r="398" spans="1:12" s="95" customFormat="1" ht="18" customHeight="1" x14ac:dyDescent="0.35">
      <c r="B398" s="2"/>
      <c r="C398" s="3"/>
      <c r="D398" s="582"/>
      <c r="E398" s="3"/>
      <c r="F398" s="3"/>
      <c r="G398" s="3"/>
      <c r="H398" s="3"/>
      <c r="I398" s="3"/>
      <c r="J398" s="3"/>
      <c r="K398" s="2"/>
      <c r="L398" s="2"/>
    </row>
    <row r="399" spans="1:12" s="95" customFormat="1" ht="18" customHeight="1" x14ac:dyDescent="0.35">
      <c r="B399" s="2"/>
      <c r="C399" s="3"/>
      <c r="D399" s="582"/>
      <c r="E399" s="3"/>
      <c r="F399" s="3"/>
      <c r="G399" s="3"/>
      <c r="H399" s="3"/>
      <c r="I399" s="3"/>
      <c r="J399" s="3"/>
      <c r="K399" s="2"/>
      <c r="L399" s="2"/>
    </row>
    <row r="400" spans="1:12" s="95" customFormat="1" ht="18" customHeight="1" x14ac:dyDescent="0.35">
      <c r="B400" s="2"/>
      <c r="C400" s="3"/>
      <c r="D400" s="582"/>
      <c r="E400" s="3"/>
      <c r="F400" s="3"/>
      <c r="G400" s="3"/>
      <c r="H400" s="3"/>
      <c r="I400" s="3"/>
      <c r="J400" s="3"/>
      <c r="K400" s="2"/>
      <c r="L400" s="2"/>
    </row>
    <row r="401" spans="2:12" s="95" customFormat="1" ht="18" customHeight="1" x14ac:dyDescent="0.35">
      <c r="B401" s="2"/>
      <c r="C401" s="3"/>
      <c r="D401" s="582"/>
      <c r="E401" s="3"/>
      <c r="F401" s="3"/>
      <c r="G401" s="3"/>
      <c r="H401" s="3"/>
      <c r="I401" s="3"/>
      <c r="J401" s="3"/>
      <c r="K401" s="2"/>
      <c r="L401" s="2"/>
    </row>
    <row r="402" spans="2:12" s="95" customFormat="1" ht="18" customHeight="1" x14ac:dyDescent="0.35">
      <c r="B402" s="2"/>
      <c r="C402" s="3"/>
      <c r="D402" s="582"/>
      <c r="E402" s="3"/>
      <c r="F402" s="3"/>
      <c r="G402" s="3"/>
      <c r="H402" s="3"/>
      <c r="I402" s="3"/>
      <c r="J402" s="3"/>
      <c r="K402" s="2"/>
      <c r="L402" s="2"/>
    </row>
    <row r="403" spans="2:12" s="95" customFormat="1" ht="18" customHeight="1" x14ac:dyDescent="0.35">
      <c r="B403" s="2"/>
      <c r="C403" s="3"/>
      <c r="D403" s="582"/>
      <c r="E403" s="3"/>
      <c r="F403" s="3"/>
      <c r="G403" s="3"/>
      <c r="H403" s="3"/>
      <c r="I403" s="3"/>
      <c r="J403" s="3"/>
      <c r="K403" s="2"/>
      <c r="L403" s="2"/>
    </row>
    <row r="404" spans="2:12" s="95" customFormat="1" ht="18" customHeight="1" x14ac:dyDescent="0.35">
      <c r="B404" s="2"/>
      <c r="C404" s="3"/>
      <c r="D404" s="582"/>
      <c r="E404" s="3"/>
      <c r="F404" s="3"/>
      <c r="G404" s="3"/>
      <c r="H404" s="3"/>
      <c r="I404" s="3"/>
      <c r="J404" s="3"/>
      <c r="K404" s="2"/>
      <c r="L404" s="2"/>
    </row>
    <row r="405" spans="2:12" s="95" customFormat="1" ht="18" customHeight="1" x14ac:dyDescent="0.35">
      <c r="B405" s="2"/>
      <c r="C405" s="3"/>
      <c r="D405" s="582"/>
      <c r="E405" s="3"/>
      <c r="F405" s="3"/>
      <c r="G405" s="3"/>
      <c r="H405" s="3"/>
      <c r="I405" s="3"/>
      <c r="J405" s="3"/>
      <c r="K405" s="2"/>
      <c r="L405" s="2"/>
    </row>
    <row r="406" spans="2:12" s="95" customFormat="1" ht="18" customHeight="1" x14ac:dyDescent="0.35">
      <c r="B406" s="2"/>
      <c r="C406" s="3"/>
      <c r="D406" s="582"/>
      <c r="E406" s="3"/>
      <c r="F406" s="3"/>
      <c r="G406" s="3"/>
      <c r="H406" s="3"/>
      <c r="I406" s="3"/>
      <c r="J406" s="3"/>
      <c r="K406" s="2"/>
      <c r="L406" s="2"/>
    </row>
    <row r="407" spans="2:12" s="95" customFormat="1" ht="18" customHeight="1" x14ac:dyDescent="0.35">
      <c r="B407" s="2"/>
      <c r="C407" s="3"/>
      <c r="D407" s="582"/>
      <c r="E407" s="3"/>
      <c r="F407" s="3"/>
      <c r="G407" s="3"/>
      <c r="H407" s="3"/>
      <c r="I407" s="3"/>
      <c r="J407" s="3"/>
      <c r="K407" s="2"/>
      <c r="L407" s="2"/>
    </row>
    <row r="408" spans="2:12" s="95" customFormat="1" ht="18" customHeight="1" x14ac:dyDescent="0.35">
      <c r="B408" s="2"/>
      <c r="C408" s="3"/>
      <c r="D408" s="582"/>
      <c r="E408" s="3"/>
      <c r="F408" s="3"/>
      <c r="G408" s="3"/>
      <c r="H408" s="3"/>
      <c r="I408" s="3"/>
      <c r="J408" s="3"/>
      <c r="K408" s="2"/>
      <c r="L408" s="2"/>
    </row>
    <row r="409" spans="2:12" s="95" customFormat="1" ht="18" customHeight="1" x14ac:dyDescent="0.35">
      <c r="B409" s="2"/>
      <c r="C409" s="3"/>
      <c r="D409" s="582"/>
      <c r="E409" s="3"/>
      <c r="F409" s="3"/>
      <c r="G409" s="3"/>
      <c r="H409" s="3"/>
      <c r="I409" s="3"/>
      <c r="J409" s="3"/>
      <c r="K409" s="2"/>
      <c r="L409" s="2"/>
    </row>
    <row r="410" spans="2:12" s="95" customFormat="1" ht="18" customHeight="1" x14ac:dyDescent="0.35">
      <c r="B410" s="2"/>
      <c r="C410" s="3"/>
      <c r="D410" s="582"/>
      <c r="E410" s="3"/>
      <c r="F410" s="3"/>
      <c r="G410" s="3"/>
      <c r="H410" s="3"/>
      <c r="I410" s="3"/>
      <c r="J410" s="3"/>
      <c r="K410" s="2"/>
      <c r="L410" s="2"/>
    </row>
    <row r="411" spans="2:12" s="95" customFormat="1" ht="18" customHeight="1" x14ac:dyDescent="0.35">
      <c r="B411" s="2"/>
      <c r="C411" s="3"/>
      <c r="D411" s="582"/>
      <c r="E411" s="3"/>
      <c r="F411" s="3"/>
      <c r="G411" s="3"/>
      <c r="H411" s="3"/>
      <c r="I411" s="3"/>
      <c r="J411" s="3"/>
      <c r="K411" s="2"/>
      <c r="L411" s="2"/>
    </row>
    <row r="412" spans="2:12" s="95" customFormat="1" ht="18" customHeight="1" x14ac:dyDescent="0.35">
      <c r="B412" s="2"/>
      <c r="C412" s="3"/>
      <c r="D412" s="582"/>
      <c r="E412" s="3"/>
      <c r="F412" s="3"/>
      <c r="G412" s="3"/>
      <c r="H412" s="3"/>
      <c r="I412" s="3"/>
      <c r="J412" s="3"/>
      <c r="K412" s="2"/>
      <c r="L412" s="2"/>
    </row>
    <row r="413" spans="2:12" s="95" customFormat="1" ht="18" customHeight="1" x14ac:dyDescent="0.35">
      <c r="B413" s="2"/>
      <c r="C413" s="3"/>
      <c r="D413" s="582"/>
      <c r="E413" s="3"/>
      <c r="F413" s="3"/>
      <c r="G413" s="3"/>
      <c r="H413" s="3"/>
      <c r="I413" s="3"/>
      <c r="J413" s="3"/>
      <c r="K413" s="2"/>
      <c r="L413" s="2"/>
    </row>
    <row r="414" spans="2:12" s="95" customFormat="1" ht="18" customHeight="1" x14ac:dyDescent="0.35">
      <c r="B414" s="2"/>
      <c r="C414" s="3"/>
      <c r="D414" s="582"/>
      <c r="E414" s="3"/>
      <c r="F414" s="3"/>
      <c r="G414" s="3"/>
      <c r="H414" s="3"/>
      <c r="I414" s="3"/>
      <c r="J414" s="3"/>
      <c r="K414" s="2"/>
      <c r="L414" s="2"/>
    </row>
    <row r="415" spans="2:12" s="95" customFormat="1" ht="18" customHeight="1" x14ac:dyDescent="0.35">
      <c r="B415" s="2"/>
      <c r="C415" s="3"/>
      <c r="D415" s="582"/>
      <c r="E415" s="3"/>
      <c r="F415" s="3"/>
      <c r="G415" s="3"/>
      <c r="H415" s="3"/>
      <c r="I415" s="3"/>
      <c r="J415" s="3"/>
      <c r="K415" s="2"/>
      <c r="L415" s="2"/>
    </row>
    <row r="416" spans="2:12" s="95" customFormat="1" ht="18" customHeight="1" x14ac:dyDescent="0.35">
      <c r="B416" s="2"/>
      <c r="C416" s="3"/>
      <c r="D416" s="582"/>
      <c r="E416" s="3"/>
      <c r="F416" s="3"/>
      <c r="G416" s="3"/>
      <c r="H416" s="3"/>
      <c r="I416" s="3"/>
      <c r="J416" s="3"/>
      <c r="K416" s="2"/>
      <c r="L416" s="2"/>
    </row>
    <row r="417" spans="2:12" s="95" customFormat="1" ht="18" customHeight="1" x14ac:dyDescent="0.35">
      <c r="B417" s="2"/>
      <c r="C417" s="3"/>
      <c r="D417" s="582"/>
      <c r="E417" s="3"/>
      <c r="F417" s="3"/>
      <c r="G417" s="3"/>
      <c r="H417" s="3"/>
      <c r="I417" s="3"/>
      <c r="J417" s="3"/>
      <c r="K417" s="2"/>
      <c r="L417" s="2"/>
    </row>
    <row r="418" spans="2:12" s="95" customFormat="1" ht="18" customHeight="1" x14ac:dyDescent="0.35">
      <c r="B418" s="2"/>
      <c r="C418" s="3"/>
      <c r="D418" s="582"/>
      <c r="E418" s="3"/>
      <c r="F418" s="3"/>
      <c r="G418" s="3"/>
      <c r="H418" s="3"/>
      <c r="I418" s="3"/>
      <c r="J418" s="3"/>
      <c r="K418" s="2"/>
      <c r="L418" s="2"/>
    </row>
    <row r="419" spans="2:12" s="95" customFormat="1" ht="18" customHeight="1" x14ac:dyDescent="0.35">
      <c r="B419" s="2"/>
      <c r="C419" s="3"/>
      <c r="D419" s="582"/>
      <c r="E419" s="3"/>
      <c r="F419" s="3"/>
      <c r="G419" s="3"/>
      <c r="H419" s="3"/>
      <c r="I419" s="3"/>
      <c r="J419" s="3"/>
      <c r="K419" s="2"/>
      <c r="L419" s="2"/>
    </row>
    <row r="420" spans="2:12" s="95" customFormat="1" ht="18" customHeight="1" x14ac:dyDescent="0.35">
      <c r="B420" s="2"/>
      <c r="C420" s="3"/>
      <c r="D420" s="582"/>
      <c r="E420" s="3"/>
      <c r="F420" s="3"/>
      <c r="G420" s="3"/>
      <c r="H420" s="3"/>
      <c r="I420" s="3"/>
      <c r="J420" s="3"/>
      <c r="K420" s="2"/>
      <c r="L420" s="2"/>
    </row>
    <row r="421" spans="2:12" s="95" customFormat="1" ht="18" customHeight="1" x14ac:dyDescent="0.35">
      <c r="B421" s="2"/>
      <c r="C421" s="3"/>
      <c r="D421" s="582"/>
      <c r="E421" s="3"/>
      <c r="F421" s="3"/>
      <c r="G421" s="3"/>
      <c r="H421" s="3"/>
      <c r="I421" s="3"/>
      <c r="J421" s="3"/>
      <c r="K421" s="2"/>
      <c r="L421" s="2"/>
    </row>
    <row r="422" spans="2:12" s="95" customFormat="1" ht="18" customHeight="1" x14ac:dyDescent="0.35">
      <c r="B422" s="2"/>
      <c r="C422" s="3"/>
      <c r="D422" s="582"/>
      <c r="E422" s="3"/>
      <c r="F422" s="3"/>
      <c r="G422" s="3"/>
      <c r="H422" s="3"/>
      <c r="I422" s="3"/>
      <c r="J422" s="3"/>
      <c r="K422" s="2"/>
      <c r="L422" s="2"/>
    </row>
    <row r="423" spans="2:12" s="95" customFormat="1" ht="18" customHeight="1" x14ac:dyDescent="0.35">
      <c r="B423" s="2"/>
      <c r="C423" s="3"/>
      <c r="D423" s="582"/>
      <c r="E423" s="3"/>
      <c r="F423" s="3"/>
      <c r="G423" s="3"/>
      <c r="H423" s="3"/>
      <c r="I423" s="3"/>
      <c r="J423" s="3"/>
      <c r="K423" s="2"/>
      <c r="L423" s="2"/>
    </row>
    <row r="424" spans="2:12" s="95" customFormat="1" ht="18" customHeight="1" x14ac:dyDescent="0.35">
      <c r="B424" s="2"/>
      <c r="C424" s="3"/>
      <c r="D424" s="582"/>
      <c r="E424" s="3"/>
      <c r="F424" s="3"/>
      <c r="G424" s="3"/>
      <c r="H424" s="3"/>
      <c r="I424" s="3"/>
      <c r="J424" s="3"/>
      <c r="K424" s="2"/>
      <c r="L424" s="2"/>
    </row>
    <row r="425" spans="2:12" s="95" customFormat="1" ht="18" customHeight="1" x14ac:dyDescent="0.35">
      <c r="B425" s="2"/>
      <c r="C425" s="3"/>
      <c r="D425" s="582"/>
      <c r="E425" s="3"/>
      <c r="F425" s="3"/>
      <c r="G425" s="3"/>
      <c r="H425" s="3"/>
      <c r="I425" s="3"/>
      <c r="J425" s="3"/>
      <c r="K425" s="2"/>
      <c r="L425" s="2"/>
    </row>
    <row r="426" spans="2:12" s="95" customFormat="1" ht="18" customHeight="1" x14ac:dyDescent="0.35">
      <c r="B426" s="2"/>
      <c r="C426" s="3"/>
      <c r="D426" s="582"/>
      <c r="E426" s="3"/>
      <c r="F426" s="3"/>
      <c r="G426" s="3"/>
      <c r="H426" s="3"/>
      <c r="I426" s="3"/>
      <c r="J426" s="3"/>
      <c r="K426" s="2"/>
      <c r="L426" s="2"/>
    </row>
    <row r="427" spans="2:12" s="95" customFormat="1" ht="18" customHeight="1" x14ac:dyDescent="0.35">
      <c r="B427" s="2"/>
      <c r="C427" s="3"/>
      <c r="D427" s="582"/>
      <c r="E427" s="3"/>
      <c r="F427" s="3"/>
      <c r="G427" s="3"/>
      <c r="H427" s="3"/>
      <c r="I427" s="3"/>
      <c r="J427" s="3"/>
      <c r="K427" s="2"/>
      <c r="L427" s="2"/>
    </row>
    <row r="428" spans="2:12" s="95" customFormat="1" ht="18" customHeight="1" x14ac:dyDescent="0.35">
      <c r="B428" s="2"/>
      <c r="C428" s="3"/>
      <c r="D428" s="582"/>
      <c r="E428" s="3"/>
      <c r="F428" s="3"/>
      <c r="G428" s="3"/>
      <c r="H428" s="3"/>
      <c r="I428" s="3"/>
      <c r="J428" s="3"/>
      <c r="K428" s="2"/>
      <c r="L428" s="2"/>
    </row>
    <row r="429" spans="2:12" s="95" customFormat="1" ht="18" customHeight="1" x14ac:dyDescent="0.35">
      <c r="B429" s="2"/>
      <c r="C429" s="3"/>
      <c r="D429" s="582"/>
      <c r="E429" s="3"/>
      <c r="F429" s="3"/>
      <c r="G429" s="3"/>
      <c r="H429" s="3"/>
      <c r="I429" s="3"/>
      <c r="J429" s="3"/>
      <c r="K429" s="2"/>
      <c r="L429" s="2"/>
    </row>
    <row r="430" spans="2:12" s="95" customFormat="1" ht="18" customHeight="1" x14ac:dyDescent="0.35">
      <c r="B430" s="2"/>
      <c r="C430" s="3"/>
      <c r="D430" s="582"/>
      <c r="E430" s="3"/>
      <c r="F430" s="3"/>
      <c r="G430" s="3"/>
      <c r="H430" s="3"/>
      <c r="I430" s="3"/>
      <c r="J430" s="3"/>
      <c r="K430" s="2"/>
      <c r="L430" s="2"/>
    </row>
    <row r="431" spans="2:12" s="95" customFormat="1" ht="18" customHeight="1" x14ac:dyDescent="0.35">
      <c r="B431" s="2"/>
      <c r="C431" s="3"/>
      <c r="D431" s="582"/>
      <c r="E431" s="3"/>
      <c r="F431" s="3"/>
      <c r="G431" s="3"/>
      <c r="H431" s="3"/>
      <c r="I431" s="3"/>
      <c r="J431" s="3"/>
      <c r="K431" s="2"/>
      <c r="L431" s="2"/>
    </row>
    <row r="432" spans="2:12" s="95" customFormat="1" ht="18" customHeight="1" x14ac:dyDescent="0.35">
      <c r="B432" s="2"/>
      <c r="C432" s="3"/>
      <c r="D432" s="582"/>
      <c r="E432" s="3"/>
      <c r="F432" s="3"/>
      <c r="G432" s="3"/>
      <c r="H432" s="3"/>
      <c r="I432" s="3"/>
      <c r="J432" s="3"/>
      <c r="K432" s="2"/>
      <c r="L432" s="2"/>
    </row>
    <row r="433" spans="2:12" s="95" customFormat="1" ht="18" customHeight="1" x14ac:dyDescent="0.35">
      <c r="B433" s="2"/>
      <c r="C433" s="3"/>
      <c r="D433" s="582"/>
      <c r="E433" s="3"/>
      <c r="F433" s="3"/>
      <c r="G433" s="3"/>
      <c r="H433" s="3"/>
      <c r="I433" s="3"/>
      <c r="J433" s="3"/>
      <c r="K433" s="2"/>
      <c r="L433" s="2"/>
    </row>
    <row r="434" spans="2:12" s="95" customFormat="1" ht="18" customHeight="1" x14ac:dyDescent="0.35">
      <c r="B434" s="2"/>
      <c r="C434" s="3"/>
      <c r="D434" s="582"/>
      <c r="E434" s="3"/>
      <c r="F434" s="3"/>
      <c r="G434" s="3"/>
      <c r="H434" s="3"/>
      <c r="I434" s="3"/>
      <c r="J434" s="3"/>
      <c r="K434" s="2"/>
      <c r="L434" s="2"/>
    </row>
    <row r="435" spans="2:12" s="95" customFormat="1" ht="18" customHeight="1" x14ac:dyDescent="0.35">
      <c r="B435" s="2"/>
      <c r="C435" s="3"/>
      <c r="D435" s="582"/>
      <c r="E435" s="3"/>
      <c r="F435" s="3"/>
      <c r="G435" s="3"/>
      <c r="H435" s="3"/>
      <c r="I435" s="3"/>
      <c r="J435" s="3"/>
      <c r="K435" s="2"/>
      <c r="L435" s="2"/>
    </row>
    <row r="436" spans="2:12" s="95" customFormat="1" ht="18" customHeight="1" x14ac:dyDescent="0.35">
      <c r="B436" s="2"/>
      <c r="C436" s="3"/>
      <c r="D436" s="582"/>
      <c r="E436" s="3"/>
      <c r="F436" s="3"/>
      <c r="G436" s="3"/>
      <c r="H436" s="3"/>
      <c r="I436" s="3"/>
      <c r="J436" s="3"/>
      <c r="K436" s="2"/>
      <c r="L436" s="2"/>
    </row>
    <row r="437" spans="2:12" s="95" customFormat="1" ht="18" customHeight="1" x14ac:dyDescent="0.35">
      <c r="B437" s="2"/>
      <c r="C437" s="3"/>
      <c r="D437" s="582"/>
      <c r="E437" s="3"/>
      <c r="F437" s="3"/>
      <c r="G437" s="3"/>
      <c r="H437" s="3"/>
      <c r="I437" s="3"/>
      <c r="J437" s="3"/>
      <c r="K437" s="2"/>
      <c r="L437" s="2"/>
    </row>
    <row r="438" spans="2:12" s="95" customFormat="1" ht="18" customHeight="1" x14ac:dyDescent="0.35">
      <c r="B438" s="2"/>
      <c r="C438" s="3"/>
      <c r="D438" s="582"/>
      <c r="E438" s="3"/>
      <c r="F438" s="3"/>
      <c r="G438" s="3"/>
      <c r="H438" s="3"/>
      <c r="I438" s="3"/>
      <c r="J438" s="3"/>
      <c r="K438" s="2"/>
      <c r="L438" s="2"/>
    </row>
    <row r="439" spans="2:12" s="95" customFormat="1" ht="18" customHeight="1" x14ac:dyDescent="0.35">
      <c r="B439" s="2"/>
      <c r="C439" s="3"/>
      <c r="D439" s="582"/>
      <c r="E439" s="3"/>
      <c r="F439" s="3"/>
      <c r="G439" s="3"/>
      <c r="H439" s="3"/>
      <c r="I439" s="3"/>
      <c r="J439" s="3"/>
      <c r="K439" s="2"/>
      <c r="L439" s="2"/>
    </row>
    <row r="440" spans="2:12" s="95" customFormat="1" ht="18" customHeight="1" x14ac:dyDescent="0.35">
      <c r="B440" s="2"/>
      <c r="C440" s="3"/>
      <c r="D440" s="582"/>
      <c r="E440" s="3"/>
      <c r="F440" s="3"/>
      <c r="G440" s="3"/>
      <c r="H440" s="3"/>
      <c r="I440" s="3"/>
      <c r="J440" s="3"/>
      <c r="K440" s="2"/>
      <c r="L440" s="2"/>
    </row>
    <row r="441" spans="2:12" s="95" customFormat="1" ht="18" customHeight="1" x14ac:dyDescent="0.35">
      <c r="B441" s="2"/>
      <c r="C441" s="3"/>
      <c r="D441" s="582"/>
      <c r="E441" s="3"/>
      <c r="F441" s="3"/>
      <c r="G441" s="3"/>
      <c r="H441" s="3"/>
      <c r="I441" s="3"/>
      <c r="J441" s="3"/>
      <c r="K441" s="2"/>
      <c r="L441" s="2"/>
    </row>
    <row r="442" spans="2:12" s="95" customFormat="1" ht="18" customHeight="1" x14ac:dyDescent="0.35">
      <c r="B442" s="2"/>
      <c r="C442" s="3"/>
      <c r="D442" s="582"/>
      <c r="E442" s="3"/>
      <c r="F442" s="3"/>
      <c r="G442" s="3"/>
      <c r="H442" s="3"/>
      <c r="I442" s="3"/>
      <c r="J442" s="3"/>
      <c r="K442" s="2"/>
      <c r="L442" s="2"/>
    </row>
    <row r="443" spans="2:12" s="95" customFormat="1" ht="18" customHeight="1" x14ac:dyDescent="0.35">
      <c r="B443" s="2"/>
      <c r="C443" s="3"/>
      <c r="D443" s="582"/>
      <c r="E443" s="3"/>
      <c r="F443" s="3"/>
      <c r="G443" s="3"/>
      <c r="H443" s="3"/>
      <c r="I443" s="3"/>
      <c r="J443" s="3"/>
      <c r="K443" s="2"/>
      <c r="L443" s="2"/>
    </row>
    <row r="444" spans="2:12" s="95" customFormat="1" ht="18" customHeight="1" x14ac:dyDescent="0.35">
      <c r="B444" s="2"/>
      <c r="C444" s="3"/>
      <c r="D444" s="582"/>
      <c r="E444" s="3"/>
      <c r="F444" s="3"/>
      <c r="G444" s="3"/>
      <c r="H444" s="3"/>
      <c r="I444" s="3"/>
      <c r="J444" s="3"/>
      <c r="K444" s="2"/>
      <c r="L444" s="2"/>
    </row>
    <row r="445" spans="2:12" s="95" customFormat="1" ht="18" customHeight="1" x14ac:dyDescent="0.35">
      <c r="B445" s="2"/>
      <c r="C445" s="3"/>
      <c r="D445" s="582"/>
      <c r="E445" s="3"/>
      <c r="F445" s="3"/>
      <c r="G445" s="3"/>
      <c r="H445" s="3"/>
      <c r="I445" s="3"/>
      <c r="J445" s="3"/>
      <c r="K445" s="2"/>
      <c r="L445" s="2"/>
    </row>
    <row r="446" spans="2:12" s="95" customFormat="1" ht="18" customHeight="1" x14ac:dyDescent="0.35">
      <c r="B446" s="2"/>
      <c r="C446" s="3"/>
      <c r="D446" s="582"/>
      <c r="E446" s="3"/>
      <c r="F446" s="3"/>
      <c r="G446" s="3"/>
      <c r="H446" s="3"/>
      <c r="I446" s="3"/>
      <c r="J446" s="3"/>
      <c r="K446" s="2"/>
      <c r="L446" s="2"/>
    </row>
    <row r="447" spans="2:12" s="95" customFormat="1" ht="18" customHeight="1" x14ac:dyDescent="0.35">
      <c r="B447" s="2"/>
      <c r="C447" s="3"/>
      <c r="D447" s="582"/>
      <c r="E447" s="3"/>
      <c r="F447" s="3"/>
      <c r="G447" s="3"/>
      <c r="H447" s="3"/>
      <c r="I447" s="3"/>
      <c r="J447" s="3"/>
      <c r="K447" s="2"/>
      <c r="L447" s="2"/>
    </row>
    <row r="448" spans="2:12" s="95" customFormat="1" ht="18" customHeight="1" x14ac:dyDescent="0.35">
      <c r="B448" s="2"/>
      <c r="C448" s="3"/>
      <c r="D448" s="582"/>
      <c r="E448" s="3"/>
      <c r="F448" s="3"/>
      <c r="G448" s="3"/>
      <c r="H448" s="3"/>
      <c r="I448" s="3"/>
      <c r="J448" s="3"/>
      <c r="K448" s="2"/>
      <c r="L448" s="2"/>
    </row>
    <row r="449" spans="1:12" s="95" customFormat="1" ht="18" customHeight="1" x14ac:dyDescent="0.35">
      <c r="B449" s="2"/>
      <c r="C449" s="3"/>
      <c r="D449" s="582"/>
      <c r="E449" s="3"/>
      <c r="F449" s="3"/>
      <c r="G449" s="3"/>
      <c r="H449" s="3"/>
      <c r="I449" s="3"/>
      <c r="J449" s="3"/>
      <c r="K449" s="2"/>
      <c r="L449" s="2"/>
    </row>
    <row r="450" spans="1:12" s="95" customFormat="1" ht="18" customHeight="1" x14ac:dyDescent="0.35">
      <c r="B450" s="2"/>
      <c r="C450" s="3"/>
      <c r="D450" s="582"/>
      <c r="E450" s="3"/>
      <c r="F450" s="3"/>
      <c r="G450" s="3"/>
      <c r="H450" s="3"/>
      <c r="I450" s="3"/>
      <c r="J450" s="3"/>
      <c r="K450" s="2"/>
      <c r="L450" s="2"/>
    </row>
    <row r="451" spans="1:12" s="95" customFormat="1" ht="18" customHeight="1" x14ac:dyDescent="0.35">
      <c r="B451" s="2"/>
      <c r="C451" s="3"/>
      <c r="D451" s="582"/>
      <c r="E451" s="3"/>
      <c r="F451" s="3"/>
      <c r="G451" s="3"/>
      <c r="H451" s="3"/>
      <c r="I451" s="3"/>
      <c r="J451" s="3"/>
      <c r="K451" s="2"/>
      <c r="L451" s="2"/>
    </row>
    <row r="452" spans="1:12" s="95" customFormat="1" ht="18" customHeight="1" x14ac:dyDescent="0.35">
      <c r="B452" s="2"/>
      <c r="C452" s="3"/>
      <c r="D452" s="582"/>
      <c r="E452" s="3"/>
      <c r="F452" s="3"/>
      <c r="G452" s="3"/>
      <c r="H452" s="3"/>
      <c r="I452" s="3"/>
      <c r="J452" s="3"/>
      <c r="K452" s="2"/>
      <c r="L452" s="2"/>
    </row>
    <row r="453" spans="1:12" s="95" customFormat="1" ht="18" customHeight="1" x14ac:dyDescent="0.35">
      <c r="B453" s="2"/>
      <c r="C453" s="3"/>
      <c r="D453" s="582"/>
      <c r="E453" s="3"/>
      <c r="F453" s="3"/>
      <c r="G453" s="3"/>
      <c r="H453" s="3"/>
      <c r="I453" s="3"/>
      <c r="J453" s="3"/>
      <c r="K453" s="2"/>
      <c r="L453" s="2"/>
    </row>
    <row r="454" spans="1:12" s="95" customFormat="1" ht="18" customHeight="1" x14ac:dyDescent="0.35">
      <c r="B454" s="2"/>
      <c r="C454" s="3"/>
      <c r="D454" s="582"/>
      <c r="E454" s="3"/>
      <c r="F454" s="3"/>
      <c r="G454" s="3"/>
      <c r="H454" s="3"/>
      <c r="I454" s="3"/>
      <c r="J454" s="3"/>
      <c r="K454" s="2"/>
      <c r="L454" s="2"/>
    </row>
    <row r="455" spans="1:12" s="95" customFormat="1" ht="18" customHeight="1" x14ac:dyDescent="0.35">
      <c r="B455" s="2"/>
      <c r="C455" s="3"/>
      <c r="D455" s="582"/>
      <c r="E455" s="3"/>
      <c r="F455" s="3"/>
      <c r="G455" s="3"/>
      <c r="H455" s="3"/>
      <c r="I455" s="3"/>
      <c r="J455" s="3"/>
      <c r="K455" s="2"/>
      <c r="L455" s="2"/>
    </row>
    <row r="456" spans="1:12" s="95" customFormat="1" ht="18" customHeight="1" x14ac:dyDescent="0.35">
      <c r="B456" s="2"/>
      <c r="C456" s="3"/>
      <c r="D456" s="582"/>
      <c r="E456" s="3"/>
      <c r="F456" s="3"/>
      <c r="G456" s="3"/>
      <c r="H456" s="3"/>
      <c r="I456" s="3"/>
      <c r="J456" s="3"/>
      <c r="K456" s="2"/>
      <c r="L456" s="2"/>
    </row>
    <row r="457" spans="1:12" s="95" customFormat="1" ht="18" customHeight="1" x14ac:dyDescent="0.35">
      <c r="B457" s="2"/>
      <c r="C457" s="3"/>
      <c r="D457" s="582"/>
      <c r="E457" s="3"/>
      <c r="F457" s="3"/>
      <c r="G457" s="3"/>
      <c r="H457" s="3"/>
      <c r="I457" s="3"/>
      <c r="J457" s="3"/>
      <c r="K457" s="2"/>
      <c r="L457" s="2"/>
    </row>
    <row r="458" spans="1:12" ht="18" customHeight="1" x14ac:dyDescent="0.35"/>
    <row r="459" spans="1:12" ht="18" customHeight="1" x14ac:dyDescent="0.35"/>
    <row r="460" spans="1:12" ht="18" customHeight="1" x14ac:dyDescent="0.35"/>
    <row r="461" spans="1:12" ht="18" customHeight="1" x14ac:dyDescent="0.35"/>
    <row r="462" spans="1:12" ht="18" customHeight="1" x14ac:dyDescent="0.35"/>
    <row r="463" spans="1:12" ht="18" customHeight="1" x14ac:dyDescent="0.35"/>
    <row r="464" spans="1:12" ht="18" customHeight="1" x14ac:dyDescent="0.35">
      <c r="A464" s="95" t="s">
        <v>614</v>
      </c>
      <c r="B464" s="37"/>
      <c r="C464" s="38"/>
      <c r="D464" s="645"/>
      <c r="E464" s="38"/>
      <c r="F464" s="38"/>
      <c r="G464" s="38"/>
      <c r="H464" s="38"/>
      <c r="I464" s="38"/>
    </row>
    <row r="465" spans="1:12" ht="18" customHeight="1" x14ac:dyDescent="0.35">
      <c r="A465" s="544"/>
      <c r="B465" s="35"/>
      <c r="C465" s="22"/>
      <c r="D465" s="610"/>
      <c r="E465" s="22"/>
      <c r="F465" s="22"/>
      <c r="G465" s="22"/>
      <c r="H465" s="22"/>
      <c r="I465" s="22"/>
      <c r="J465" s="1"/>
      <c r="K465" s="21"/>
      <c r="L465" s="21"/>
    </row>
    <row r="466" spans="1:12" ht="18" customHeight="1" x14ac:dyDescent="0.35">
      <c r="A466" s="544"/>
      <c r="B466" s="21" t="s">
        <v>157</v>
      </c>
      <c r="C466" s="22"/>
      <c r="D466" s="610"/>
      <c r="E466" s="22"/>
      <c r="F466" s="22"/>
      <c r="G466" s="22"/>
      <c r="H466" s="22"/>
      <c r="I466" s="22"/>
      <c r="J466" s="1"/>
      <c r="K466" s="21"/>
      <c r="L466" s="21"/>
    </row>
    <row r="467" spans="1:12" ht="18" customHeight="1" x14ac:dyDescent="0.35">
      <c r="A467" s="544"/>
      <c r="B467" s="2" t="s">
        <v>158</v>
      </c>
      <c r="C467" s="22"/>
      <c r="D467" s="610"/>
      <c r="E467" s="22"/>
      <c r="F467" s="22"/>
      <c r="G467" s="22"/>
      <c r="H467" s="22"/>
      <c r="I467" s="22"/>
      <c r="J467" s="1"/>
    </row>
    <row r="468" spans="1:12" ht="18" customHeight="1" x14ac:dyDescent="0.35">
      <c r="A468" s="544"/>
      <c r="B468" s="35"/>
      <c r="C468" s="22"/>
      <c r="D468" s="610"/>
      <c r="E468" s="22"/>
      <c r="F468" s="22"/>
      <c r="G468" s="22"/>
      <c r="H468" s="22"/>
      <c r="I468" s="22"/>
      <c r="J468" s="1"/>
      <c r="K468" s="21"/>
      <c r="L468" s="21"/>
    </row>
    <row r="469" spans="1:12" ht="18" customHeight="1" x14ac:dyDescent="0.35">
      <c r="A469" s="544"/>
      <c r="B469" s="35"/>
      <c r="C469" s="22"/>
      <c r="D469" s="610"/>
      <c r="E469" s="22"/>
      <c r="F469" s="22"/>
      <c r="G469" s="22"/>
      <c r="H469" s="22"/>
      <c r="I469" s="22"/>
      <c r="J469" s="1"/>
      <c r="K469" s="21"/>
      <c r="L469" s="21"/>
    </row>
    <row r="470" spans="1:12" x14ac:dyDescent="0.35">
      <c r="E470" s="38"/>
    </row>
    <row r="471" spans="1:12" x14ac:dyDescent="0.35">
      <c r="A471" s="544" t="s">
        <v>615</v>
      </c>
      <c r="E471" s="38"/>
    </row>
    <row r="472" spans="1:12" x14ac:dyDescent="0.35">
      <c r="A472" s="95" t="s">
        <v>616</v>
      </c>
      <c r="B472" s="2" t="s">
        <v>159</v>
      </c>
      <c r="E472" s="38"/>
    </row>
    <row r="473" spans="1:12" ht="31" x14ac:dyDescent="0.35">
      <c r="A473" s="95" t="s">
        <v>617</v>
      </c>
      <c r="B473" s="2" t="s">
        <v>160</v>
      </c>
      <c r="E473" s="38"/>
    </row>
    <row r="474" spans="1:12" ht="31" x14ac:dyDescent="0.35">
      <c r="A474" s="95" t="s">
        <v>618</v>
      </c>
      <c r="B474" s="2" t="s">
        <v>161</v>
      </c>
      <c r="E474" s="38"/>
    </row>
    <row r="475" spans="1:12" x14ac:dyDescent="0.35">
      <c r="A475" s="95" t="s">
        <v>619</v>
      </c>
      <c r="B475" s="2" t="s">
        <v>162</v>
      </c>
      <c r="E475" s="38"/>
    </row>
    <row r="476" spans="1:12" x14ac:dyDescent="0.35">
      <c r="E476" s="38"/>
    </row>
    <row r="477" spans="1:12" x14ac:dyDescent="0.35">
      <c r="A477" s="95" t="s">
        <v>620</v>
      </c>
      <c r="E477" s="38"/>
    </row>
    <row r="478" spans="1:12" x14ac:dyDescent="0.35">
      <c r="A478" s="95" t="s">
        <v>621</v>
      </c>
      <c r="E478" s="38"/>
    </row>
    <row r="479" spans="1:12" x14ac:dyDescent="0.35">
      <c r="E479" s="38"/>
    </row>
    <row r="480" spans="1:12" x14ac:dyDescent="0.35">
      <c r="A480" s="544" t="s">
        <v>622</v>
      </c>
      <c r="B480" s="21"/>
      <c r="E480" s="38"/>
    </row>
    <row r="481" spans="1:6" ht="46.5" x14ac:dyDescent="0.35">
      <c r="A481" s="95" t="s">
        <v>10</v>
      </c>
      <c r="B481" s="2" t="s">
        <v>163</v>
      </c>
      <c r="E481" s="38"/>
    </row>
    <row r="482" spans="1:6" ht="46.5" x14ac:dyDescent="0.35">
      <c r="A482" s="95" t="s">
        <v>12</v>
      </c>
      <c r="B482" s="2" t="s">
        <v>164</v>
      </c>
      <c r="E482" s="38"/>
    </row>
    <row r="483" spans="1:6" ht="31" x14ac:dyDescent="0.35">
      <c r="A483" s="95" t="s">
        <v>33</v>
      </c>
      <c r="B483" s="2" t="s">
        <v>165</v>
      </c>
      <c r="E483" s="38"/>
    </row>
    <row r="484" spans="1:6" ht="46.5" x14ac:dyDescent="0.35">
      <c r="A484" s="95" t="s">
        <v>41</v>
      </c>
      <c r="B484" s="2" t="s">
        <v>166</v>
      </c>
      <c r="E484" s="38"/>
    </row>
    <row r="485" spans="1:6" x14ac:dyDescent="0.35">
      <c r="E485" s="38"/>
    </row>
    <row r="486" spans="1:6" x14ac:dyDescent="0.35">
      <c r="A486" s="544" t="s">
        <v>623</v>
      </c>
      <c r="B486" s="21"/>
      <c r="E486" s="38"/>
    </row>
    <row r="487" spans="1:6" ht="46.5" x14ac:dyDescent="0.35">
      <c r="A487" s="95" t="s">
        <v>10</v>
      </c>
      <c r="B487" s="2" t="s">
        <v>167</v>
      </c>
      <c r="E487" s="38"/>
    </row>
    <row r="488" spans="1:6" ht="46.5" x14ac:dyDescent="0.35">
      <c r="A488" s="95" t="s">
        <v>12</v>
      </c>
      <c r="B488" s="2" t="s">
        <v>168</v>
      </c>
      <c r="E488" s="38"/>
    </row>
    <row r="489" spans="1:6" ht="31" x14ac:dyDescent="0.35">
      <c r="A489" s="95" t="s">
        <v>33</v>
      </c>
      <c r="B489" s="2" t="s">
        <v>169</v>
      </c>
      <c r="E489" s="38"/>
    </row>
    <row r="490" spans="1:6" x14ac:dyDescent="0.35">
      <c r="A490" s="95" t="s">
        <v>41</v>
      </c>
      <c r="B490" s="2" t="s">
        <v>170</v>
      </c>
      <c r="E490" s="38"/>
    </row>
    <row r="491" spans="1:6" x14ac:dyDescent="0.35">
      <c r="E491" s="38"/>
    </row>
    <row r="492" spans="1:6" x14ac:dyDescent="0.35">
      <c r="A492" s="544" t="s">
        <v>624</v>
      </c>
      <c r="B492" s="21"/>
      <c r="E492" s="1" t="s">
        <v>625</v>
      </c>
      <c r="F492" s="1"/>
    </row>
    <row r="493" spans="1:6" x14ac:dyDescent="0.35">
      <c r="A493" s="95" t="s">
        <v>10</v>
      </c>
      <c r="B493" s="2" t="s">
        <v>171</v>
      </c>
      <c r="E493" s="3" t="s">
        <v>10</v>
      </c>
      <c r="F493" s="3" t="s">
        <v>626</v>
      </c>
    </row>
    <row r="494" spans="1:6" x14ac:dyDescent="0.35">
      <c r="A494" s="95" t="s">
        <v>12</v>
      </c>
      <c r="B494" s="2" t="s">
        <v>172</v>
      </c>
      <c r="E494" s="3" t="s">
        <v>12</v>
      </c>
      <c r="F494" s="3" t="s">
        <v>627</v>
      </c>
    </row>
    <row r="495" spans="1:6" ht="31" x14ac:dyDescent="0.35">
      <c r="A495" s="95" t="s">
        <v>33</v>
      </c>
      <c r="B495" s="2" t="s">
        <v>173</v>
      </c>
      <c r="E495" s="3" t="s">
        <v>33</v>
      </c>
      <c r="F495" s="3" t="s">
        <v>628</v>
      </c>
    </row>
    <row r="496" spans="1:6" x14ac:dyDescent="0.35">
      <c r="A496" s="95" t="s">
        <v>629</v>
      </c>
      <c r="B496" s="2" t="s">
        <v>174</v>
      </c>
      <c r="E496" s="3" t="s">
        <v>41</v>
      </c>
      <c r="F496" s="3" t="s">
        <v>630</v>
      </c>
    </row>
    <row r="497" spans="1:12" x14ac:dyDescent="0.35">
      <c r="F497" s="38"/>
    </row>
    <row r="498" spans="1:12" x14ac:dyDescent="0.35">
      <c r="A498" s="544" t="s">
        <v>631</v>
      </c>
      <c r="B498" s="21"/>
      <c r="E498" s="1" t="s">
        <v>632</v>
      </c>
      <c r="F498" s="38"/>
    </row>
    <row r="499" spans="1:12" x14ac:dyDescent="0.35">
      <c r="A499" s="95" t="s">
        <v>10</v>
      </c>
      <c r="B499" s="2" t="s">
        <v>175</v>
      </c>
      <c r="E499" s="3" t="s">
        <v>633</v>
      </c>
      <c r="F499" s="3" t="s">
        <v>634</v>
      </c>
    </row>
    <row r="500" spans="1:12" x14ac:dyDescent="0.35">
      <c r="A500" s="95" t="s">
        <v>635</v>
      </c>
      <c r="B500" s="2" t="s">
        <v>176</v>
      </c>
      <c r="E500" s="3" t="s">
        <v>636</v>
      </c>
      <c r="F500" s="3" t="s">
        <v>637</v>
      </c>
    </row>
    <row r="501" spans="1:12" ht="31" x14ac:dyDescent="0.35">
      <c r="A501" s="95" t="s">
        <v>638</v>
      </c>
      <c r="B501" s="2" t="s">
        <v>177</v>
      </c>
      <c r="E501" s="3" t="s">
        <v>639</v>
      </c>
    </row>
    <row r="502" spans="1:12" ht="31" x14ac:dyDescent="0.35">
      <c r="A502" s="95" t="s">
        <v>640</v>
      </c>
      <c r="B502" s="2" t="s">
        <v>178</v>
      </c>
      <c r="E502" s="38"/>
    </row>
    <row r="503" spans="1:12" x14ac:dyDescent="0.35">
      <c r="C503" s="96"/>
      <c r="D503" s="746"/>
      <c r="G503" s="3" t="s">
        <v>641</v>
      </c>
    </row>
    <row r="510" spans="1:12" s="1" customFormat="1" ht="18" customHeight="1" x14ac:dyDescent="0.35">
      <c r="A510" s="747"/>
      <c r="B510" s="97" t="s">
        <v>179</v>
      </c>
      <c r="C510" s="98" t="s">
        <v>180</v>
      </c>
      <c r="D510" s="748"/>
      <c r="E510" s="98" t="s">
        <v>642</v>
      </c>
      <c r="F510" s="98" t="s">
        <v>643</v>
      </c>
      <c r="G510" s="98" t="s">
        <v>644</v>
      </c>
      <c r="H510" s="98" t="s">
        <v>645</v>
      </c>
      <c r="I510" s="98"/>
      <c r="J510" s="98"/>
      <c r="K510" s="97"/>
      <c r="L510" s="21"/>
    </row>
    <row r="511" spans="1:12" s="1" customFormat="1" ht="18" customHeight="1" x14ac:dyDescent="0.35">
      <c r="A511" s="749"/>
      <c r="B511" s="99"/>
      <c r="C511" s="100" t="s">
        <v>181</v>
      </c>
      <c r="D511" s="750"/>
      <c r="E511" s="100" t="s">
        <v>646</v>
      </c>
      <c r="F511" s="100" t="s">
        <v>646</v>
      </c>
      <c r="G511" s="100" t="s">
        <v>646</v>
      </c>
      <c r="H511" s="100" t="s">
        <v>646</v>
      </c>
      <c r="I511" s="100"/>
      <c r="J511" s="101"/>
      <c r="K511" s="751"/>
      <c r="L511" s="21"/>
    </row>
    <row r="512" spans="1:12" ht="18" customHeight="1" x14ac:dyDescent="0.35">
      <c r="A512" s="752"/>
      <c r="B512" s="28" t="s">
        <v>182</v>
      </c>
      <c r="C512" s="10">
        <f t="shared" ref="C512:C535" si="37">SUM(E512:H512)</f>
        <v>95.39</v>
      </c>
      <c r="D512" s="615"/>
      <c r="E512" s="10">
        <f>+E33</f>
        <v>45.43</v>
      </c>
      <c r="F512" s="10"/>
      <c r="G512" s="10">
        <f>+G33</f>
        <v>0</v>
      </c>
      <c r="H512" s="10">
        <f>+H33</f>
        <v>49.96</v>
      </c>
      <c r="I512" s="10"/>
      <c r="J512" s="102"/>
      <c r="K512" s="653"/>
      <c r="L512" s="21"/>
    </row>
    <row r="513" spans="1:12" ht="18" customHeight="1" x14ac:dyDescent="0.35">
      <c r="A513" s="752"/>
      <c r="B513" s="28" t="s">
        <v>183</v>
      </c>
      <c r="C513" s="10">
        <f t="shared" si="37"/>
        <v>98.009999999999991</v>
      </c>
      <c r="D513" s="615"/>
      <c r="E513" s="10">
        <f>+E67</f>
        <v>27.56</v>
      </c>
      <c r="F513" s="10"/>
      <c r="G513" s="10"/>
      <c r="H513" s="10">
        <f>+H67</f>
        <v>70.449999999999989</v>
      </c>
      <c r="I513" s="10"/>
      <c r="J513" s="103"/>
      <c r="K513" s="28"/>
    </row>
    <row r="514" spans="1:12" ht="18" customHeight="1" x14ac:dyDescent="0.35">
      <c r="A514" s="752"/>
      <c r="B514" s="28" t="s">
        <v>184</v>
      </c>
      <c r="C514" s="10">
        <f t="shared" si="37"/>
        <v>42.160000000000004</v>
      </c>
      <c r="D514" s="615"/>
      <c r="E514" s="10">
        <f>+E80</f>
        <v>1.34</v>
      </c>
      <c r="F514" s="10"/>
      <c r="G514" s="10"/>
      <c r="H514" s="10">
        <f>+H80</f>
        <v>40.82</v>
      </c>
      <c r="I514" s="10"/>
      <c r="J514" s="102"/>
      <c r="K514" s="653"/>
      <c r="L514" s="21"/>
    </row>
    <row r="515" spans="1:12" ht="18" customHeight="1" x14ac:dyDescent="0.35">
      <c r="A515" s="753"/>
      <c r="B515" s="104" t="s">
        <v>185</v>
      </c>
      <c r="C515" s="10">
        <f t="shared" si="37"/>
        <v>3.28</v>
      </c>
      <c r="D515" s="656"/>
      <c r="E515" s="11">
        <f>+E87</f>
        <v>0.48</v>
      </c>
      <c r="F515" s="11"/>
      <c r="G515" s="11"/>
      <c r="H515" s="11">
        <f>+H87</f>
        <v>2.8</v>
      </c>
      <c r="I515" s="11"/>
      <c r="J515" s="102"/>
      <c r="K515" s="653"/>
      <c r="L515" s="21"/>
    </row>
    <row r="516" spans="1:12" ht="18" customHeight="1" x14ac:dyDescent="0.35">
      <c r="A516" s="753"/>
      <c r="B516" s="104" t="s">
        <v>186</v>
      </c>
      <c r="C516" s="10">
        <f t="shared" si="37"/>
        <v>53.199999999999996</v>
      </c>
      <c r="D516" s="656"/>
      <c r="E516" s="11">
        <f>+E104</f>
        <v>12.000000000000002</v>
      </c>
      <c r="F516" s="11"/>
      <c r="G516" s="11"/>
      <c r="H516" s="11">
        <f>+H104</f>
        <v>41.199999999999996</v>
      </c>
      <c r="I516" s="11"/>
      <c r="J516" s="102"/>
      <c r="K516" s="653"/>
      <c r="L516" s="21"/>
    </row>
    <row r="517" spans="1:12" ht="18" customHeight="1" x14ac:dyDescent="0.35">
      <c r="A517" s="753"/>
      <c r="B517" s="104" t="s">
        <v>187</v>
      </c>
      <c r="C517" s="10">
        <f t="shared" si="37"/>
        <v>112.6</v>
      </c>
      <c r="D517" s="656"/>
      <c r="E517" s="11">
        <f>+E143</f>
        <v>37.29</v>
      </c>
      <c r="F517" s="11"/>
      <c r="G517" s="11"/>
      <c r="H517" s="11">
        <f>+H143</f>
        <v>75.31</v>
      </c>
      <c r="I517" s="11"/>
      <c r="J517" s="102"/>
      <c r="K517" s="653"/>
      <c r="L517" s="21"/>
    </row>
    <row r="518" spans="1:12" ht="18" customHeight="1" x14ac:dyDescent="0.35">
      <c r="A518" s="753"/>
      <c r="B518" s="104" t="s">
        <v>188</v>
      </c>
      <c r="C518" s="10">
        <f t="shared" si="37"/>
        <v>45.31</v>
      </c>
      <c r="D518" s="656"/>
      <c r="E518" s="11">
        <f>+E164</f>
        <v>5.6300000000000008</v>
      </c>
      <c r="F518" s="11"/>
      <c r="G518" s="11"/>
      <c r="H518" s="11">
        <f>+H164</f>
        <v>39.68</v>
      </c>
      <c r="I518" s="11"/>
      <c r="J518" s="102"/>
      <c r="K518" s="653"/>
      <c r="L518" s="21"/>
    </row>
    <row r="519" spans="1:12" ht="18" customHeight="1" x14ac:dyDescent="0.35">
      <c r="A519" s="753"/>
      <c r="B519" s="104" t="s">
        <v>189</v>
      </c>
      <c r="C519" s="10">
        <f t="shared" si="37"/>
        <v>18.670000000000002</v>
      </c>
      <c r="D519" s="656"/>
      <c r="E519" s="11">
        <f>+E172</f>
        <v>13</v>
      </c>
      <c r="F519" s="11"/>
      <c r="G519" s="11"/>
      <c r="H519" s="11">
        <f>+H172</f>
        <v>5.67</v>
      </c>
      <c r="I519" s="11"/>
      <c r="J519" s="102"/>
      <c r="K519" s="653"/>
      <c r="L519" s="21"/>
    </row>
    <row r="520" spans="1:12" s="1" customFormat="1" ht="18" customHeight="1" x14ac:dyDescent="0.35">
      <c r="A520" s="753"/>
      <c r="B520" s="81" t="s">
        <v>190</v>
      </c>
      <c r="C520" s="51">
        <f t="shared" si="37"/>
        <v>468.62</v>
      </c>
      <c r="D520" s="708"/>
      <c r="E520" s="82">
        <f>SUM(E512:E519)</f>
        <v>142.72999999999999</v>
      </c>
      <c r="F520" s="82">
        <f>SUM(F512:F519)</f>
        <v>0</v>
      </c>
      <c r="G520" s="82">
        <f>SUM(G512:G519)</f>
        <v>0</v>
      </c>
      <c r="H520" s="82">
        <f>SUM(H512:H519)</f>
        <v>325.89</v>
      </c>
      <c r="I520" s="82"/>
      <c r="J520" s="102"/>
      <c r="K520" s="653"/>
      <c r="L520" s="21"/>
    </row>
    <row r="521" spans="1:12" ht="18" customHeight="1" x14ac:dyDescent="0.35">
      <c r="A521" s="753"/>
      <c r="B521" s="104" t="s">
        <v>191</v>
      </c>
      <c r="C521" s="10">
        <f t="shared" si="37"/>
        <v>135.82</v>
      </c>
      <c r="D521" s="656"/>
      <c r="E521" s="11">
        <f>+E198</f>
        <v>33.427</v>
      </c>
      <c r="F521" s="11">
        <f>+F198</f>
        <v>0</v>
      </c>
      <c r="G521" s="11"/>
      <c r="H521" s="11">
        <f>+H198</f>
        <v>102.39299999999999</v>
      </c>
      <c r="I521" s="11"/>
      <c r="J521" s="102"/>
      <c r="K521" s="653"/>
      <c r="L521" s="21"/>
    </row>
    <row r="522" spans="1:12" ht="18" customHeight="1" x14ac:dyDescent="0.35">
      <c r="A522" s="753"/>
      <c r="B522" s="104" t="s">
        <v>192</v>
      </c>
      <c r="C522" s="10">
        <f t="shared" si="37"/>
        <v>82.89</v>
      </c>
      <c r="D522" s="656"/>
      <c r="E522" s="11">
        <f>+E213</f>
        <v>33.61</v>
      </c>
      <c r="F522" s="11"/>
      <c r="G522" s="11"/>
      <c r="H522" s="11">
        <f>+H213</f>
        <v>49.28</v>
      </c>
      <c r="I522" s="11"/>
      <c r="J522" s="102"/>
      <c r="K522" s="653"/>
      <c r="L522" s="21"/>
    </row>
    <row r="523" spans="1:12" ht="18" customHeight="1" x14ac:dyDescent="0.35">
      <c r="A523" s="753"/>
      <c r="B523" s="104" t="s">
        <v>193</v>
      </c>
      <c r="C523" s="10">
        <f t="shared" si="37"/>
        <v>90.497</v>
      </c>
      <c r="D523" s="656"/>
      <c r="E523" s="11">
        <f>+E228</f>
        <v>12.41</v>
      </c>
      <c r="F523" s="11"/>
      <c r="G523" s="11"/>
      <c r="H523" s="11">
        <f>+H228</f>
        <v>78.087000000000003</v>
      </c>
      <c r="I523" s="11"/>
      <c r="J523" s="102"/>
      <c r="K523" s="653"/>
      <c r="L523" s="21"/>
    </row>
    <row r="524" spans="1:12" ht="18" customHeight="1" x14ac:dyDescent="0.35">
      <c r="A524" s="753"/>
      <c r="B524" s="104" t="s">
        <v>194</v>
      </c>
      <c r="C524" s="10">
        <f t="shared" si="37"/>
        <v>28.17</v>
      </c>
      <c r="D524" s="656"/>
      <c r="E524" s="11">
        <f>+E240</f>
        <v>3.5600000000000005</v>
      </c>
      <c r="F524" s="11"/>
      <c r="G524" s="11"/>
      <c r="H524" s="11">
        <f>+H240</f>
        <v>24.61</v>
      </c>
      <c r="I524" s="11"/>
      <c r="J524" s="102"/>
      <c r="K524" s="653"/>
      <c r="L524" s="21"/>
    </row>
    <row r="525" spans="1:12" ht="18" customHeight="1" x14ac:dyDescent="0.35">
      <c r="A525" s="753"/>
      <c r="B525" s="104" t="s">
        <v>195</v>
      </c>
      <c r="C525" s="10">
        <f t="shared" si="37"/>
        <v>65.399999999999991</v>
      </c>
      <c r="D525" s="656"/>
      <c r="E525" s="11">
        <f>+E261</f>
        <v>14.799999999999999</v>
      </c>
      <c r="F525" s="11"/>
      <c r="G525" s="11"/>
      <c r="H525" s="11">
        <f>+H261</f>
        <v>50.599999999999994</v>
      </c>
      <c r="I525" s="11"/>
      <c r="J525" s="102"/>
      <c r="K525" s="653"/>
      <c r="L525" s="21"/>
    </row>
    <row r="526" spans="1:12" ht="18" customHeight="1" x14ac:dyDescent="0.35">
      <c r="A526" s="753"/>
      <c r="B526" s="104" t="s">
        <v>196</v>
      </c>
      <c r="C526" s="10">
        <f t="shared" si="37"/>
        <v>62</v>
      </c>
      <c r="D526" s="656"/>
      <c r="E526" s="11">
        <f>+E279</f>
        <v>14.170000000000002</v>
      </c>
      <c r="F526" s="11">
        <f>+F279</f>
        <v>0</v>
      </c>
      <c r="G526" s="11"/>
      <c r="H526" s="11">
        <f>+H279</f>
        <v>47.83</v>
      </c>
      <c r="I526" s="11"/>
      <c r="J526" s="102"/>
      <c r="K526" s="653"/>
      <c r="L526" s="21"/>
    </row>
    <row r="527" spans="1:12" ht="18" customHeight="1" x14ac:dyDescent="0.35">
      <c r="A527" s="753"/>
      <c r="B527" s="104" t="s">
        <v>197</v>
      </c>
      <c r="C527" s="10">
        <f t="shared" si="37"/>
        <v>45.13</v>
      </c>
      <c r="D527" s="656"/>
      <c r="E527" s="11">
        <f>+E294</f>
        <v>30.66</v>
      </c>
      <c r="F527" s="11">
        <f>+F294</f>
        <v>1.45</v>
      </c>
      <c r="G527" s="11"/>
      <c r="H527" s="11">
        <f>+H294</f>
        <v>13.020000000000001</v>
      </c>
      <c r="I527" s="11"/>
      <c r="J527" s="102"/>
      <c r="K527" s="653"/>
      <c r="L527" s="21"/>
    </row>
    <row r="528" spans="1:12" ht="18" customHeight="1" x14ac:dyDescent="0.35">
      <c r="A528" s="753"/>
      <c r="B528" s="104" t="s">
        <v>198</v>
      </c>
      <c r="C528" s="10">
        <f t="shared" si="37"/>
        <v>32.799999999999997</v>
      </c>
      <c r="D528" s="656"/>
      <c r="E528" s="11">
        <f>+E312</f>
        <v>15.01</v>
      </c>
      <c r="F528" s="11">
        <f>+F312</f>
        <v>3.29</v>
      </c>
      <c r="G528" s="11"/>
      <c r="H528" s="11">
        <f>+H312</f>
        <v>14.5</v>
      </c>
      <c r="I528" s="11"/>
      <c r="J528" s="102"/>
      <c r="K528" s="653"/>
      <c r="L528" s="21"/>
    </row>
    <row r="529" spans="1:12" ht="18" customHeight="1" x14ac:dyDescent="0.35">
      <c r="A529" s="753"/>
      <c r="B529" s="104" t="s">
        <v>199</v>
      </c>
      <c r="C529" s="10">
        <f t="shared" si="37"/>
        <v>7.25</v>
      </c>
      <c r="D529" s="656"/>
      <c r="E529" s="11">
        <f>+E321</f>
        <v>3.3</v>
      </c>
      <c r="F529" s="11"/>
      <c r="G529" s="11"/>
      <c r="H529" s="11">
        <f>+H321</f>
        <v>3.9499999999999997</v>
      </c>
      <c r="I529" s="11"/>
      <c r="J529" s="102"/>
      <c r="K529" s="653"/>
      <c r="L529" s="21"/>
    </row>
    <row r="530" spans="1:12" ht="18" customHeight="1" x14ac:dyDescent="0.35">
      <c r="A530" s="753"/>
      <c r="B530" s="104" t="s">
        <v>200</v>
      </c>
      <c r="C530" s="10">
        <f t="shared" si="37"/>
        <v>113.07000000000001</v>
      </c>
      <c r="D530" s="656"/>
      <c r="E530" s="11">
        <f>+E341</f>
        <v>56.6</v>
      </c>
      <c r="F530" s="11"/>
      <c r="G530" s="11"/>
      <c r="H530" s="11">
        <f>+H341</f>
        <v>56.470000000000006</v>
      </c>
      <c r="I530" s="11"/>
      <c r="J530" s="102"/>
      <c r="K530" s="653"/>
      <c r="L530" s="21"/>
    </row>
    <row r="531" spans="1:12" ht="18" customHeight="1" x14ac:dyDescent="0.35">
      <c r="A531" s="753"/>
      <c r="B531" s="104" t="s">
        <v>201</v>
      </c>
      <c r="C531" s="10">
        <f t="shared" si="37"/>
        <v>46.961999999999996</v>
      </c>
      <c r="D531" s="656"/>
      <c r="E531" s="11">
        <f>+E356</f>
        <v>11.612</v>
      </c>
      <c r="F531" s="11"/>
      <c r="G531" s="11"/>
      <c r="H531" s="11">
        <f>+H356</f>
        <v>35.349999999999994</v>
      </c>
      <c r="I531" s="11"/>
      <c r="J531" s="102"/>
      <c r="K531" s="653"/>
      <c r="L531" s="21"/>
    </row>
    <row r="532" spans="1:12" ht="18" customHeight="1" x14ac:dyDescent="0.35">
      <c r="A532" s="753"/>
      <c r="B532" s="104" t="s">
        <v>202</v>
      </c>
      <c r="C532" s="10">
        <f t="shared" si="37"/>
        <v>24.679999999999996</v>
      </c>
      <c r="D532" s="656"/>
      <c r="E532" s="11">
        <f>+E367</f>
        <v>16.819999999999997</v>
      </c>
      <c r="F532" s="11"/>
      <c r="G532" s="11"/>
      <c r="H532" s="11">
        <f>+H367</f>
        <v>7.86</v>
      </c>
      <c r="I532" s="11"/>
      <c r="J532" s="102"/>
      <c r="K532" s="653"/>
      <c r="L532" s="21"/>
    </row>
    <row r="533" spans="1:12" ht="18" customHeight="1" x14ac:dyDescent="0.35">
      <c r="A533" s="753"/>
      <c r="B533" s="104" t="s">
        <v>203</v>
      </c>
      <c r="C533" s="10">
        <f t="shared" si="37"/>
        <v>8.7409999999999997</v>
      </c>
      <c r="D533" s="656"/>
      <c r="E533" s="11">
        <f>+E375</f>
        <v>1.18</v>
      </c>
      <c r="F533" s="11"/>
      <c r="G533" s="11"/>
      <c r="H533" s="11">
        <f>+H375</f>
        <v>7.5609999999999999</v>
      </c>
      <c r="I533" s="11"/>
      <c r="J533" s="102"/>
      <c r="K533" s="653"/>
      <c r="L533" s="21"/>
    </row>
    <row r="534" spans="1:12" s="1" customFormat="1" ht="18" customHeight="1" x14ac:dyDescent="0.35">
      <c r="A534" s="753"/>
      <c r="B534" s="81" t="s">
        <v>190</v>
      </c>
      <c r="C534" s="51">
        <f t="shared" si="37"/>
        <v>743.41000000000008</v>
      </c>
      <c r="D534" s="708"/>
      <c r="E534" s="82">
        <f>SUM(E521:E533)</f>
        <v>247.15899999999999</v>
      </c>
      <c r="F534" s="82">
        <f>SUM(F521:F533)</f>
        <v>4.74</v>
      </c>
      <c r="G534" s="82"/>
      <c r="H534" s="82">
        <f>SUM(H521:H533)</f>
        <v>491.51100000000002</v>
      </c>
      <c r="I534" s="82"/>
      <c r="J534" s="102"/>
      <c r="K534" s="653"/>
      <c r="L534" s="21"/>
    </row>
    <row r="535" spans="1:12" ht="18" customHeight="1" x14ac:dyDescent="0.35">
      <c r="A535" s="752"/>
      <c r="B535" s="105" t="s">
        <v>204</v>
      </c>
      <c r="C535" s="51">
        <f t="shared" si="37"/>
        <v>1212.0300000000002</v>
      </c>
      <c r="D535" s="708"/>
      <c r="E535" s="82">
        <f>+E534+E520</f>
        <v>389.88900000000001</v>
      </c>
      <c r="F535" s="82">
        <f>+F534+F520</f>
        <v>4.74</v>
      </c>
      <c r="G535" s="82">
        <f>+G534+G520</f>
        <v>0</v>
      </c>
      <c r="H535" s="82">
        <f>+H534+H520</f>
        <v>817.40100000000007</v>
      </c>
      <c r="I535" s="82"/>
      <c r="J535" s="102"/>
      <c r="K535" s="105"/>
      <c r="L535" s="21"/>
    </row>
    <row r="537" spans="1:12" ht="31" x14ac:dyDescent="0.35">
      <c r="C537" s="96">
        <v>1149.9349999999999</v>
      </c>
      <c r="D537" s="746"/>
      <c r="K537" s="2" t="s">
        <v>647</v>
      </c>
    </row>
  </sheetData>
  <autoFilter ref="J1:J550" xr:uid="{00000000-0009-0000-0000-000006000000}"/>
  <mergeCells count="175">
    <mergeCell ref="A1:K1"/>
    <mergeCell ref="A2:K2"/>
    <mergeCell ref="A3:K3"/>
    <mergeCell ref="A4:L4"/>
    <mergeCell ref="A6:A7"/>
    <mergeCell ref="B6:B7"/>
    <mergeCell ref="C6:C7"/>
    <mergeCell ref="D6:D7"/>
    <mergeCell ref="E6:I6"/>
    <mergeCell ref="J6:J7"/>
    <mergeCell ref="K6:K7"/>
    <mergeCell ref="L6:L7"/>
    <mergeCell ref="A35:L35"/>
    <mergeCell ref="A37:A38"/>
    <mergeCell ref="B37:B38"/>
    <mergeCell ref="C37:C38"/>
    <mergeCell ref="E37:I37"/>
    <mergeCell ref="J37:J38"/>
    <mergeCell ref="K37:K38"/>
    <mergeCell ref="L37:L38"/>
    <mergeCell ref="A82:L82"/>
    <mergeCell ref="A84:A85"/>
    <mergeCell ref="B84:B85"/>
    <mergeCell ref="C84:C85"/>
    <mergeCell ref="E84:I84"/>
    <mergeCell ref="J84:J85"/>
    <mergeCell ref="K84:K85"/>
    <mergeCell ref="L84:L85"/>
    <mergeCell ref="A68:L68"/>
    <mergeCell ref="A70:A71"/>
    <mergeCell ref="B70:B71"/>
    <mergeCell ref="C70:C71"/>
    <mergeCell ref="E70:I70"/>
    <mergeCell ref="J70:J71"/>
    <mergeCell ref="K70:K71"/>
    <mergeCell ref="L70:L71"/>
    <mergeCell ref="A106:L106"/>
    <mergeCell ref="A108:A109"/>
    <mergeCell ref="B108:B109"/>
    <mergeCell ref="C108:C109"/>
    <mergeCell ref="E108:I108"/>
    <mergeCell ref="J108:J109"/>
    <mergeCell ref="K108:K109"/>
    <mergeCell ref="L108:L109"/>
    <mergeCell ref="A89:L89"/>
    <mergeCell ref="A91:A92"/>
    <mergeCell ref="B91:B92"/>
    <mergeCell ref="C91:C92"/>
    <mergeCell ref="E91:I91"/>
    <mergeCell ref="J91:J92"/>
    <mergeCell ref="K91:K92"/>
    <mergeCell ref="L91:L92"/>
    <mergeCell ref="A166:L166"/>
    <mergeCell ref="A168:A169"/>
    <mergeCell ref="B168:B169"/>
    <mergeCell ref="C168:C169"/>
    <mergeCell ref="E168:I168"/>
    <mergeCell ref="J168:J169"/>
    <mergeCell ref="K168:K169"/>
    <mergeCell ref="L168:L169"/>
    <mergeCell ref="A145:L145"/>
    <mergeCell ref="A147:A148"/>
    <mergeCell ref="B147:B148"/>
    <mergeCell ref="C147:C148"/>
    <mergeCell ref="E147:I147"/>
    <mergeCell ref="J147:J148"/>
    <mergeCell ref="K147:K148"/>
    <mergeCell ref="L147:L148"/>
    <mergeCell ref="A200:K200"/>
    <mergeCell ref="A202:A203"/>
    <mergeCell ref="B202:B203"/>
    <mergeCell ref="C202:C203"/>
    <mergeCell ref="E202:I202"/>
    <mergeCell ref="J202:J203"/>
    <mergeCell ref="K202:K203"/>
    <mergeCell ref="A174:B174"/>
    <mergeCell ref="A176:L176"/>
    <mergeCell ref="A178:A179"/>
    <mergeCell ref="B178:B179"/>
    <mergeCell ref="C178:C179"/>
    <mergeCell ref="E178:I178"/>
    <mergeCell ref="J178:J179"/>
    <mergeCell ref="K178:K179"/>
    <mergeCell ref="L178:L179"/>
    <mergeCell ref="A230:K230"/>
    <mergeCell ref="A232:A233"/>
    <mergeCell ref="B232:B233"/>
    <mergeCell ref="C232:C233"/>
    <mergeCell ref="E232:I232"/>
    <mergeCell ref="J232:J233"/>
    <mergeCell ref="K232:K233"/>
    <mergeCell ref="L202:L203"/>
    <mergeCell ref="A215:K215"/>
    <mergeCell ref="A217:A218"/>
    <mergeCell ref="B217:B218"/>
    <mergeCell ref="C217:C218"/>
    <mergeCell ref="E217:I217"/>
    <mergeCell ref="J217:J218"/>
    <mergeCell ref="K217:K218"/>
    <mergeCell ref="L217:L218"/>
    <mergeCell ref="L232:L233"/>
    <mergeCell ref="A242:K242"/>
    <mergeCell ref="A244:A245"/>
    <mergeCell ref="B244:B245"/>
    <mergeCell ref="C244:C245"/>
    <mergeCell ref="E244:I244"/>
    <mergeCell ref="J244:J245"/>
    <mergeCell ref="K244:K245"/>
    <mergeCell ref="L244:L245"/>
    <mergeCell ref="A281:K281"/>
    <mergeCell ref="A283:A284"/>
    <mergeCell ref="B283:B284"/>
    <mergeCell ref="C283:C284"/>
    <mergeCell ref="E283:I283"/>
    <mergeCell ref="J283:J284"/>
    <mergeCell ref="K283:K284"/>
    <mergeCell ref="A263:L263"/>
    <mergeCell ref="A265:A266"/>
    <mergeCell ref="B265:B266"/>
    <mergeCell ref="C265:C266"/>
    <mergeCell ref="E265:I265"/>
    <mergeCell ref="J265:J266"/>
    <mergeCell ref="K265:K266"/>
    <mergeCell ref="L265:L266"/>
    <mergeCell ref="L283:L284"/>
    <mergeCell ref="A296:L296"/>
    <mergeCell ref="A298:A299"/>
    <mergeCell ref="B298:B299"/>
    <mergeCell ref="C298:C299"/>
    <mergeCell ref="E298:I298"/>
    <mergeCell ref="J298:J299"/>
    <mergeCell ref="K298:K299"/>
    <mergeCell ref="L298:L299"/>
    <mergeCell ref="A323:L323"/>
    <mergeCell ref="A325:A326"/>
    <mergeCell ref="B325:B326"/>
    <mergeCell ref="C325:C326"/>
    <mergeCell ref="E325:I325"/>
    <mergeCell ref="J325:J326"/>
    <mergeCell ref="K325:K326"/>
    <mergeCell ref="L325:L326"/>
    <mergeCell ref="A314:L314"/>
    <mergeCell ref="A316:A317"/>
    <mergeCell ref="B316:B317"/>
    <mergeCell ref="C316:C317"/>
    <mergeCell ref="E316:I316"/>
    <mergeCell ref="J316:J317"/>
    <mergeCell ref="K316:K317"/>
    <mergeCell ref="L316:L317"/>
    <mergeCell ref="A358:L358"/>
    <mergeCell ref="A360:A361"/>
    <mergeCell ref="B360:B361"/>
    <mergeCell ref="C360:C361"/>
    <mergeCell ref="E360:I360"/>
    <mergeCell ref="J360:J361"/>
    <mergeCell ref="K360:K361"/>
    <mergeCell ref="L360:L361"/>
    <mergeCell ref="A343:L343"/>
    <mergeCell ref="A345:A346"/>
    <mergeCell ref="B345:B346"/>
    <mergeCell ref="C345:C346"/>
    <mergeCell ref="E345:I345"/>
    <mergeCell ref="J345:J346"/>
    <mergeCell ref="K345:K346"/>
    <mergeCell ref="L345:L346"/>
    <mergeCell ref="A377:B377"/>
    <mergeCell ref="A378:B378"/>
    <mergeCell ref="A369:L369"/>
    <mergeCell ref="A371:A372"/>
    <mergeCell ref="B371:B372"/>
    <mergeCell ref="C371:C372"/>
    <mergeCell ref="E371:I371"/>
    <mergeCell ref="J371:J372"/>
    <mergeCell ref="K371:K372"/>
    <mergeCell ref="L371:L372"/>
  </mergeCells>
  <pageMargins left="0.11811023622047245" right="0.11811023622047245" top="0.74803149606299213" bottom="0.74803149606299213" header="0.31496062992125984" footer="0.31496062992125984"/>
  <pageSetup paperSize="9" scale="81" fitToHeight="0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M463"/>
  <sheetViews>
    <sheetView view="pageBreakPreview" topLeftCell="A295" zoomScale="90" zoomScaleNormal="100" zoomScaleSheetLayoutView="90" workbookViewId="0">
      <selection activeCell="R66" sqref="R66"/>
    </sheetView>
  </sheetViews>
  <sheetFormatPr defaultRowHeight="15.5" x14ac:dyDescent="0.35"/>
  <cols>
    <col min="1" max="1" width="22.81640625" style="95" customWidth="1"/>
    <col min="2" max="2" width="27.453125" style="2" customWidth="1"/>
    <col min="3" max="3" width="11.26953125" style="3" customWidth="1"/>
    <col min="4" max="4" width="10" style="582" hidden="1" customWidth="1"/>
    <col min="5" max="5" width="10.54296875" style="3" customWidth="1"/>
    <col min="6" max="6" width="9.7265625" style="3" customWidth="1"/>
    <col min="7" max="7" width="9.54296875" style="3" customWidth="1"/>
    <col min="8" max="9" width="12.54296875" style="3" customWidth="1"/>
    <col min="10" max="10" width="11.54296875" style="3" customWidth="1"/>
    <col min="11" max="12" width="27.1796875" style="2" customWidth="1"/>
    <col min="13" max="251" width="8.81640625" style="3"/>
    <col min="252" max="252" width="13.26953125" style="3" customWidth="1"/>
    <col min="253" max="253" width="27.453125" style="3" customWidth="1"/>
    <col min="254" max="255" width="9.54296875" style="3" customWidth="1"/>
    <col min="256" max="256" width="9.7265625" style="3" customWidth="1"/>
    <col min="257" max="257" width="9.54296875" style="3" customWidth="1"/>
    <col min="258" max="258" width="12.54296875" style="3" customWidth="1"/>
    <col min="259" max="259" width="10" style="3" customWidth="1"/>
    <col min="260" max="260" width="9.7265625" style="3" customWidth="1"/>
    <col min="261" max="263" width="0" style="3" hidden="1" customWidth="1"/>
    <col min="264" max="507" width="8.81640625" style="3"/>
    <col min="508" max="508" width="13.26953125" style="3" customWidth="1"/>
    <col min="509" max="509" width="27.453125" style="3" customWidth="1"/>
    <col min="510" max="511" width="9.54296875" style="3" customWidth="1"/>
    <col min="512" max="512" width="9.7265625" style="3" customWidth="1"/>
    <col min="513" max="513" width="9.54296875" style="3" customWidth="1"/>
    <col min="514" max="514" width="12.54296875" style="3" customWidth="1"/>
    <col min="515" max="515" width="10" style="3" customWidth="1"/>
    <col min="516" max="516" width="9.7265625" style="3" customWidth="1"/>
    <col min="517" max="519" width="0" style="3" hidden="1" customWidth="1"/>
    <col min="520" max="763" width="8.81640625" style="3"/>
    <col min="764" max="764" width="13.26953125" style="3" customWidth="1"/>
    <col min="765" max="765" width="27.453125" style="3" customWidth="1"/>
    <col min="766" max="767" width="9.54296875" style="3" customWidth="1"/>
    <col min="768" max="768" width="9.7265625" style="3" customWidth="1"/>
    <col min="769" max="769" width="9.54296875" style="3" customWidth="1"/>
    <col min="770" max="770" width="12.54296875" style="3" customWidth="1"/>
    <col min="771" max="771" width="10" style="3" customWidth="1"/>
    <col min="772" max="772" width="9.7265625" style="3" customWidth="1"/>
    <col min="773" max="775" width="0" style="3" hidden="1" customWidth="1"/>
    <col min="776" max="1019" width="8.81640625" style="3"/>
    <col min="1020" max="1020" width="13.26953125" style="3" customWidth="1"/>
    <col min="1021" max="1021" width="27.453125" style="3" customWidth="1"/>
    <col min="1022" max="1023" width="9.54296875" style="3" customWidth="1"/>
    <col min="1024" max="1024" width="9.7265625" style="3" customWidth="1"/>
    <col min="1025" max="1025" width="9.54296875" style="3" customWidth="1"/>
    <col min="1026" max="1026" width="12.54296875" style="3" customWidth="1"/>
    <col min="1027" max="1027" width="10" style="3" customWidth="1"/>
    <col min="1028" max="1028" width="9.7265625" style="3" customWidth="1"/>
    <col min="1029" max="1031" width="0" style="3" hidden="1" customWidth="1"/>
    <col min="1032" max="1275" width="8.81640625" style="3"/>
    <col min="1276" max="1276" width="13.26953125" style="3" customWidth="1"/>
    <col min="1277" max="1277" width="27.453125" style="3" customWidth="1"/>
    <col min="1278" max="1279" width="9.54296875" style="3" customWidth="1"/>
    <col min="1280" max="1280" width="9.7265625" style="3" customWidth="1"/>
    <col min="1281" max="1281" width="9.54296875" style="3" customWidth="1"/>
    <col min="1282" max="1282" width="12.54296875" style="3" customWidth="1"/>
    <col min="1283" max="1283" width="10" style="3" customWidth="1"/>
    <col min="1284" max="1284" width="9.7265625" style="3" customWidth="1"/>
    <col min="1285" max="1287" width="0" style="3" hidden="1" customWidth="1"/>
    <col min="1288" max="1531" width="8.81640625" style="3"/>
    <col min="1532" max="1532" width="13.26953125" style="3" customWidth="1"/>
    <col min="1533" max="1533" width="27.453125" style="3" customWidth="1"/>
    <col min="1534" max="1535" width="9.54296875" style="3" customWidth="1"/>
    <col min="1536" max="1536" width="9.7265625" style="3" customWidth="1"/>
    <col min="1537" max="1537" width="9.54296875" style="3" customWidth="1"/>
    <col min="1538" max="1538" width="12.54296875" style="3" customWidth="1"/>
    <col min="1539" max="1539" width="10" style="3" customWidth="1"/>
    <col min="1540" max="1540" width="9.7265625" style="3" customWidth="1"/>
    <col min="1541" max="1543" width="0" style="3" hidden="1" customWidth="1"/>
    <col min="1544" max="1787" width="8.81640625" style="3"/>
    <col min="1788" max="1788" width="13.26953125" style="3" customWidth="1"/>
    <col min="1789" max="1789" width="27.453125" style="3" customWidth="1"/>
    <col min="1790" max="1791" width="9.54296875" style="3" customWidth="1"/>
    <col min="1792" max="1792" width="9.7265625" style="3" customWidth="1"/>
    <col min="1793" max="1793" width="9.54296875" style="3" customWidth="1"/>
    <col min="1794" max="1794" width="12.54296875" style="3" customWidth="1"/>
    <col min="1795" max="1795" width="10" style="3" customWidth="1"/>
    <col min="1796" max="1796" width="9.7265625" style="3" customWidth="1"/>
    <col min="1797" max="1799" width="0" style="3" hidden="1" customWidth="1"/>
    <col min="1800" max="2043" width="8.81640625" style="3"/>
    <col min="2044" max="2044" width="13.26953125" style="3" customWidth="1"/>
    <col min="2045" max="2045" width="27.453125" style="3" customWidth="1"/>
    <col min="2046" max="2047" width="9.54296875" style="3" customWidth="1"/>
    <col min="2048" max="2048" width="9.7265625" style="3" customWidth="1"/>
    <col min="2049" max="2049" width="9.54296875" style="3" customWidth="1"/>
    <col min="2050" max="2050" width="12.54296875" style="3" customWidth="1"/>
    <col min="2051" max="2051" width="10" style="3" customWidth="1"/>
    <col min="2052" max="2052" width="9.7265625" style="3" customWidth="1"/>
    <col min="2053" max="2055" width="0" style="3" hidden="1" customWidth="1"/>
    <col min="2056" max="2299" width="8.81640625" style="3"/>
    <col min="2300" max="2300" width="13.26953125" style="3" customWidth="1"/>
    <col min="2301" max="2301" width="27.453125" style="3" customWidth="1"/>
    <col min="2302" max="2303" width="9.54296875" style="3" customWidth="1"/>
    <col min="2304" max="2304" width="9.7265625" style="3" customWidth="1"/>
    <col min="2305" max="2305" width="9.54296875" style="3" customWidth="1"/>
    <col min="2306" max="2306" width="12.54296875" style="3" customWidth="1"/>
    <col min="2307" max="2307" width="10" style="3" customWidth="1"/>
    <col min="2308" max="2308" width="9.7265625" style="3" customWidth="1"/>
    <col min="2309" max="2311" width="0" style="3" hidden="1" customWidth="1"/>
    <col min="2312" max="2555" width="8.81640625" style="3"/>
    <col min="2556" max="2556" width="13.26953125" style="3" customWidth="1"/>
    <col min="2557" max="2557" width="27.453125" style="3" customWidth="1"/>
    <col min="2558" max="2559" width="9.54296875" style="3" customWidth="1"/>
    <col min="2560" max="2560" width="9.7265625" style="3" customWidth="1"/>
    <col min="2561" max="2561" width="9.54296875" style="3" customWidth="1"/>
    <col min="2562" max="2562" width="12.54296875" style="3" customWidth="1"/>
    <col min="2563" max="2563" width="10" style="3" customWidth="1"/>
    <col min="2564" max="2564" width="9.7265625" style="3" customWidth="1"/>
    <col min="2565" max="2567" width="0" style="3" hidden="1" customWidth="1"/>
    <col min="2568" max="2811" width="8.81640625" style="3"/>
    <col min="2812" max="2812" width="13.26953125" style="3" customWidth="1"/>
    <col min="2813" max="2813" width="27.453125" style="3" customWidth="1"/>
    <col min="2814" max="2815" width="9.54296875" style="3" customWidth="1"/>
    <col min="2816" max="2816" width="9.7265625" style="3" customWidth="1"/>
    <col min="2817" max="2817" width="9.54296875" style="3" customWidth="1"/>
    <col min="2818" max="2818" width="12.54296875" style="3" customWidth="1"/>
    <col min="2819" max="2819" width="10" style="3" customWidth="1"/>
    <col min="2820" max="2820" width="9.7265625" style="3" customWidth="1"/>
    <col min="2821" max="2823" width="0" style="3" hidden="1" customWidth="1"/>
    <col min="2824" max="3067" width="8.81640625" style="3"/>
    <col min="3068" max="3068" width="13.26953125" style="3" customWidth="1"/>
    <col min="3069" max="3069" width="27.453125" style="3" customWidth="1"/>
    <col min="3070" max="3071" width="9.54296875" style="3" customWidth="1"/>
    <col min="3072" max="3072" width="9.7265625" style="3" customWidth="1"/>
    <col min="3073" max="3073" width="9.54296875" style="3" customWidth="1"/>
    <col min="3074" max="3074" width="12.54296875" style="3" customWidth="1"/>
    <col min="3075" max="3075" width="10" style="3" customWidth="1"/>
    <col min="3076" max="3076" width="9.7265625" style="3" customWidth="1"/>
    <col min="3077" max="3079" width="0" style="3" hidden="1" customWidth="1"/>
    <col min="3080" max="3323" width="8.81640625" style="3"/>
    <col min="3324" max="3324" width="13.26953125" style="3" customWidth="1"/>
    <col min="3325" max="3325" width="27.453125" style="3" customWidth="1"/>
    <col min="3326" max="3327" width="9.54296875" style="3" customWidth="1"/>
    <col min="3328" max="3328" width="9.7265625" style="3" customWidth="1"/>
    <col min="3329" max="3329" width="9.54296875" style="3" customWidth="1"/>
    <col min="3330" max="3330" width="12.54296875" style="3" customWidth="1"/>
    <col min="3331" max="3331" width="10" style="3" customWidth="1"/>
    <col min="3332" max="3332" width="9.7265625" style="3" customWidth="1"/>
    <col min="3333" max="3335" width="0" style="3" hidden="1" customWidth="1"/>
    <col min="3336" max="3579" width="8.81640625" style="3"/>
    <col min="3580" max="3580" width="13.26953125" style="3" customWidth="1"/>
    <col min="3581" max="3581" width="27.453125" style="3" customWidth="1"/>
    <col min="3582" max="3583" width="9.54296875" style="3" customWidth="1"/>
    <col min="3584" max="3584" width="9.7265625" style="3" customWidth="1"/>
    <col min="3585" max="3585" width="9.54296875" style="3" customWidth="1"/>
    <col min="3586" max="3586" width="12.54296875" style="3" customWidth="1"/>
    <col min="3587" max="3587" width="10" style="3" customWidth="1"/>
    <col min="3588" max="3588" width="9.7265625" style="3" customWidth="1"/>
    <col min="3589" max="3591" width="0" style="3" hidden="1" customWidth="1"/>
    <col min="3592" max="3835" width="8.81640625" style="3"/>
    <col min="3836" max="3836" width="13.26953125" style="3" customWidth="1"/>
    <col min="3837" max="3837" width="27.453125" style="3" customWidth="1"/>
    <col min="3838" max="3839" width="9.54296875" style="3" customWidth="1"/>
    <col min="3840" max="3840" width="9.7265625" style="3" customWidth="1"/>
    <col min="3841" max="3841" width="9.54296875" style="3" customWidth="1"/>
    <col min="3842" max="3842" width="12.54296875" style="3" customWidth="1"/>
    <col min="3843" max="3843" width="10" style="3" customWidth="1"/>
    <col min="3844" max="3844" width="9.7265625" style="3" customWidth="1"/>
    <col min="3845" max="3847" width="0" style="3" hidden="1" customWidth="1"/>
    <col min="3848" max="4091" width="8.81640625" style="3"/>
    <col min="4092" max="4092" width="13.26953125" style="3" customWidth="1"/>
    <col min="4093" max="4093" width="27.453125" style="3" customWidth="1"/>
    <col min="4094" max="4095" width="9.54296875" style="3" customWidth="1"/>
    <col min="4096" max="4096" width="9.7265625" style="3" customWidth="1"/>
    <col min="4097" max="4097" width="9.54296875" style="3" customWidth="1"/>
    <col min="4098" max="4098" width="12.54296875" style="3" customWidth="1"/>
    <col min="4099" max="4099" width="10" style="3" customWidth="1"/>
    <col min="4100" max="4100" width="9.7265625" style="3" customWidth="1"/>
    <col min="4101" max="4103" width="0" style="3" hidden="1" customWidth="1"/>
    <col min="4104" max="4347" width="8.81640625" style="3"/>
    <col min="4348" max="4348" width="13.26953125" style="3" customWidth="1"/>
    <col min="4349" max="4349" width="27.453125" style="3" customWidth="1"/>
    <col min="4350" max="4351" width="9.54296875" style="3" customWidth="1"/>
    <col min="4352" max="4352" width="9.7265625" style="3" customWidth="1"/>
    <col min="4353" max="4353" width="9.54296875" style="3" customWidth="1"/>
    <col min="4354" max="4354" width="12.54296875" style="3" customWidth="1"/>
    <col min="4355" max="4355" width="10" style="3" customWidth="1"/>
    <col min="4356" max="4356" width="9.7265625" style="3" customWidth="1"/>
    <col min="4357" max="4359" width="0" style="3" hidden="1" customWidth="1"/>
    <col min="4360" max="4603" width="8.81640625" style="3"/>
    <col min="4604" max="4604" width="13.26953125" style="3" customWidth="1"/>
    <col min="4605" max="4605" width="27.453125" style="3" customWidth="1"/>
    <col min="4606" max="4607" width="9.54296875" style="3" customWidth="1"/>
    <col min="4608" max="4608" width="9.7265625" style="3" customWidth="1"/>
    <col min="4609" max="4609" width="9.54296875" style="3" customWidth="1"/>
    <col min="4610" max="4610" width="12.54296875" style="3" customWidth="1"/>
    <col min="4611" max="4611" width="10" style="3" customWidth="1"/>
    <col min="4612" max="4612" width="9.7265625" style="3" customWidth="1"/>
    <col min="4613" max="4615" width="0" style="3" hidden="1" customWidth="1"/>
    <col min="4616" max="4859" width="8.81640625" style="3"/>
    <col min="4860" max="4860" width="13.26953125" style="3" customWidth="1"/>
    <col min="4861" max="4861" width="27.453125" style="3" customWidth="1"/>
    <col min="4862" max="4863" width="9.54296875" style="3" customWidth="1"/>
    <col min="4864" max="4864" width="9.7265625" style="3" customWidth="1"/>
    <col min="4865" max="4865" width="9.54296875" style="3" customWidth="1"/>
    <col min="4866" max="4866" width="12.54296875" style="3" customWidth="1"/>
    <col min="4867" max="4867" width="10" style="3" customWidth="1"/>
    <col min="4868" max="4868" width="9.7265625" style="3" customWidth="1"/>
    <col min="4869" max="4871" width="0" style="3" hidden="1" customWidth="1"/>
    <col min="4872" max="5115" width="8.81640625" style="3"/>
    <col min="5116" max="5116" width="13.26953125" style="3" customWidth="1"/>
    <col min="5117" max="5117" width="27.453125" style="3" customWidth="1"/>
    <col min="5118" max="5119" width="9.54296875" style="3" customWidth="1"/>
    <col min="5120" max="5120" width="9.7265625" style="3" customWidth="1"/>
    <col min="5121" max="5121" width="9.54296875" style="3" customWidth="1"/>
    <col min="5122" max="5122" width="12.54296875" style="3" customWidth="1"/>
    <col min="5123" max="5123" width="10" style="3" customWidth="1"/>
    <col min="5124" max="5124" width="9.7265625" style="3" customWidth="1"/>
    <col min="5125" max="5127" width="0" style="3" hidden="1" customWidth="1"/>
    <col min="5128" max="5371" width="8.81640625" style="3"/>
    <col min="5372" max="5372" width="13.26953125" style="3" customWidth="1"/>
    <col min="5373" max="5373" width="27.453125" style="3" customWidth="1"/>
    <col min="5374" max="5375" width="9.54296875" style="3" customWidth="1"/>
    <col min="5376" max="5376" width="9.7265625" style="3" customWidth="1"/>
    <col min="5377" max="5377" width="9.54296875" style="3" customWidth="1"/>
    <col min="5378" max="5378" width="12.54296875" style="3" customWidth="1"/>
    <col min="5379" max="5379" width="10" style="3" customWidth="1"/>
    <col min="5380" max="5380" width="9.7265625" style="3" customWidth="1"/>
    <col min="5381" max="5383" width="0" style="3" hidden="1" customWidth="1"/>
    <col min="5384" max="5627" width="8.81640625" style="3"/>
    <col min="5628" max="5628" width="13.26953125" style="3" customWidth="1"/>
    <col min="5629" max="5629" width="27.453125" style="3" customWidth="1"/>
    <col min="5630" max="5631" width="9.54296875" style="3" customWidth="1"/>
    <col min="5632" max="5632" width="9.7265625" style="3" customWidth="1"/>
    <col min="5633" max="5633" width="9.54296875" style="3" customWidth="1"/>
    <col min="5634" max="5634" width="12.54296875" style="3" customWidth="1"/>
    <col min="5635" max="5635" width="10" style="3" customWidth="1"/>
    <col min="5636" max="5636" width="9.7265625" style="3" customWidth="1"/>
    <col min="5637" max="5639" width="0" style="3" hidden="1" customWidth="1"/>
    <col min="5640" max="5883" width="8.81640625" style="3"/>
    <col min="5884" max="5884" width="13.26953125" style="3" customWidth="1"/>
    <col min="5885" max="5885" width="27.453125" style="3" customWidth="1"/>
    <col min="5886" max="5887" width="9.54296875" style="3" customWidth="1"/>
    <col min="5888" max="5888" width="9.7265625" style="3" customWidth="1"/>
    <col min="5889" max="5889" width="9.54296875" style="3" customWidth="1"/>
    <col min="5890" max="5890" width="12.54296875" style="3" customWidth="1"/>
    <col min="5891" max="5891" width="10" style="3" customWidth="1"/>
    <col min="5892" max="5892" width="9.7265625" style="3" customWidth="1"/>
    <col min="5893" max="5895" width="0" style="3" hidden="1" customWidth="1"/>
    <col min="5896" max="6139" width="8.81640625" style="3"/>
    <col min="6140" max="6140" width="13.26953125" style="3" customWidth="1"/>
    <col min="6141" max="6141" width="27.453125" style="3" customWidth="1"/>
    <col min="6142" max="6143" width="9.54296875" style="3" customWidth="1"/>
    <col min="6144" max="6144" width="9.7265625" style="3" customWidth="1"/>
    <col min="6145" max="6145" width="9.54296875" style="3" customWidth="1"/>
    <col min="6146" max="6146" width="12.54296875" style="3" customWidth="1"/>
    <col min="6147" max="6147" width="10" style="3" customWidth="1"/>
    <col min="6148" max="6148" width="9.7265625" style="3" customWidth="1"/>
    <col min="6149" max="6151" width="0" style="3" hidden="1" customWidth="1"/>
    <col min="6152" max="6395" width="8.81640625" style="3"/>
    <col min="6396" max="6396" width="13.26953125" style="3" customWidth="1"/>
    <col min="6397" max="6397" width="27.453125" style="3" customWidth="1"/>
    <col min="6398" max="6399" width="9.54296875" style="3" customWidth="1"/>
    <col min="6400" max="6400" width="9.7265625" style="3" customWidth="1"/>
    <col min="6401" max="6401" width="9.54296875" style="3" customWidth="1"/>
    <col min="6402" max="6402" width="12.54296875" style="3" customWidth="1"/>
    <col min="6403" max="6403" width="10" style="3" customWidth="1"/>
    <col min="6404" max="6404" width="9.7265625" style="3" customWidth="1"/>
    <col min="6405" max="6407" width="0" style="3" hidden="1" customWidth="1"/>
    <col min="6408" max="6651" width="8.81640625" style="3"/>
    <col min="6652" max="6652" width="13.26953125" style="3" customWidth="1"/>
    <col min="6653" max="6653" width="27.453125" style="3" customWidth="1"/>
    <col min="6654" max="6655" width="9.54296875" style="3" customWidth="1"/>
    <col min="6656" max="6656" width="9.7265625" style="3" customWidth="1"/>
    <col min="6657" max="6657" width="9.54296875" style="3" customWidth="1"/>
    <col min="6658" max="6658" width="12.54296875" style="3" customWidth="1"/>
    <col min="6659" max="6659" width="10" style="3" customWidth="1"/>
    <col min="6660" max="6660" width="9.7265625" style="3" customWidth="1"/>
    <col min="6661" max="6663" width="0" style="3" hidden="1" customWidth="1"/>
    <col min="6664" max="6907" width="8.81640625" style="3"/>
    <col min="6908" max="6908" width="13.26953125" style="3" customWidth="1"/>
    <col min="6909" max="6909" width="27.453125" style="3" customWidth="1"/>
    <col min="6910" max="6911" width="9.54296875" style="3" customWidth="1"/>
    <col min="6912" max="6912" width="9.7265625" style="3" customWidth="1"/>
    <col min="6913" max="6913" width="9.54296875" style="3" customWidth="1"/>
    <col min="6914" max="6914" width="12.54296875" style="3" customWidth="1"/>
    <col min="6915" max="6915" width="10" style="3" customWidth="1"/>
    <col min="6916" max="6916" width="9.7265625" style="3" customWidth="1"/>
    <col min="6917" max="6919" width="0" style="3" hidden="1" customWidth="1"/>
    <col min="6920" max="7163" width="8.81640625" style="3"/>
    <col min="7164" max="7164" width="13.26953125" style="3" customWidth="1"/>
    <col min="7165" max="7165" width="27.453125" style="3" customWidth="1"/>
    <col min="7166" max="7167" width="9.54296875" style="3" customWidth="1"/>
    <col min="7168" max="7168" width="9.7265625" style="3" customWidth="1"/>
    <col min="7169" max="7169" width="9.54296875" style="3" customWidth="1"/>
    <col min="7170" max="7170" width="12.54296875" style="3" customWidth="1"/>
    <col min="7171" max="7171" width="10" style="3" customWidth="1"/>
    <col min="7172" max="7172" width="9.7265625" style="3" customWidth="1"/>
    <col min="7173" max="7175" width="0" style="3" hidden="1" customWidth="1"/>
    <col min="7176" max="7419" width="8.81640625" style="3"/>
    <col min="7420" max="7420" width="13.26953125" style="3" customWidth="1"/>
    <col min="7421" max="7421" width="27.453125" style="3" customWidth="1"/>
    <col min="7422" max="7423" width="9.54296875" style="3" customWidth="1"/>
    <col min="7424" max="7424" width="9.7265625" style="3" customWidth="1"/>
    <col min="7425" max="7425" width="9.54296875" style="3" customWidth="1"/>
    <col min="7426" max="7426" width="12.54296875" style="3" customWidth="1"/>
    <col min="7427" max="7427" width="10" style="3" customWidth="1"/>
    <col min="7428" max="7428" width="9.7265625" style="3" customWidth="1"/>
    <col min="7429" max="7431" width="0" style="3" hidden="1" customWidth="1"/>
    <col min="7432" max="7675" width="8.81640625" style="3"/>
    <col min="7676" max="7676" width="13.26953125" style="3" customWidth="1"/>
    <col min="7677" max="7677" width="27.453125" style="3" customWidth="1"/>
    <col min="7678" max="7679" width="9.54296875" style="3" customWidth="1"/>
    <col min="7680" max="7680" width="9.7265625" style="3" customWidth="1"/>
    <col min="7681" max="7681" width="9.54296875" style="3" customWidth="1"/>
    <col min="7682" max="7682" width="12.54296875" style="3" customWidth="1"/>
    <col min="7683" max="7683" width="10" style="3" customWidth="1"/>
    <col min="7684" max="7684" width="9.7265625" style="3" customWidth="1"/>
    <col min="7685" max="7687" width="0" style="3" hidden="1" customWidth="1"/>
    <col min="7688" max="7931" width="8.81640625" style="3"/>
    <col min="7932" max="7932" width="13.26953125" style="3" customWidth="1"/>
    <col min="7933" max="7933" width="27.453125" style="3" customWidth="1"/>
    <col min="7934" max="7935" width="9.54296875" style="3" customWidth="1"/>
    <col min="7936" max="7936" width="9.7265625" style="3" customWidth="1"/>
    <col min="7937" max="7937" width="9.54296875" style="3" customWidth="1"/>
    <col min="7938" max="7938" width="12.54296875" style="3" customWidth="1"/>
    <col min="7939" max="7939" width="10" style="3" customWidth="1"/>
    <col min="7940" max="7940" width="9.7265625" style="3" customWidth="1"/>
    <col min="7941" max="7943" width="0" style="3" hidden="1" customWidth="1"/>
    <col min="7944" max="8187" width="8.81640625" style="3"/>
    <col min="8188" max="8188" width="13.26953125" style="3" customWidth="1"/>
    <col min="8189" max="8189" width="27.453125" style="3" customWidth="1"/>
    <col min="8190" max="8191" width="9.54296875" style="3" customWidth="1"/>
    <col min="8192" max="8192" width="9.7265625" style="3" customWidth="1"/>
    <col min="8193" max="8193" width="9.54296875" style="3" customWidth="1"/>
    <col min="8194" max="8194" width="12.54296875" style="3" customWidth="1"/>
    <col min="8195" max="8195" width="10" style="3" customWidth="1"/>
    <col min="8196" max="8196" width="9.7265625" style="3" customWidth="1"/>
    <col min="8197" max="8199" width="0" style="3" hidden="1" customWidth="1"/>
    <col min="8200" max="8443" width="8.81640625" style="3"/>
    <col min="8444" max="8444" width="13.26953125" style="3" customWidth="1"/>
    <col min="8445" max="8445" width="27.453125" style="3" customWidth="1"/>
    <col min="8446" max="8447" width="9.54296875" style="3" customWidth="1"/>
    <col min="8448" max="8448" width="9.7265625" style="3" customWidth="1"/>
    <col min="8449" max="8449" width="9.54296875" style="3" customWidth="1"/>
    <col min="8450" max="8450" width="12.54296875" style="3" customWidth="1"/>
    <col min="8451" max="8451" width="10" style="3" customWidth="1"/>
    <col min="8452" max="8452" width="9.7265625" style="3" customWidth="1"/>
    <col min="8453" max="8455" width="0" style="3" hidden="1" customWidth="1"/>
    <col min="8456" max="8699" width="8.81640625" style="3"/>
    <col min="8700" max="8700" width="13.26953125" style="3" customWidth="1"/>
    <col min="8701" max="8701" width="27.453125" style="3" customWidth="1"/>
    <col min="8702" max="8703" width="9.54296875" style="3" customWidth="1"/>
    <col min="8704" max="8704" width="9.7265625" style="3" customWidth="1"/>
    <col min="8705" max="8705" width="9.54296875" style="3" customWidth="1"/>
    <col min="8706" max="8706" width="12.54296875" style="3" customWidth="1"/>
    <col min="8707" max="8707" width="10" style="3" customWidth="1"/>
    <col min="8708" max="8708" width="9.7265625" style="3" customWidth="1"/>
    <col min="8709" max="8711" width="0" style="3" hidden="1" customWidth="1"/>
    <col min="8712" max="8955" width="8.81640625" style="3"/>
    <col min="8956" max="8956" width="13.26953125" style="3" customWidth="1"/>
    <col min="8957" max="8957" width="27.453125" style="3" customWidth="1"/>
    <col min="8958" max="8959" width="9.54296875" style="3" customWidth="1"/>
    <col min="8960" max="8960" width="9.7265625" style="3" customWidth="1"/>
    <col min="8961" max="8961" width="9.54296875" style="3" customWidth="1"/>
    <col min="8962" max="8962" width="12.54296875" style="3" customWidth="1"/>
    <col min="8963" max="8963" width="10" style="3" customWidth="1"/>
    <col min="8964" max="8964" width="9.7265625" style="3" customWidth="1"/>
    <col min="8965" max="8967" width="0" style="3" hidden="1" customWidth="1"/>
    <col min="8968" max="9211" width="8.81640625" style="3"/>
    <col min="9212" max="9212" width="13.26953125" style="3" customWidth="1"/>
    <col min="9213" max="9213" width="27.453125" style="3" customWidth="1"/>
    <col min="9214" max="9215" width="9.54296875" style="3" customWidth="1"/>
    <col min="9216" max="9216" width="9.7265625" style="3" customWidth="1"/>
    <col min="9217" max="9217" width="9.54296875" style="3" customWidth="1"/>
    <col min="9218" max="9218" width="12.54296875" style="3" customWidth="1"/>
    <col min="9219" max="9219" width="10" style="3" customWidth="1"/>
    <col min="9220" max="9220" width="9.7265625" style="3" customWidth="1"/>
    <col min="9221" max="9223" width="0" style="3" hidden="1" customWidth="1"/>
    <col min="9224" max="9467" width="8.81640625" style="3"/>
    <col min="9468" max="9468" width="13.26953125" style="3" customWidth="1"/>
    <col min="9469" max="9469" width="27.453125" style="3" customWidth="1"/>
    <col min="9470" max="9471" width="9.54296875" style="3" customWidth="1"/>
    <col min="9472" max="9472" width="9.7265625" style="3" customWidth="1"/>
    <col min="9473" max="9473" width="9.54296875" style="3" customWidth="1"/>
    <col min="9474" max="9474" width="12.54296875" style="3" customWidth="1"/>
    <col min="9475" max="9475" width="10" style="3" customWidth="1"/>
    <col min="9476" max="9476" width="9.7265625" style="3" customWidth="1"/>
    <col min="9477" max="9479" width="0" style="3" hidden="1" customWidth="1"/>
    <col min="9480" max="9723" width="8.81640625" style="3"/>
    <col min="9724" max="9724" width="13.26953125" style="3" customWidth="1"/>
    <col min="9725" max="9725" width="27.453125" style="3" customWidth="1"/>
    <col min="9726" max="9727" width="9.54296875" style="3" customWidth="1"/>
    <col min="9728" max="9728" width="9.7265625" style="3" customWidth="1"/>
    <col min="9729" max="9729" width="9.54296875" style="3" customWidth="1"/>
    <col min="9730" max="9730" width="12.54296875" style="3" customWidth="1"/>
    <col min="9731" max="9731" width="10" style="3" customWidth="1"/>
    <col min="9732" max="9732" width="9.7265625" style="3" customWidth="1"/>
    <col min="9733" max="9735" width="0" style="3" hidden="1" customWidth="1"/>
    <col min="9736" max="9979" width="8.81640625" style="3"/>
    <col min="9980" max="9980" width="13.26953125" style="3" customWidth="1"/>
    <col min="9981" max="9981" width="27.453125" style="3" customWidth="1"/>
    <col min="9982" max="9983" width="9.54296875" style="3" customWidth="1"/>
    <col min="9984" max="9984" width="9.7265625" style="3" customWidth="1"/>
    <col min="9985" max="9985" width="9.54296875" style="3" customWidth="1"/>
    <col min="9986" max="9986" width="12.54296875" style="3" customWidth="1"/>
    <col min="9987" max="9987" width="10" style="3" customWidth="1"/>
    <col min="9988" max="9988" width="9.7265625" style="3" customWidth="1"/>
    <col min="9989" max="9991" width="0" style="3" hidden="1" customWidth="1"/>
    <col min="9992" max="10235" width="8.81640625" style="3"/>
    <col min="10236" max="10236" width="13.26953125" style="3" customWidth="1"/>
    <col min="10237" max="10237" width="27.453125" style="3" customWidth="1"/>
    <col min="10238" max="10239" width="9.54296875" style="3" customWidth="1"/>
    <col min="10240" max="10240" width="9.7265625" style="3" customWidth="1"/>
    <col min="10241" max="10241" width="9.54296875" style="3" customWidth="1"/>
    <col min="10242" max="10242" width="12.54296875" style="3" customWidth="1"/>
    <col min="10243" max="10243" width="10" style="3" customWidth="1"/>
    <col min="10244" max="10244" width="9.7265625" style="3" customWidth="1"/>
    <col min="10245" max="10247" width="0" style="3" hidden="1" customWidth="1"/>
    <col min="10248" max="10491" width="8.81640625" style="3"/>
    <col min="10492" max="10492" width="13.26953125" style="3" customWidth="1"/>
    <col min="10493" max="10493" width="27.453125" style="3" customWidth="1"/>
    <col min="10494" max="10495" width="9.54296875" style="3" customWidth="1"/>
    <col min="10496" max="10496" width="9.7265625" style="3" customWidth="1"/>
    <col min="10497" max="10497" width="9.54296875" style="3" customWidth="1"/>
    <col min="10498" max="10498" width="12.54296875" style="3" customWidth="1"/>
    <col min="10499" max="10499" width="10" style="3" customWidth="1"/>
    <col min="10500" max="10500" width="9.7265625" style="3" customWidth="1"/>
    <col min="10501" max="10503" width="0" style="3" hidden="1" customWidth="1"/>
    <col min="10504" max="10747" width="8.81640625" style="3"/>
    <col min="10748" max="10748" width="13.26953125" style="3" customWidth="1"/>
    <col min="10749" max="10749" width="27.453125" style="3" customWidth="1"/>
    <col min="10750" max="10751" width="9.54296875" style="3" customWidth="1"/>
    <col min="10752" max="10752" width="9.7265625" style="3" customWidth="1"/>
    <col min="10753" max="10753" width="9.54296875" style="3" customWidth="1"/>
    <col min="10754" max="10754" width="12.54296875" style="3" customWidth="1"/>
    <col min="10755" max="10755" width="10" style="3" customWidth="1"/>
    <col min="10756" max="10756" width="9.7265625" style="3" customWidth="1"/>
    <col min="10757" max="10759" width="0" style="3" hidden="1" customWidth="1"/>
    <col min="10760" max="11003" width="8.81640625" style="3"/>
    <col min="11004" max="11004" width="13.26953125" style="3" customWidth="1"/>
    <col min="11005" max="11005" width="27.453125" style="3" customWidth="1"/>
    <col min="11006" max="11007" width="9.54296875" style="3" customWidth="1"/>
    <col min="11008" max="11008" width="9.7265625" style="3" customWidth="1"/>
    <col min="11009" max="11009" width="9.54296875" style="3" customWidth="1"/>
    <col min="11010" max="11010" width="12.54296875" style="3" customWidth="1"/>
    <col min="11011" max="11011" width="10" style="3" customWidth="1"/>
    <col min="11012" max="11012" width="9.7265625" style="3" customWidth="1"/>
    <col min="11013" max="11015" width="0" style="3" hidden="1" customWidth="1"/>
    <col min="11016" max="11259" width="8.81640625" style="3"/>
    <col min="11260" max="11260" width="13.26953125" style="3" customWidth="1"/>
    <col min="11261" max="11261" width="27.453125" style="3" customWidth="1"/>
    <col min="11262" max="11263" width="9.54296875" style="3" customWidth="1"/>
    <col min="11264" max="11264" width="9.7265625" style="3" customWidth="1"/>
    <col min="11265" max="11265" width="9.54296875" style="3" customWidth="1"/>
    <col min="11266" max="11266" width="12.54296875" style="3" customWidth="1"/>
    <col min="11267" max="11267" width="10" style="3" customWidth="1"/>
    <col min="11268" max="11268" width="9.7265625" style="3" customWidth="1"/>
    <col min="11269" max="11271" width="0" style="3" hidden="1" customWidth="1"/>
    <col min="11272" max="11515" width="8.81640625" style="3"/>
    <col min="11516" max="11516" width="13.26953125" style="3" customWidth="1"/>
    <col min="11517" max="11517" width="27.453125" style="3" customWidth="1"/>
    <col min="11518" max="11519" width="9.54296875" style="3" customWidth="1"/>
    <col min="11520" max="11520" width="9.7265625" style="3" customWidth="1"/>
    <col min="11521" max="11521" width="9.54296875" style="3" customWidth="1"/>
    <col min="11522" max="11522" width="12.54296875" style="3" customWidth="1"/>
    <col min="11523" max="11523" width="10" style="3" customWidth="1"/>
    <col min="11524" max="11524" width="9.7265625" style="3" customWidth="1"/>
    <col min="11525" max="11527" width="0" style="3" hidden="1" customWidth="1"/>
    <col min="11528" max="11771" width="8.81640625" style="3"/>
    <col min="11772" max="11772" width="13.26953125" style="3" customWidth="1"/>
    <col min="11773" max="11773" width="27.453125" style="3" customWidth="1"/>
    <col min="11774" max="11775" width="9.54296875" style="3" customWidth="1"/>
    <col min="11776" max="11776" width="9.7265625" style="3" customWidth="1"/>
    <col min="11777" max="11777" width="9.54296875" style="3" customWidth="1"/>
    <col min="11778" max="11778" width="12.54296875" style="3" customWidth="1"/>
    <col min="11779" max="11779" width="10" style="3" customWidth="1"/>
    <col min="11780" max="11780" width="9.7265625" style="3" customWidth="1"/>
    <col min="11781" max="11783" width="0" style="3" hidden="1" customWidth="1"/>
    <col min="11784" max="12027" width="8.81640625" style="3"/>
    <col min="12028" max="12028" width="13.26953125" style="3" customWidth="1"/>
    <col min="12029" max="12029" width="27.453125" style="3" customWidth="1"/>
    <col min="12030" max="12031" width="9.54296875" style="3" customWidth="1"/>
    <col min="12032" max="12032" width="9.7265625" style="3" customWidth="1"/>
    <col min="12033" max="12033" width="9.54296875" style="3" customWidth="1"/>
    <col min="12034" max="12034" width="12.54296875" style="3" customWidth="1"/>
    <col min="12035" max="12035" width="10" style="3" customWidth="1"/>
    <col min="12036" max="12036" width="9.7265625" style="3" customWidth="1"/>
    <col min="12037" max="12039" width="0" style="3" hidden="1" customWidth="1"/>
    <col min="12040" max="12283" width="8.81640625" style="3"/>
    <col min="12284" max="12284" width="13.26953125" style="3" customWidth="1"/>
    <col min="12285" max="12285" width="27.453125" style="3" customWidth="1"/>
    <col min="12286" max="12287" width="9.54296875" style="3" customWidth="1"/>
    <col min="12288" max="12288" width="9.7265625" style="3" customWidth="1"/>
    <col min="12289" max="12289" width="9.54296875" style="3" customWidth="1"/>
    <col min="12290" max="12290" width="12.54296875" style="3" customWidth="1"/>
    <col min="12291" max="12291" width="10" style="3" customWidth="1"/>
    <col min="12292" max="12292" width="9.7265625" style="3" customWidth="1"/>
    <col min="12293" max="12295" width="0" style="3" hidden="1" customWidth="1"/>
    <col min="12296" max="12539" width="8.81640625" style="3"/>
    <col min="12540" max="12540" width="13.26953125" style="3" customWidth="1"/>
    <col min="12541" max="12541" width="27.453125" style="3" customWidth="1"/>
    <col min="12542" max="12543" width="9.54296875" style="3" customWidth="1"/>
    <col min="12544" max="12544" width="9.7265625" style="3" customWidth="1"/>
    <col min="12545" max="12545" width="9.54296875" style="3" customWidth="1"/>
    <col min="12546" max="12546" width="12.54296875" style="3" customWidth="1"/>
    <col min="12547" max="12547" width="10" style="3" customWidth="1"/>
    <col min="12548" max="12548" width="9.7265625" style="3" customWidth="1"/>
    <col min="12549" max="12551" width="0" style="3" hidden="1" customWidth="1"/>
    <col min="12552" max="12795" width="8.81640625" style="3"/>
    <col min="12796" max="12796" width="13.26953125" style="3" customWidth="1"/>
    <col min="12797" max="12797" width="27.453125" style="3" customWidth="1"/>
    <col min="12798" max="12799" width="9.54296875" style="3" customWidth="1"/>
    <col min="12800" max="12800" width="9.7265625" style="3" customWidth="1"/>
    <col min="12801" max="12801" width="9.54296875" style="3" customWidth="1"/>
    <col min="12802" max="12802" width="12.54296875" style="3" customWidth="1"/>
    <col min="12803" max="12803" width="10" style="3" customWidth="1"/>
    <col min="12804" max="12804" width="9.7265625" style="3" customWidth="1"/>
    <col min="12805" max="12807" width="0" style="3" hidden="1" customWidth="1"/>
    <col min="12808" max="13051" width="8.81640625" style="3"/>
    <col min="13052" max="13052" width="13.26953125" style="3" customWidth="1"/>
    <col min="13053" max="13053" width="27.453125" style="3" customWidth="1"/>
    <col min="13054" max="13055" width="9.54296875" style="3" customWidth="1"/>
    <col min="13056" max="13056" width="9.7265625" style="3" customWidth="1"/>
    <col min="13057" max="13057" width="9.54296875" style="3" customWidth="1"/>
    <col min="13058" max="13058" width="12.54296875" style="3" customWidth="1"/>
    <col min="13059" max="13059" width="10" style="3" customWidth="1"/>
    <col min="13060" max="13060" width="9.7265625" style="3" customWidth="1"/>
    <col min="13061" max="13063" width="0" style="3" hidden="1" customWidth="1"/>
    <col min="13064" max="13307" width="8.81640625" style="3"/>
    <col min="13308" max="13308" width="13.26953125" style="3" customWidth="1"/>
    <col min="13309" max="13309" width="27.453125" style="3" customWidth="1"/>
    <col min="13310" max="13311" width="9.54296875" style="3" customWidth="1"/>
    <col min="13312" max="13312" width="9.7265625" style="3" customWidth="1"/>
    <col min="13313" max="13313" width="9.54296875" style="3" customWidth="1"/>
    <col min="13314" max="13314" width="12.54296875" style="3" customWidth="1"/>
    <col min="13315" max="13315" width="10" style="3" customWidth="1"/>
    <col min="13316" max="13316" width="9.7265625" style="3" customWidth="1"/>
    <col min="13317" max="13319" width="0" style="3" hidden="1" customWidth="1"/>
    <col min="13320" max="13563" width="8.81640625" style="3"/>
    <col min="13564" max="13564" width="13.26953125" style="3" customWidth="1"/>
    <col min="13565" max="13565" width="27.453125" style="3" customWidth="1"/>
    <col min="13566" max="13567" width="9.54296875" style="3" customWidth="1"/>
    <col min="13568" max="13568" width="9.7265625" style="3" customWidth="1"/>
    <col min="13569" max="13569" width="9.54296875" style="3" customWidth="1"/>
    <col min="13570" max="13570" width="12.54296875" style="3" customWidth="1"/>
    <col min="13571" max="13571" width="10" style="3" customWidth="1"/>
    <col min="13572" max="13572" width="9.7265625" style="3" customWidth="1"/>
    <col min="13573" max="13575" width="0" style="3" hidden="1" customWidth="1"/>
    <col min="13576" max="13819" width="8.81640625" style="3"/>
    <col min="13820" max="13820" width="13.26953125" style="3" customWidth="1"/>
    <col min="13821" max="13821" width="27.453125" style="3" customWidth="1"/>
    <col min="13822" max="13823" width="9.54296875" style="3" customWidth="1"/>
    <col min="13824" max="13824" width="9.7265625" style="3" customWidth="1"/>
    <col min="13825" max="13825" width="9.54296875" style="3" customWidth="1"/>
    <col min="13826" max="13826" width="12.54296875" style="3" customWidth="1"/>
    <col min="13827" max="13827" width="10" style="3" customWidth="1"/>
    <col min="13828" max="13828" width="9.7265625" style="3" customWidth="1"/>
    <col min="13829" max="13831" width="0" style="3" hidden="1" customWidth="1"/>
    <col min="13832" max="14075" width="8.81640625" style="3"/>
    <col min="14076" max="14076" width="13.26953125" style="3" customWidth="1"/>
    <col min="14077" max="14077" width="27.453125" style="3" customWidth="1"/>
    <col min="14078" max="14079" width="9.54296875" style="3" customWidth="1"/>
    <col min="14080" max="14080" width="9.7265625" style="3" customWidth="1"/>
    <col min="14081" max="14081" width="9.54296875" style="3" customWidth="1"/>
    <col min="14082" max="14082" width="12.54296875" style="3" customWidth="1"/>
    <col min="14083" max="14083" width="10" style="3" customWidth="1"/>
    <col min="14084" max="14084" width="9.7265625" style="3" customWidth="1"/>
    <col min="14085" max="14087" width="0" style="3" hidden="1" customWidth="1"/>
    <col min="14088" max="14331" width="8.81640625" style="3"/>
    <col min="14332" max="14332" width="13.26953125" style="3" customWidth="1"/>
    <col min="14333" max="14333" width="27.453125" style="3" customWidth="1"/>
    <col min="14334" max="14335" width="9.54296875" style="3" customWidth="1"/>
    <col min="14336" max="14336" width="9.7265625" style="3" customWidth="1"/>
    <col min="14337" max="14337" width="9.54296875" style="3" customWidth="1"/>
    <col min="14338" max="14338" width="12.54296875" style="3" customWidth="1"/>
    <col min="14339" max="14339" width="10" style="3" customWidth="1"/>
    <col min="14340" max="14340" width="9.7265625" style="3" customWidth="1"/>
    <col min="14341" max="14343" width="0" style="3" hidden="1" customWidth="1"/>
    <col min="14344" max="14587" width="8.81640625" style="3"/>
    <col min="14588" max="14588" width="13.26953125" style="3" customWidth="1"/>
    <col min="14589" max="14589" width="27.453125" style="3" customWidth="1"/>
    <col min="14590" max="14591" width="9.54296875" style="3" customWidth="1"/>
    <col min="14592" max="14592" width="9.7265625" style="3" customWidth="1"/>
    <col min="14593" max="14593" width="9.54296875" style="3" customWidth="1"/>
    <col min="14594" max="14594" width="12.54296875" style="3" customWidth="1"/>
    <col min="14595" max="14595" width="10" style="3" customWidth="1"/>
    <col min="14596" max="14596" width="9.7265625" style="3" customWidth="1"/>
    <col min="14597" max="14599" width="0" style="3" hidden="1" customWidth="1"/>
    <col min="14600" max="14843" width="8.81640625" style="3"/>
    <col min="14844" max="14844" width="13.26953125" style="3" customWidth="1"/>
    <col min="14845" max="14845" width="27.453125" style="3" customWidth="1"/>
    <col min="14846" max="14847" width="9.54296875" style="3" customWidth="1"/>
    <col min="14848" max="14848" width="9.7265625" style="3" customWidth="1"/>
    <col min="14849" max="14849" width="9.54296875" style="3" customWidth="1"/>
    <col min="14850" max="14850" width="12.54296875" style="3" customWidth="1"/>
    <col min="14851" max="14851" width="10" style="3" customWidth="1"/>
    <col min="14852" max="14852" width="9.7265625" style="3" customWidth="1"/>
    <col min="14853" max="14855" width="0" style="3" hidden="1" customWidth="1"/>
    <col min="14856" max="15099" width="8.81640625" style="3"/>
    <col min="15100" max="15100" width="13.26953125" style="3" customWidth="1"/>
    <col min="15101" max="15101" width="27.453125" style="3" customWidth="1"/>
    <col min="15102" max="15103" width="9.54296875" style="3" customWidth="1"/>
    <col min="15104" max="15104" width="9.7265625" style="3" customWidth="1"/>
    <col min="15105" max="15105" width="9.54296875" style="3" customWidth="1"/>
    <col min="15106" max="15106" width="12.54296875" style="3" customWidth="1"/>
    <col min="15107" max="15107" width="10" style="3" customWidth="1"/>
    <col min="15108" max="15108" width="9.7265625" style="3" customWidth="1"/>
    <col min="15109" max="15111" width="0" style="3" hidden="1" customWidth="1"/>
    <col min="15112" max="15355" width="8.81640625" style="3"/>
    <col min="15356" max="15356" width="13.26953125" style="3" customWidth="1"/>
    <col min="15357" max="15357" width="27.453125" style="3" customWidth="1"/>
    <col min="15358" max="15359" width="9.54296875" style="3" customWidth="1"/>
    <col min="15360" max="15360" width="9.7265625" style="3" customWidth="1"/>
    <col min="15361" max="15361" width="9.54296875" style="3" customWidth="1"/>
    <col min="15362" max="15362" width="12.54296875" style="3" customWidth="1"/>
    <col min="15363" max="15363" width="10" style="3" customWidth="1"/>
    <col min="15364" max="15364" width="9.7265625" style="3" customWidth="1"/>
    <col min="15365" max="15367" width="0" style="3" hidden="1" customWidth="1"/>
    <col min="15368" max="15611" width="8.81640625" style="3"/>
    <col min="15612" max="15612" width="13.26953125" style="3" customWidth="1"/>
    <col min="15613" max="15613" width="27.453125" style="3" customWidth="1"/>
    <col min="15614" max="15615" width="9.54296875" style="3" customWidth="1"/>
    <col min="15616" max="15616" width="9.7265625" style="3" customWidth="1"/>
    <col min="15617" max="15617" width="9.54296875" style="3" customWidth="1"/>
    <col min="15618" max="15618" width="12.54296875" style="3" customWidth="1"/>
    <col min="15619" max="15619" width="10" style="3" customWidth="1"/>
    <col min="15620" max="15620" width="9.7265625" style="3" customWidth="1"/>
    <col min="15621" max="15623" width="0" style="3" hidden="1" customWidth="1"/>
    <col min="15624" max="15867" width="8.81640625" style="3"/>
    <col min="15868" max="15868" width="13.26953125" style="3" customWidth="1"/>
    <col min="15869" max="15869" width="27.453125" style="3" customWidth="1"/>
    <col min="15870" max="15871" width="9.54296875" style="3" customWidth="1"/>
    <col min="15872" max="15872" width="9.7265625" style="3" customWidth="1"/>
    <col min="15873" max="15873" width="9.54296875" style="3" customWidth="1"/>
    <col min="15874" max="15874" width="12.54296875" style="3" customWidth="1"/>
    <col min="15875" max="15875" width="10" style="3" customWidth="1"/>
    <col min="15876" max="15876" width="9.7265625" style="3" customWidth="1"/>
    <col min="15877" max="15879" width="0" style="3" hidden="1" customWidth="1"/>
    <col min="15880" max="16123" width="8.81640625" style="3"/>
    <col min="16124" max="16124" width="13.26953125" style="3" customWidth="1"/>
    <col min="16125" max="16125" width="27.453125" style="3" customWidth="1"/>
    <col min="16126" max="16127" width="9.54296875" style="3" customWidth="1"/>
    <col min="16128" max="16128" width="9.7265625" style="3" customWidth="1"/>
    <col min="16129" max="16129" width="9.54296875" style="3" customWidth="1"/>
    <col min="16130" max="16130" width="12.54296875" style="3" customWidth="1"/>
    <col min="16131" max="16131" width="10" style="3" customWidth="1"/>
    <col min="16132" max="16132" width="9.7265625" style="3" customWidth="1"/>
    <col min="16133" max="16135" width="0" style="3" hidden="1" customWidth="1"/>
    <col min="16136" max="16378" width="8.81640625" style="3"/>
    <col min="16379" max="16384" width="9.1796875" style="3" customWidth="1"/>
  </cols>
  <sheetData>
    <row r="1" spans="1:13" s="1" customFormat="1" x14ac:dyDescent="0.35">
      <c r="A1" s="1228" t="s">
        <v>0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279"/>
    </row>
    <row r="2" spans="1:13" s="1" customFormat="1" x14ac:dyDescent="0.35">
      <c r="A2" s="1228" t="s">
        <v>297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279"/>
    </row>
    <row r="3" spans="1:13" s="1" customFormat="1" x14ac:dyDescent="0.35">
      <c r="A3" s="1229">
        <v>2019</v>
      </c>
      <c r="B3" s="1229"/>
      <c r="C3" s="1229"/>
      <c r="D3" s="1229"/>
      <c r="E3" s="1229"/>
      <c r="F3" s="1229"/>
      <c r="G3" s="1229"/>
      <c r="H3" s="1229"/>
      <c r="I3" s="1229"/>
      <c r="J3" s="1229"/>
      <c r="K3" s="1229"/>
      <c r="L3" s="544"/>
    </row>
    <row r="5" spans="1:13" ht="9" customHeight="1" thickBot="1" x14ac:dyDescent="0.4"/>
    <row r="6" spans="1:13" s="1" customFormat="1" x14ac:dyDescent="0.35">
      <c r="A6" s="1217" t="s">
        <v>3</v>
      </c>
      <c r="B6" s="1218"/>
      <c r="C6" s="1218"/>
      <c r="D6" s="1218"/>
      <c r="E6" s="1218"/>
      <c r="F6" s="1218"/>
      <c r="G6" s="1218"/>
      <c r="H6" s="1218"/>
      <c r="I6" s="1218"/>
      <c r="J6" s="1218"/>
      <c r="K6" s="1218"/>
      <c r="L6" s="1230"/>
      <c r="M6" s="1" t="s">
        <v>301</v>
      </c>
    </row>
    <row r="7" spans="1:13" s="1" customFormat="1" ht="16" thickBot="1" x14ac:dyDescent="0.4">
      <c r="A7" s="585"/>
      <c r="B7" s="2"/>
      <c r="C7" s="5"/>
      <c r="D7" s="586"/>
      <c r="E7" s="5"/>
      <c r="F7" s="5"/>
      <c r="G7" s="5"/>
      <c r="H7" s="5"/>
      <c r="I7" s="5"/>
      <c r="J7" s="3"/>
      <c r="K7" s="21"/>
      <c r="L7" s="587"/>
      <c r="M7" s="22">
        <f>C144+C239+C252+C277+C289+C300</f>
        <v>193.49799999999999</v>
      </c>
    </row>
    <row r="8" spans="1:13" s="1" customFormat="1" ht="21" customHeight="1" x14ac:dyDescent="0.35">
      <c r="A8" s="1206" t="s">
        <v>302</v>
      </c>
      <c r="B8" s="1208" t="s">
        <v>28</v>
      </c>
      <c r="C8" s="1210" t="s">
        <v>303</v>
      </c>
      <c r="D8" s="1231" t="s">
        <v>304</v>
      </c>
      <c r="E8" s="1212" t="s">
        <v>305</v>
      </c>
      <c r="F8" s="1212"/>
      <c r="G8" s="1212"/>
      <c r="H8" s="1212"/>
      <c r="I8" s="1212"/>
      <c r="J8" s="1208" t="s">
        <v>29</v>
      </c>
      <c r="K8" s="1213" t="s">
        <v>306</v>
      </c>
      <c r="L8" s="1222" t="s">
        <v>307</v>
      </c>
    </row>
    <row r="9" spans="1:13" s="1" customFormat="1" ht="31.5" customHeight="1" thickBot="1" x14ac:dyDescent="0.4">
      <c r="A9" s="1207"/>
      <c r="B9" s="1209"/>
      <c r="C9" s="1211"/>
      <c r="D9" s="1232"/>
      <c r="E9" s="7" t="s">
        <v>308</v>
      </c>
      <c r="F9" s="7" t="s">
        <v>309</v>
      </c>
      <c r="G9" s="7" t="s">
        <v>310</v>
      </c>
      <c r="H9" s="7" t="s">
        <v>311</v>
      </c>
      <c r="I9" s="7" t="s">
        <v>312</v>
      </c>
      <c r="J9" s="1209"/>
      <c r="K9" s="1214"/>
      <c r="L9" s="1223"/>
      <c r="M9" s="1" t="e">
        <f>(#REF!/#REF!)*100</f>
        <v>#REF!</v>
      </c>
    </row>
    <row r="10" spans="1:13" s="16" customFormat="1" ht="17.149999999999999" customHeight="1" x14ac:dyDescent="0.35">
      <c r="A10" s="589">
        <v>219</v>
      </c>
      <c r="B10" s="110" t="s">
        <v>214</v>
      </c>
      <c r="C10" s="15">
        <f>SUM(E10:I10)</f>
        <v>0.4</v>
      </c>
      <c r="D10" s="590">
        <f>'[23]road inventory 2018'!C10</f>
        <v>0.65</v>
      </c>
      <c r="E10" s="15">
        <v>0</v>
      </c>
      <c r="F10" s="15">
        <v>0</v>
      </c>
      <c r="G10" s="15">
        <v>0</v>
      </c>
      <c r="H10" s="15">
        <v>0.4</v>
      </c>
      <c r="I10" s="15">
        <v>0</v>
      </c>
      <c r="J10" s="106" t="s">
        <v>12</v>
      </c>
      <c r="K10" s="591" t="s">
        <v>313</v>
      </c>
      <c r="L10" s="592"/>
    </row>
    <row r="11" spans="1:13" s="16" customFormat="1" ht="16.5" customHeight="1" x14ac:dyDescent="0.35">
      <c r="A11" s="589">
        <v>1</v>
      </c>
      <c r="B11" s="14" t="s">
        <v>314</v>
      </c>
      <c r="C11" s="15">
        <f t="shared" ref="C11:C28" si="0">SUM(E11:I11)</f>
        <v>5.48</v>
      </c>
      <c r="D11" s="590">
        <f>'[23]road inventory 2018'!C11</f>
        <v>5.5</v>
      </c>
      <c r="E11" s="594">
        <v>2.87</v>
      </c>
      <c r="F11" s="594">
        <v>0</v>
      </c>
      <c r="G11" s="15">
        <v>0</v>
      </c>
      <c r="H11" s="594">
        <v>2.61</v>
      </c>
      <c r="I11" s="594">
        <v>0</v>
      </c>
      <c r="J11" s="24" t="s">
        <v>12</v>
      </c>
      <c r="K11" s="591" t="s">
        <v>315</v>
      </c>
      <c r="L11" s="24"/>
      <c r="M11" s="595">
        <f>D144+D227+D239+D252+D277+D289+D300+C306</f>
        <v>216.613</v>
      </c>
    </row>
    <row r="12" spans="1:13" ht="16.5" customHeight="1" x14ac:dyDescent="0.35">
      <c r="A12" s="596">
        <v>2</v>
      </c>
      <c r="B12" s="9" t="s">
        <v>212</v>
      </c>
      <c r="C12" s="15">
        <f t="shared" si="0"/>
        <v>0.91999999999999993</v>
      </c>
      <c r="D12" s="590">
        <f>'[23]road inventory 2018'!C12</f>
        <v>0.8</v>
      </c>
      <c r="E12" s="11">
        <v>7.0000000000000007E-2</v>
      </c>
      <c r="F12" s="11">
        <v>0</v>
      </c>
      <c r="G12" s="11">
        <v>0</v>
      </c>
      <c r="H12" s="11">
        <v>0.85</v>
      </c>
      <c r="I12" s="11">
        <v>0</v>
      </c>
      <c r="J12" s="28" t="s">
        <v>10</v>
      </c>
      <c r="K12" s="597" t="s">
        <v>316</v>
      </c>
      <c r="L12" s="28"/>
    </row>
    <row r="13" spans="1:13" s="16" customFormat="1" ht="17.149999999999999" customHeight="1" x14ac:dyDescent="0.35">
      <c r="A13" s="589">
        <v>3</v>
      </c>
      <c r="B13" s="14" t="s">
        <v>217</v>
      </c>
      <c r="C13" s="15">
        <f t="shared" si="0"/>
        <v>4.97</v>
      </c>
      <c r="D13" s="590">
        <f>'[23]road inventory 2018'!C13</f>
        <v>4.9000000000000004</v>
      </c>
      <c r="E13" s="594">
        <v>0</v>
      </c>
      <c r="F13" s="594">
        <v>0</v>
      </c>
      <c r="G13" s="594">
        <v>0</v>
      </c>
      <c r="H13" s="594">
        <v>4.97</v>
      </c>
      <c r="I13" s="594">
        <v>0</v>
      </c>
      <c r="J13" s="106" t="s">
        <v>12</v>
      </c>
      <c r="K13" s="591" t="s">
        <v>318</v>
      </c>
      <c r="L13" s="24"/>
    </row>
    <row r="14" spans="1:13" ht="17.149999999999999" customHeight="1" x14ac:dyDescent="0.35">
      <c r="A14" s="596">
        <v>93</v>
      </c>
      <c r="B14" s="9" t="s">
        <v>13</v>
      </c>
      <c r="C14" s="15">
        <f t="shared" si="0"/>
        <v>3.9</v>
      </c>
      <c r="D14" s="590">
        <f>'[23]road inventory 2018'!C15</f>
        <v>3.9</v>
      </c>
      <c r="E14" s="11">
        <v>3.9</v>
      </c>
      <c r="F14" s="11">
        <v>0</v>
      </c>
      <c r="G14" s="11">
        <v>0</v>
      </c>
      <c r="H14" s="11">
        <v>0</v>
      </c>
      <c r="I14" s="11">
        <v>0</v>
      </c>
      <c r="J14" s="103" t="e">
        <f>#REF!</f>
        <v>#REF!</v>
      </c>
      <c r="K14" s="597" t="s">
        <v>320</v>
      </c>
      <c r="L14" s="28"/>
    </row>
    <row r="15" spans="1:13" s="16" customFormat="1" ht="17.149999999999999" customHeight="1" x14ac:dyDescent="0.35">
      <c r="A15" s="589">
        <v>218</v>
      </c>
      <c r="B15" s="14" t="s">
        <v>213</v>
      </c>
      <c r="C15" s="15">
        <f t="shared" si="0"/>
        <v>5.61</v>
      </c>
      <c r="D15" s="590">
        <f>'[23]road inventory 2018'!C16</f>
        <v>5.8</v>
      </c>
      <c r="E15" s="594">
        <v>0</v>
      </c>
      <c r="F15" s="594">
        <v>0</v>
      </c>
      <c r="G15" s="594">
        <v>0</v>
      </c>
      <c r="H15" s="594">
        <v>5.61</v>
      </c>
      <c r="I15" s="594">
        <v>0</v>
      </c>
      <c r="J15" s="106" t="s">
        <v>12</v>
      </c>
      <c r="K15" s="591" t="s">
        <v>316</v>
      </c>
      <c r="L15" s="24"/>
    </row>
    <row r="16" spans="1:13" s="16" customFormat="1" ht="17.149999999999999" customHeight="1" x14ac:dyDescent="0.35">
      <c r="A16" s="589">
        <v>5</v>
      </c>
      <c r="B16" s="14" t="s">
        <v>16</v>
      </c>
      <c r="C16" s="15">
        <f t="shared" si="0"/>
        <v>2.85</v>
      </c>
      <c r="D16" s="590">
        <f>'[23]road inventory 2018'!C17</f>
        <v>2.8</v>
      </c>
      <c r="E16" s="594">
        <v>2.85</v>
      </c>
      <c r="F16" s="594">
        <v>0</v>
      </c>
      <c r="G16" s="594">
        <v>0</v>
      </c>
      <c r="H16" s="594">
        <v>0</v>
      </c>
      <c r="I16" s="594">
        <v>0</v>
      </c>
      <c r="J16" s="106" t="s">
        <v>10</v>
      </c>
      <c r="K16" s="591" t="s">
        <v>320</v>
      </c>
      <c r="L16" s="24"/>
    </row>
    <row r="17" spans="1:12" ht="17.149999999999999" customHeight="1" x14ac:dyDescent="0.35">
      <c r="A17" s="596">
        <v>6</v>
      </c>
      <c r="B17" s="9" t="s">
        <v>220</v>
      </c>
      <c r="C17" s="15">
        <f t="shared" si="0"/>
        <v>3.96</v>
      </c>
      <c r="D17" s="590">
        <f>'[23]road inventory 2018'!C18</f>
        <v>3.9</v>
      </c>
      <c r="E17" s="11">
        <v>2.7</v>
      </c>
      <c r="F17" s="11">
        <v>0</v>
      </c>
      <c r="G17" s="11">
        <v>0</v>
      </c>
      <c r="H17" s="11">
        <v>1.26</v>
      </c>
      <c r="I17" s="11">
        <v>0</v>
      </c>
      <c r="J17" s="103" t="s">
        <v>10</v>
      </c>
      <c r="K17" s="597" t="s">
        <v>315</v>
      </c>
      <c r="L17" s="28"/>
    </row>
    <row r="18" spans="1:12" s="16" customFormat="1" ht="17.149999999999999" customHeight="1" x14ac:dyDescent="0.35">
      <c r="A18" s="589">
        <v>7</v>
      </c>
      <c r="B18" s="14" t="s">
        <v>205</v>
      </c>
      <c r="C18" s="15">
        <f t="shared" si="0"/>
        <v>1.1499999999999999</v>
      </c>
      <c r="D18" s="590">
        <f>'[23]road inventory 2018'!C19</f>
        <v>1.1000000000000001</v>
      </c>
      <c r="E18" s="594">
        <v>1.1499999999999999</v>
      </c>
      <c r="F18" s="594">
        <v>0</v>
      </c>
      <c r="G18" s="594">
        <v>0</v>
      </c>
      <c r="H18" s="594">
        <v>0</v>
      </c>
      <c r="I18" s="594">
        <v>0</v>
      </c>
      <c r="J18" s="106" t="s">
        <v>10</v>
      </c>
      <c r="K18" s="591" t="s">
        <v>321</v>
      </c>
      <c r="L18" s="24"/>
    </row>
    <row r="19" spans="1:12" s="16" customFormat="1" ht="17.149999999999999" customHeight="1" x14ac:dyDescent="0.35">
      <c r="A19" s="589">
        <v>8</v>
      </c>
      <c r="B19" s="14" t="s">
        <v>324</v>
      </c>
      <c r="C19" s="15">
        <f t="shared" si="0"/>
        <v>0.64</v>
      </c>
      <c r="D19" s="590">
        <f>'[23]road inventory 2018'!C20</f>
        <v>0.6</v>
      </c>
      <c r="E19" s="594">
        <v>0.64</v>
      </c>
      <c r="F19" s="594">
        <v>0</v>
      </c>
      <c r="G19" s="594">
        <v>0</v>
      </c>
      <c r="H19" s="594">
        <v>0</v>
      </c>
      <c r="I19" s="594">
        <v>0</v>
      </c>
      <c r="J19" s="106" t="s">
        <v>10</v>
      </c>
      <c r="K19" s="591" t="s">
        <v>325</v>
      </c>
      <c r="L19" s="24"/>
    </row>
    <row r="20" spans="1:12" s="16" customFormat="1" ht="17.149999999999999" customHeight="1" x14ac:dyDescent="0.35">
      <c r="A20" s="589">
        <v>9</v>
      </c>
      <c r="B20" s="14" t="s">
        <v>19</v>
      </c>
      <c r="C20" s="15">
        <f t="shared" si="0"/>
        <v>9.3000000000000007</v>
      </c>
      <c r="D20" s="590">
        <f>'[23]road inventory 2018'!C21</f>
        <v>9</v>
      </c>
      <c r="E20" s="594">
        <v>9.3000000000000007</v>
      </c>
      <c r="F20" s="594">
        <v>0</v>
      </c>
      <c r="G20" s="594">
        <v>0</v>
      </c>
      <c r="H20" s="594">
        <v>0</v>
      </c>
      <c r="I20" s="594">
        <v>0</v>
      </c>
      <c r="J20" s="106" t="s">
        <v>10</v>
      </c>
      <c r="K20" s="591" t="s">
        <v>326</v>
      </c>
      <c r="L20" s="24"/>
    </row>
    <row r="21" spans="1:12" s="16" customFormat="1" ht="17.149999999999999" customHeight="1" x14ac:dyDescent="0.35">
      <c r="A21" s="589">
        <v>10</v>
      </c>
      <c r="B21" s="14" t="s">
        <v>23</v>
      </c>
      <c r="C21" s="15">
        <f t="shared" si="0"/>
        <v>13.79</v>
      </c>
      <c r="D21" s="590">
        <f>'[23]road inventory 2018'!C22</f>
        <v>13.6</v>
      </c>
      <c r="E21" s="594">
        <v>8.7899999999999991</v>
      </c>
      <c r="F21" s="594">
        <v>0</v>
      </c>
      <c r="G21" s="594">
        <v>0</v>
      </c>
      <c r="H21" s="594">
        <v>5</v>
      </c>
      <c r="I21" s="594">
        <v>0</v>
      </c>
      <c r="J21" s="106" t="str">
        <f>J20</f>
        <v>Good</v>
      </c>
      <c r="K21" s="591" t="s">
        <v>327</v>
      </c>
      <c r="L21" s="24"/>
    </row>
    <row r="22" spans="1:12" s="16" customFormat="1" ht="17.149999999999999" customHeight="1" x14ac:dyDescent="0.35">
      <c r="A22" s="589">
        <v>11</v>
      </c>
      <c r="B22" s="14" t="s">
        <v>223</v>
      </c>
      <c r="C22" s="15">
        <f t="shared" si="0"/>
        <v>2.27</v>
      </c>
      <c r="D22" s="590">
        <f>'[23]road inventory 2018'!C23</f>
        <v>2.2000000000000002</v>
      </c>
      <c r="E22" s="594">
        <v>0.21</v>
      </c>
      <c r="F22" s="594">
        <v>0</v>
      </c>
      <c r="G22" s="594">
        <v>0</v>
      </c>
      <c r="H22" s="594">
        <v>2.06</v>
      </c>
      <c r="I22" s="594">
        <v>0</v>
      </c>
      <c r="J22" s="106" t="s">
        <v>12</v>
      </c>
      <c r="K22" s="591" t="s">
        <v>328</v>
      </c>
      <c r="L22" s="24"/>
    </row>
    <row r="23" spans="1:12" s="16" customFormat="1" ht="17.149999999999999" customHeight="1" x14ac:dyDescent="0.35">
      <c r="A23" s="589">
        <v>13</v>
      </c>
      <c r="B23" s="14" t="s">
        <v>218</v>
      </c>
      <c r="C23" s="15">
        <f t="shared" si="0"/>
        <v>1.72</v>
      </c>
      <c r="D23" s="590">
        <f>'[23]road inventory 2018'!C24</f>
        <v>1.7</v>
      </c>
      <c r="E23" s="594">
        <v>0</v>
      </c>
      <c r="F23" s="594">
        <v>0</v>
      </c>
      <c r="G23" s="594">
        <v>0</v>
      </c>
      <c r="H23" s="594">
        <v>1.72</v>
      </c>
      <c r="I23" s="594">
        <v>0</v>
      </c>
      <c r="J23" s="106" t="s">
        <v>12</v>
      </c>
      <c r="K23" s="591" t="s">
        <v>329</v>
      </c>
      <c r="L23" s="24"/>
    </row>
    <row r="24" spans="1:12" s="16" customFormat="1" ht="17.149999999999999" customHeight="1" x14ac:dyDescent="0.35">
      <c r="A24" s="589">
        <v>14</v>
      </c>
      <c r="B24" s="14" t="s">
        <v>215</v>
      </c>
      <c r="C24" s="15">
        <f t="shared" si="0"/>
        <v>4.12</v>
      </c>
      <c r="D24" s="590">
        <f>'[23]road inventory 2018'!C27</f>
        <v>4</v>
      </c>
      <c r="E24" s="594">
        <v>4.12</v>
      </c>
      <c r="F24" s="594">
        <v>0</v>
      </c>
      <c r="G24" s="594">
        <v>0</v>
      </c>
      <c r="H24" s="594">
        <v>0</v>
      </c>
      <c r="I24" s="594">
        <v>0</v>
      </c>
      <c r="J24" s="106" t="s">
        <v>10</v>
      </c>
      <c r="K24" s="591" t="s">
        <v>327</v>
      </c>
      <c r="L24" s="24"/>
    </row>
    <row r="25" spans="1:12" s="16" customFormat="1" ht="17.149999999999999" customHeight="1" x14ac:dyDescent="0.35">
      <c r="A25" s="589">
        <v>16</v>
      </c>
      <c r="B25" s="14" t="s">
        <v>25</v>
      </c>
      <c r="C25" s="15">
        <f t="shared" si="0"/>
        <v>1.05</v>
      </c>
      <c r="D25" s="590">
        <f>'[23]road inventory 2018'!C29</f>
        <v>1</v>
      </c>
      <c r="E25" s="594">
        <v>0</v>
      </c>
      <c r="F25" s="594">
        <v>0</v>
      </c>
      <c r="G25" s="594">
        <v>0</v>
      </c>
      <c r="H25" s="594">
        <v>1.05</v>
      </c>
      <c r="I25" s="594">
        <v>0</v>
      </c>
      <c r="J25" s="106" t="s">
        <v>12</v>
      </c>
      <c r="K25" s="591" t="s">
        <v>337</v>
      </c>
      <c r="L25" s="24"/>
    </row>
    <row r="26" spans="1:12" s="16" customFormat="1" ht="17.149999999999999" customHeight="1" x14ac:dyDescent="0.35">
      <c r="A26" s="589">
        <v>17</v>
      </c>
      <c r="B26" s="14" t="s">
        <v>216</v>
      </c>
      <c r="C26" s="15">
        <f t="shared" si="0"/>
        <v>4.18</v>
      </c>
      <c r="D26" s="590">
        <f>'[23]road inventory 2018'!C30</f>
        <v>4</v>
      </c>
      <c r="E26" s="594">
        <v>4.18</v>
      </c>
      <c r="F26" s="594">
        <v>0</v>
      </c>
      <c r="G26" s="594">
        <v>0</v>
      </c>
      <c r="H26" s="594">
        <v>0</v>
      </c>
      <c r="I26" s="594">
        <v>0</v>
      </c>
      <c r="J26" s="106" t="s">
        <v>12</v>
      </c>
      <c r="K26" s="591" t="s">
        <v>339</v>
      </c>
      <c r="L26" s="24"/>
    </row>
    <row r="27" spans="1:12" s="16" customFormat="1" ht="16.149999999999999" customHeight="1" x14ac:dyDescent="0.35">
      <c r="A27" s="589">
        <v>18</v>
      </c>
      <c r="B27" s="14" t="s">
        <v>27</v>
      </c>
      <c r="C27" s="15">
        <f t="shared" si="0"/>
        <v>10.52</v>
      </c>
      <c r="D27" s="590">
        <f>'[23]road inventory 2018'!C31</f>
        <v>10.5</v>
      </c>
      <c r="E27" s="594">
        <v>4.54</v>
      </c>
      <c r="F27" s="594">
        <v>0</v>
      </c>
      <c r="G27" s="594">
        <v>0</v>
      </c>
      <c r="H27" s="594">
        <v>5.98</v>
      </c>
      <c r="I27" s="594">
        <v>0</v>
      </c>
      <c r="J27" s="106" t="s">
        <v>12</v>
      </c>
      <c r="K27" s="591" t="s">
        <v>335</v>
      </c>
      <c r="L27" s="24"/>
    </row>
    <row r="28" spans="1:12" s="16" customFormat="1" ht="27" customHeight="1" x14ac:dyDescent="0.35">
      <c r="A28" s="589">
        <v>221</v>
      </c>
      <c r="B28" s="14" t="s">
        <v>219</v>
      </c>
      <c r="C28" s="15">
        <f t="shared" si="0"/>
        <v>4.53</v>
      </c>
      <c r="D28" s="590">
        <f>'[23]road inventory 2018'!C32</f>
        <v>5.2</v>
      </c>
      <c r="E28" s="594">
        <v>0</v>
      </c>
      <c r="F28" s="594">
        <v>0</v>
      </c>
      <c r="G28" s="594">
        <v>0</v>
      </c>
      <c r="H28" s="594">
        <v>4.53</v>
      </c>
      <c r="I28" s="594">
        <v>0</v>
      </c>
      <c r="J28" s="106" t="s">
        <v>12</v>
      </c>
      <c r="K28" s="591" t="s">
        <v>340</v>
      </c>
      <c r="L28" s="24"/>
    </row>
    <row r="29" spans="1:12" ht="15" hidden="1" customHeight="1" x14ac:dyDescent="0.35">
      <c r="A29" s="601"/>
      <c r="B29" s="602"/>
      <c r="C29" s="603">
        <f t="shared" ref="C29:I29" si="1">SUM(C10:C28)</f>
        <v>81.36</v>
      </c>
      <c r="D29" s="604">
        <f t="shared" si="1"/>
        <v>81.15000000000002</v>
      </c>
      <c r="E29" s="603">
        <f t="shared" si="1"/>
        <v>45.32</v>
      </c>
      <c r="F29" s="603">
        <f t="shared" si="1"/>
        <v>0</v>
      </c>
      <c r="G29" s="603">
        <f t="shared" si="1"/>
        <v>0</v>
      </c>
      <c r="H29" s="603">
        <f t="shared" si="1"/>
        <v>36.04</v>
      </c>
      <c r="I29" s="603">
        <f t="shared" si="1"/>
        <v>0</v>
      </c>
      <c r="J29" s="109"/>
      <c r="K29" s="605"/>
      <c r="L29" s="28"/>
    </row>
    <row r="30" spans="1:12" s="1" customFormat="1" ht="22.5" customHeight="1" thickBot="1" x14ac:dyDescent="0.4">
      <c r="A30" s="606" t="s">
        <v>341</v>
      </c>
      <c r="B30" s="18"/>
      <c r="C30" s="19">
        <f>E30+F30+G30+H30+I30</f>
        <v>81.36</v>
      </c>
      <c r="D30" s="607"/>
      <c r="E30" s="19">
        <f>SUM(E10:E28)</f>
        <v>45.32</v>
      </c>
      <c r="F30" s="19">
        <f>SUM(F10:F28)</f>
        <v>0</v>
      </c>
      <c r="G30" s="19">
        <f>SUM(G10:G28)</f>
        <v>0</v>
      </c>
      <c r="H30" s="19">
        <f>SUM(H10:H28)</f>
        <v>36.04</v>
      </c>
      <c r="I30" s="19">
        <f>SUM(I10:I28)</f>
        <v>0</v>
      </c>
      <c r="J30" s="608"/>
      <c r="K30" s="609"/>
      <c r="L30" s="97"/>
    </row>
    <row r="31" spans="1:12" s="1" customFormat="1" ht="16" thickBot="1" x14ac:dyDescent="0.4">
      <c r="A31" s="544"/>
      <c r="B31" s="21"/>
      <c r="C31" s="22"/>
      <c r="D31" s="610"/>
      <c r="E31" s="22"/>
      <c r="F31" s="22"/>
      <c r="G31" s="22"/>
      <c r="H31" s="22"/>
      <c r="I31" s="22"/>
      <c r="K31" s="21"/>
      <c r="L31" s="611"/>
    </row>
    <row r="32" spans="1:12" s="1" customFormat="1" x14ac:dyDescent="0.35">
      <c r="A32" s="1217" t="s">
        <v>342</v>
      </c>
      <c r="B32" s="1218"/>
      <c r="C32" s="1218"/>
      <c r="D32" s="1218"/>
      <c r="E32" s="1218"/>
      <c r="F32" s="1218"/>
      <c r="G32" s="1218"/>
      <c r="H32" s="1218"/>
      <c r="I32" s="1218"/>
      <c r="J32" s="1218"/>
      <c r="K32" s="1218"/>
      <c r="L32" s="1219"/>
    </row>
    <row r="33" spans="1:12" s="1" customFormat="1" ht="16" thickBot="1" x14ac:dyDescent="0.4">
      <c r="A33" s="585"/>
      <c r="B33" s="2"/>
      <c r="C33" s="5"/>
      <c r="D33" s="586"/>
      <c r="E33" s="5"/>
      <c r="F33" s="5"/>
      <c r="G33" s="5"/>
      <c r="H33" s="5"/>
      <c r="I33" s="5"/>
      <c r="J33" s="3"/>
      <c r="K33" s="21"/>
      <c r="L33" s="18"/>
    </row>
    <row r="34" spans="1:12" s="1" customFormat="1" ht="21" customHeight="1" x14ac:dyDescent="0.35">
      <c r="A34" s="1206" t="s">
        <v>302</v>
      </c>
      <c r="B34" s="1208" t="s">
        <v>28</v>
      </c>
      <c r="C34" s="1210" t="s">
        <v>343</v>
      </c>
      <c r="D34" s="613"/>
      <c r="E34" s="1212" t="s">
        <v>305</v>
      </c>
      <c r="F34" s="1212"/>
      <c r="G34" s="1212"/>
      <c r="H34" s="1212"/>
      <c r="I34" s="1212"/>
      <c r="J34" s="1208" t="s">
        <v>29</v>
      </c>
      <c r="K34" s="1213" t="s">
        <v>306</v>
      </c>
      <c r="L34" s="1222" t="s">
        <v>307</v>
      </c>
    </row>
    <row r="35" spans="1:12" s="1" customFormat="1" ht="21" customHeight="1" thickBot="1" x14ac:dyDescent="0.4">
      <c r="A35" s="1207"/>
      <c r="B35" s="1209"/>
      <c r="C35" s="1211"/>
      <c r="D35" s="614"/>
      <c r="E35" s="7" t="s">
        <v>308</v>
      </c>
      <c r="F35" s="7" t="s">
        <v>309</v>
      </c>
      <c r="G35" s="7" t="s">
        <v>310</v>
      </c>
      <c r="H35" s="7" t="s">
        <v>311</v>
      </c>
      <c r="I35" s="7" t="s">
        <v>312</v>
      </c>
      <c r="J35" s="1209"/>
      <c r="K35" s="1214"/>
      <c r="L35" s="1223"/>
    </row>
    <row r="36" spans="1:12" s="1" customFormat="1" ht="16.5" customHeight="1" x14ac:dyDescent="0.35">
      <c r="A36" s="596">
        <v>21</v>
      </c>
      <c r="B36" s="28" t="s">
        <v>241</v>
      </c>
      <c r="C36" s="10">
        <f>SUM(E36:I36)</f>
        <v>4.32</v>
      </c>
      <c r="D36" s="615">
        <f>'[23]road inventory 2018'!C41</f>
        <v>4.3</v>
      </c>
      <c r="E36" s="10">
        <v>4.1100000000000003</v>
      </c>
      <c r="F36" s="10">
        <v>0</v>
      </c>
      <c r="G36" s="10">
        <v>0</v>
      </c>
      <c r="H36" s="10">
        <v>0.21</v>
      </c>
      <c r="I36" s="10">
        <v>0</v>
      </c>
      <c r="J36" s="103" t="s">
        <v>10</v>
      </c>
      <c r="K36" s="597" t="s">
        <v>345</v>
      </c>
      <c r="L36" s="112"/>
    </row>
    <row r="37" spans="1:12" s="26" customFormat="1" ht="16.5" customHeight="1" x14ac:dyDescent="0.35">
      <c r="A37" s="589">
        <v>22</v>
      </c>
      <c r="B37" s="24" t="s">
        <v>225</v>
      </c>
      <c r="C37" s="10">
        <f t="shared" ref="C37:C56" si="2">SUM(E37:I37)</f>
        <v>4.01</v>
      </c>
      <c r="D37" s="615">
        <f>'[23]road inventory 2018'!C42</f>
        <v>3.9</v>
      </c>
      <c r="E37" s="15">
        <v>0</v>
      </c>
      <c r="F37" s="15">
        <v>0</v>
      </c>
      <c r="G37" s="15">
        <v>0</v>
      </c>
      <c r="H37" s="15">
        <v>4.01</v>
      </c>
      <c r="I37" s="15">
        <v>0</v>
      </c>
      <c r="J37" s="106" t="s">
        <v>12</v>
      </c>
      <c r="K37" s="591" t="s">
        <v>346</v>
      </c>
      <c r="L37" s="24"/>
    </row>
    <row r="38" spans="1:12" s="26" customFormat="1" ht="16.5" customHeight="1" x14ac:dyDescent="0.35">
      <c r="A38" s="589">
        <v>23</v>
      </c>
      <c r="B38" s="24" t="s">
        <v>237</v>
      </c>
      <c r="C38" s="10">
        <f t="shared" si="2"/>
        <v>4.42</v>
      </c>
      <c r="D38" s="615">
        <f>'[23]road inventory 2018'!C43</f>
        <v>4.3</v>
      </c>
      <c r="E38" s="15">
        <v>2.9</v>
      </c>
      <c r="F38" s="15">
        <v>0</v>
      </c>
      <c r="G38" s="15">
        <v>0</v>
      </c>
      <c r="H38" s="15">
        <v>1.52</v>
      </c>
      <c r="I38" s="15">
        <v>0</v>
      </c>
      <c r="J38" s="106" t="s">
        <v>12</v>
      </c>
      <c r="K38" s="591" t="s">
        <v>347</v>
      </c>
      <c r="L38" s="24"/>
    </row>
    <row r="39" spans="1:12" s="26" customFormat="1" ht="16.5" customHeight="1" x14ac:dyDescent="0.35">
      <c r="A39" s="589">
        <v>24</v>
      </c>
      <c r="B39" s="24" t="s">
        <v>236</v>
      </c>
      <c r="C39" s="10">
        <f t="shared" si="2"/>
        <v>8.25</v>
      </c>
      <c r="D39" s="615">
        <f>'[23]road inventory 2018'!C44</f>
        <v>7.5</v>
      </c>
      <c r="E39" s="15">
        <v>8.25</v>
      </c>
      <c r="F39" s="15">
        <v>0</v>
      </c>
      <c r="G39" s="15">
        <v>0</v>
      </c>
      <c r="H39" s="15">
        <v>0</v>
      </c>
      <c r="I39" s="15">
        <v>0</v>
      </c>
      <c r="J39" s="106" t="s">
        <v>10</v>
      </c>
      <c r="K39" s="591" t="s">
        <v>347</v>
      </c>
      <c r="L39" s="24"/>
    </row>
    <row r="40" spans="1:12" s="1" customFormat="1" ht="16.5" customHeight="1" x14ac:dyDescent="0.35">
      <c r="A40" s="596">
        <v>25</v>
      </c>
      <c r="B40" s="28" t="s">
        <v>30</v>
      </c>
      <c r="C40" s="10">
        <f t="shared" si="2"/>
        <v>0.88</v>
      </c>
      <c r="D40" s="10">
        <f>'[23]road inventory 2018'!C45</f>
        <v>1.7</v>
      </c>
      <c r="E40" s="10">
        <v>0</v>
      </c>
      <c r="F40" s="10">
        <v>0</v>
      </c>
      <c r="G40" s="10">
        <v>0</v>
      </c>
      <c r="H40" s="10">
        <v>0.88</v>
      </c>
      <c r="I40" s="10">
        <v>0</v>
      </c>
      <c r="J40" s="103" t="s">
        <v>12</v>
      </c>
      <c r="K40" s="597" t="s">
        <v>348</v>
      </c>
      <c r="L40" s="28" t="s">
        <v>833</v>
      </c>
    </row>
    <row r="41" spans="1:12" s="26" customFormat="1" ht="16.5" customHeight="1" x14ac:dyDescent="0.35">
      <c r="A41" s="589">
        <v>26</v>
      </c>
      <c r="B41" s="24" t="s">
        <v>350</v>
      </c>
      <c r="C41" s="10">
        <f t="shared" si="2"/>
        <v>6.0600000000000005</v>
      </c>
      <c r="D41" s="615">
        <f>'[23]road inventory 2018'!C46</f>
        <v>5.9</v>
      </c>
      <c r="E41" s="15">
        <v>2.85</v>
      </c>
      <c r="F41" s="15">
        <v>0</v>
      </c>
      <c r="G41" s="15">
        <v>0</v>
      </c>
      <c r="H41" s="15">
        <v>3.21</v>
      </c>
      <c r="I41" s="15">
        <v>0</v>
      </c>
      <c r="J41" s="24" t="s">
        <v>12</v>
      </c>
      <c r="K41" s="591" t="s">
        <v>348</v>
      </c>
      <c r="L41" s="24"/>
    </row>
    <row r="42" spans="1:12" s="26" customFormat="1" ht="16.5" customHeight="1" x14ac:dyDescent="0.35">
      <c r="A42" s="589">
        <v>27</v>
      </c>
      <c r="B42" s="24" t="s">
        <v>224</v>
      </c>
      <c r="C42" s="10">
        <f t="shared" si="2"/>
        <v>1.93</v>
      </c>
      <c r="D42" s="615">
        <f>'[23]road inventory 2018'!C47</f>
        <v>1.9</v>
      </c>
      <c r="E42" s="15">
        <v>0.28000000000000003</v>
      </c>
      <c r="F42" s="15">
        <v>0</v>
      </c>
      <c r="G42" s="15">
        <v>0</v>
      </c>
      <c r="H42" s="15">
        <v>1.65</v>
      </c>
      <c r="I42" s="15">
        <v>0</v>
      </c>
      <c r="J42" s="106" t="s">
        <v>12</v>
      </c>
      <c r="K42" s="591" t="s">
        <v>351</v>
      </c>
      <c r="L42" s="24"/>
    </row>
    <row r="43" spans="1:12" s="26" customFormat="1" ht="16.5" customHeight="1" x14ac:dyDescent="0.35">
      <c r="A43" s="589">
        <v>28</v>
      </c>
      <c r="B43" s="24" t="s">
        <v>233</v>
      </c>
      <c r="C43" s="10">
        <f t="shared" si="2"/>
        <v>5.62</v>
      </c>
      <c r="D43" s="615">
        <f>'[23]road inventory 2018'!C48</f>
        <v>5.6</v>
      </c>
      <c r="E43" s="15">
        <v>1.54</v>
      </c>
      <c r="F43" s="15">
        <v>0</v>
      </c>
      <c r="G43" s="15">
        <v>0</v>
      </c>
      <c r="H43" s="15">
        <v>4.08</v>
      </c>
      <c r="I43" s="15">
        <v>0</v>
      </c>
      <c r="J43" s="106" t="s">
        <v>10</v>
      </c>
      <c r="K43" s="591" t="s">
        <v>352</v>
      </c>
      <c r="L43" s="24"/>
    </row>
    <row r="44" spans="1:12" s="26" customFormat="1" ht="16.5" customHeight="1" x14ac:dyDescent="0.35">
      <c r="A44" s="589">
        <v>29</v>
      </c>
      <c r="B44" s="24" t="s">
        <v>239</v>
      </c>
      <c r="C44" s="10">
        <f t="shared" si="2"/>
        <v>0.86</v>
      </c>
      <c r="D44" s="615">
        <f>'[23]road inventory 2018'!C49</f>
        <v>0.8</v>
      </c>
      <c r="E44" s="15">
        <v>0.11</v>
      </c>
      <c r="F44" s="15">
        <v>0</v>
      </c>
      <c r="G44" s="15">
        <v>0</v>
      </c>
      <c r="H44" s="15">
        <v>0.75</v>
      </c>
      <c r="I44" s="15">
        <v>0</v>
      </c>
      <c r="J44" s="106" t="s">
        <v>12</v>
      </c>
      <c r="K44" s="591" t="s">
        <v>353</v>
      </c>
      <c r="L44" s="24"/>
    </row>
    <row r="45" spans="1:12" s="1" customFormat="1" ht="16.5" customHeight="1" x14ac:dyDescent="0.35">
      <c r="A45" s="596">
        <v>30</v>
      </c>
      <c r="B45" s="28" t="s">
        <v>354</v>
      </c>
      <c r="C45" s="10">
        <f t="shared" si="2"/>
        <v>2</v>
      </c>
      <c r="D45" s="615">
        <f>'[23]road inventory 2018'!C50</f>
        <v>2</v>
      </c>
      <c r="E45" s="10">
        <v>1.5</v>
      </c>
      <c r="F45" s="10">
        <v>0</v>
      </c>
      <c r="G45" s="10">
        <v>0</v>
      </c>
      <c r="H45" s="10">
        <v>0.5</v>
      </c>
      <c r="I45" s="10">
        <v>0</v>
      </c>
      <c r="J45" s="103" t="s">
        <v>10</v>
      </c>
      <c r="K45" s="597" t="s">
        <v>355</v>
      </c>
      <c r="L45" s="28" t="s">
        <v>356</v>
      </c>
    </row>
    <row r="46" spans="1:12" s="26" customFormat="1" ht="16.5" customHeight="1" x14ac:dyDescent="0.35">
      <c r="A46" s="589">
        <v>106</v>
      </c>
      <c r="B46" s="24" t="s">
        <v>238</v>
      </c>
      <c r="C46" s="10">
        <f t="shared" si="2"/>
        <v>3.21</v>
      </c>
      <c r="D46" s="615">
        <f>'[23]road inventory 2018'!C51</f>
        <v>3.2</v>
      </c>
      <c r="E46" s="15">
        <v>3.21</v>
      </c>
      <c r="F46" s="15">
        <v>0</v>
      </c>
      <c r="G46" s="15">
        <v>0</v>
      </c>
      <c r="H46" s="15">
        <v>0</v>
      </c>
      <c r="I46" s="15">
        <v>0</v>
      </c>
      <c r="J46" s="106" t="s">
        <v>10</v>
      </c>
      <c r="K46" s="591" t="s">
        <v>358</v>
      </c>
      <c r="L46" s="24"/>
    </row>
    <row r="47" spans="1:12" s="26" customFormat="1" ht="16.5" customHeight="1" x14ac:dyDescent="0.35">
      <c r="A47" s="589">
        <v>31</v>
      </c>
      <c r="B47" s="24" t="s">
        <v>359</v>
      </c>
      <c r="C47" s="10">
        <f t="shared" si="2"/>
        <v>0.78</v>
      </c>
      <c r="D47" s="615">
        <f>'[23]road inventory 2018'!C52</f>
        <v>0.8</v>
      </c>
      <c r="E47" s="15">
        <v>0.78</v>
      </c>
      <c r="F47" s="15">
        <v>0</v>
      </c>
      <c r="G47" s="15">
        <v>0</v>
      </c>
      <c r="H47" s="15">
        <v>0</v>
      </c>
      <c r="I47" s="15">
        <v>0</v>
      </c>
      <c r="J47" s="106" t="s">
        <v>10</v>
      </c>
      <c r="K47" s="591" t="s">
        <v>360</v>
      </c>
      <c r="L47" s="24"/>
    </row>
    <row r="48" spans="1:12" s="1" customFormat="1" ht="16.5" customHeight="1" x14ac:dyDescent="0.35">
      <c r="A48" s="596">
        <v>34</v>
      </c>
      <c r="B48" s="28" t="s">
        <v>235</v>
      </c>
      <c r="C48" s="10">
        <f t="shared" si="2"/>
        <v>4.3099999999999996</v>
      </c>
      <c r="D48" s="615">
        <f>'[23]road inventory 2018'!C55</f>
        <v>4.2</v>
      </c>
      <c r="E48" s="10">
        <v>0</v>
      </c>
      <c r="F48" s="10">
        <v>0</v>
      </c>
      <c r="G48" s="10">
        <v>0</v>
      </c>
      <c r="H48" s="10">
        <v>4.3099999999999996</v>
      </c>
      <c r="I48" s="10">
        <v>0</v>
      </c>
      <c r="J48" s="103" t="s">
        <v>12</v>
      </c>
      <c r="K48" s="597" t="s">
        <v>363</v>
      </c>
      <c r="L48" s="28"/>
    </row>
    <row r="49" spans="1:12" s="26" customFormat="1" ht="16.5" customHeight="1" x14ac:dyDescent="0.35">
      <c r="A49" s="589">
        <v>35</v>
      </c>
      <c r="B49" s="24" t="s">
        <v>364</v>
      </c>
      <c r="C49" s="10">
        <f t="shared" si="2"/>
        <v>2.9699999999999998</v>
      </c>
      <c r="D49" s="615">
        <f>'[23]road inventory 2018'!C56</f>
        <v>3</v>
      </c>
      <c r="E49" s="15">
        <v>0.4</v>
      </c>
      <c r="F49" s="15">
        <v>0</v>
      </c>
      <c r="G49" s="15">
        <v>0</v>
      </c>
      <c r="H49" s="15">
        <v>2.57</v>
      </c>
      <c r="I49" s="15">
        <v>0</v>
      </c>
      <c r="J49" s="106" t="s">
        <v>12</v>
      </c>
      <c r="K49" s="591" t="s">
        <v>365</v>
      </c>
      <c r="L49" s="24"/>
    </row>
    <row r="50" spans="1:12" s="26" customFormat="1" ht="16.5" customHeight="1" x14ac:dyDescent="0.35">
      <c r="A50" s="589">
        <v>36</v>
      </c>
      <c r="B50" s="24" t="s">
        <v>366</v>
      </c>
      <c r="C50" s="10">
        <f t="shared" si="2"/>
        <v>6.01</v>
      </c>
      <c r="D50" s="615">
        <f>'[23]road inventory 2018'!C57</f>
        <v>6.2</v>
      </c>
      <c r="E50" s="15">
        <v>0</v>
      </c>
      <c r="F50" s="15">
        <v>0</v>
      </c>
      <c r="G50" s="15">
        <v>0</v>
      </c>
      <c r="H50" s="15">
        <v>6.01</v>
      </c>
      <c r="I50" s="15">
        <v>0</v>
      </c>
      <c r="J50" s="106" t="s">
        <v>12</v>
      </c>
      <c r="K50" s="591" t="s">
        <v>367</v>
      </c>
      <c r="L50" s="24"/>
    </row>
    <row r="51" spans="1:12" s="26" customFormat="1" ht="16.5" customHeight="1" x14ac:dyDescent="0.35">
      <c r="A51" s="589">
        <v>37</v>
      </c>
      <c r="B51" s="24" t="s">
        <v>234</v>
      </c>
      <c r="C51" s="10">
        <f t="shared" si="2"/>
        <v>1.6</v>
      </c>
      <c r="D51" s="615">
        <f>'[23]road inventory 2018'!C58</f>
        <v>1.6</v>
      </c>
      <c r="E51" s="15">
        <v>0</v>
      </c>
      <c r="F51" s="15">
        <v>0</v>
      </c>
      <c r="G51" s="15">
        <v>0</v>
      </c>
      <c r="H51" s="15">
        <v>1.6</v>
      </c>
      <c r="I51" s="15">
        <v>0</v>
      </c>
      <c r="J51" s="106" t="s">
        <v>12</v>
      </c>
      <c r="K51" s="591" t="s">
        <v>368</v>
      </c>
      <c r="L51" s="24"/>
    </row>
    <row r="52" spans="1:12" s="26" customFormat="1" ht="16.5" customHeight="1" x14ac:dyDescent="0.35">
      <c r="A52" s="589">
        <v>38</v>
      </c>
      <c r="B52" s="24" t="s">
        <v>36</v>
      </c>
      <c r="C52" s="10">
        <f t="shared" si="2"/>
        <v>3.9</v>
      </c>
      <c r="D52" s="615">
        <f>'[23]road inventory 2018'!C59</f>
        <v>4.4000000000000004</v>
      </c>
      <c r="E52" s="15">
        <v>0</v>
      </c>
      <c r="F52" s="15">
        <v>0</v>
      </c>
      <c r="G52" s="15">
        <v>0</v>
      </c>
      <c r="H52" s="15">
        <v>3.9</v>
      </c>
      <c r="I52" s="15">
        <v>0</v>
      </c>
      <c r="J52" s="106" t="s">
        <v>12</v>
      </c>
      <c r="K52" s="591" t="s">
        <v>369</v>
      </c>
      <c r="L52" s="24"/>
    </row>
    <row r="53" spans="1:12" s="26" customFormat="1" ht="16.5" customHeight="1" x14ac:dyDescent="0.35">
      <c r="A53" s="589">
        <v>39</v>
      </c>
      <c r="B53" s="24" t="s">
        <v>370</v>
      </c>
      <c r="C53" s="10">
        <f t="shared" si="2"/>
        <v>4.9400000000000004</v>
      </c>
      <c r="D53" s="615">
        <f>'[23]road inventory 2018'!C60</f>
        <v>4.9000000000000004</v>
      </c>
      <c r="E53" s="15">
        <v>0</v>
      </c>
      <c r="F53" s="15">
        <v>0</v>
      </c>
      <c r="G53" s="15">
        <v>0</v>
      </c>
      <c r="H53" s="15">
        <v>4.9400000000000004</v>
      </c>
      <c r="I53" s="15">
        <v>0</v>
      </c>
      <c r="J53" s="106" t="s">
        <v>12</v>
      </c>
      <c r="K53" s="591" t="s">
        <v>371</v>
      </c>
      <c r="L53" s="24"/>
    </row>
    <row r="54" spans="1:12" s="26" customFormat="1" ht="16.5" customHeight="1" x14ac:dyDescent="0.35">
      <c r="A54" s="589">
        <v>105</v>
      </c>
      <c r="B54" s="24" t="s">
        <v>228</v>
      </c>
      <c r="C54" s="10">
        <f t="shared" si="2"/>
        <v>3.65</v>
      </c>
      <c r="D54" s="615">
        <f>'[23]road inventory 2018'!C61</f>
        <v>3.6</v>
      </c>
      <c r="E54" s="15">
        <v>0</v>
      </c>
      <c r="F54" s="15">
        <v>0</v>
      </c>
      <c r="G54" s="15">
        <v>0</v>
      </c>
      <c r="H54" s="15">
        <v>3.65</v>
      </c>
      <c r="I54" s="15">
        <v>0</v>
      </c>
      <c r="J54" s="106" t="s">
        <v>12</v>
      </c>
      <c r="K54" s="591" t="s">
        <v>372</v>
      </c>
      <c r="L54" s="24"/>
    </row>
    <row r="55" spans="1:12" s="26" customFormat="1" ht="16.5" customHeight="1" x14ac:dyDescent="0.35">
      <c r="A55" s="589">
        <v>42</v>
      </c>
      <c r="B55" s="24" t="s">
        <v>227</v>
      </c>
      <c r="C55" s="10">
        <f t="shared" si="2"/>
        <v>1.5</v>
      </c>
      <c r="D55" s="615">
        <f>'[23]road inventory 2018'!C64</f>
        <v>1.5</v>
      </c>
      <c r="E55" s="15">
        <v>0</v>
      </c>
      <c r="F55" s="15">
        <v>0</v>
      </c>
      <c r="G55" s="15">
        <v>0</v>
      </c>
      <c r="H55" s="15">
        <v>1.5</v>
      </c>
      <c r="I55" s="15">
        <v>0</v>
      </c>
      <c r="J55" s="106" t="s">
        <v>12</v>
      </c>
      <c r="K55" s="591" t="s">
        <v>375</v>
      </c>
      <c r="L55" s="24"/>
    </row>
    <row r="56" spans="1:12" s="26" customFormat="1" ht="16.5" customHeight="1" x14ac:dyDescent="0.35">
      <c r="A56" s="589">
        <v>104</v>
      </c>
      <c r="B56" s="24" t="s">
        <v>240</v>
      </c>
      <c r="C56" s="10">
        <f t="shared" si="2"/>
        <v>3.13</v>
      </c>
      <c r="D56" s="615">
        <f>'[23]road inventory 2018'!C67</f>
        <v>3.1</v>
      </c>
      <c r="E56" s="15">
        <v>0</v>
      </c>
      <c r="F56" s="15">
        <v>0</v>
      </c>
      <c r="G56" s="15">
        <v>0</v>
      </c>
      <c r="H56" s="15">
        <v>3.13</v>
      </c>
      <c r="I56" s="15">
        <v>0</v>
      </c>
      <c r="J56" s="106" t="s">
        <v>12</v>
      </c>
      <c r="K56" s="591" t="s">
        <v>379</v>
      </c>
      <c r="L56" s="24"/>
    </row>
    <row r="57" spans="1:12" s="26" customFormat="1" ht="16.5" hidden="1" customHeight="1" x14ac:dyDescent="0.35">
      <c r="A57" s="626"/>
      <c r="B57" s="60"/>
      <c r="C57" s="61">
        <f t="shared" ref="C57:I57" si="3">SUM(C36:C56)</f>
        <v>74.349999999999994</v>
      </c>
      <c r="D57" s="627">
        <f t="shared" si="3"/>
        <v>74.399999999999991</v>
      </c>
      <c r="E57" s="61">
        <f t="shared" si="3"/>
        <v>25.93</v>
      </c>
      <c r="F57" s="61">
        <f t="shared" si="3"/>
        <v>0</v>
      </c>
      <c r="G57" s="61">
        <f t="shared" si="3"/>
        <v>0</v>
      </c>
      <c r="H57" s="61">
        <f t="shared" si="3"/>
        <v>48.42</v>
      </c>
      <c r="I57" s="61">
        <f t="shared" si="3"/>
        <v>0</v>
      </c>
      <c r="J57" s="628"/>
      <c r="K57" s="629"/>
      <c r="L57" s="24"/>
    </row>
    <row r="58" spans="1:12" s="1" customFormat="1" ht="24" customHeight="1" thickBot="1" x14ac:dyDescent="0.4">
      <c r="A58" s="53" t="s">
        <v>341</v>
      </c>
      <c r="B58" s="30"/>
      <c r="C58" s="31">
        <f>SUM(E58:I58)</f>
        <v>74.349999999999994</v>
      </c>
      <c r="D58" s="630"/>
      <c r="E58" s="31">
        <f>SUM(E36:E56)</f>
        <v>25.93</v>
      </c>
      <c r="F58" s="31">
        <f>SUM(F36:F56)</f>
        <v>0</v>
      </c>
      <c r="G58" s="31">
        <f>SUM(G36:G56)</f>
        <v>0</v>
      </c>
      <c r="H58" s="31">
        <f>SUM(H36:H56)</f>
        <v>48.42</v>
      </c>
      <c r="I58" s="31">
        <f>SUM(I36:I56)</f>
        <v>0</v>
      </c>
      <c r="J58" s="608"/>
      <c r="K58" s="609"/>
      <c r="L58" s="97"/>
    </row>
    <row r="59" spans="1:12" s="1" customFormat="1" x14ac:dyDescent="0.35">
      <c r="A59" s="1217" t="s">
        <v>380</v>
      </c>
      <c r="B59" s="1218"/>
      <c r="C59" s="1218"/>
      <c r="D59" s="1218"/>
      <c r="E59" s="1218"/>
      <c r="F59" s="1218"/>
      <c r="G59" s="1218"/>
      <c r="H59" s="1218"/>
      <c r="I59" s="1218"/>
      <c r="J59" s="1218"/>
      <c r="K59" s="1218"/>
      <c r="L59" s="1219"/>
    </row>
    <row r="60" spans="1:12" s="1" customFormat="1" ht="16" thickBot="1" x14ac:dyDescent="0.4">
      <c r="A60" s="585"/>
      <c r="B60" s="2"/>
      <c r="C60" s="5"/>
      <c r="D60" s="586"/>
      <c r="E60" s="5"/>
      <c r="F60" s="5"/>
      <c r="G60" s="5"/>
      <c r="H60" s="5"/>
      <c r="I60" s="5"/>
      <c r="J60" s="3"/>
      <c r="K60" s="21"/>
      <c r="L60" s="631"/>
    </row>
    <row r="61" spans="1:12" s="1" customFormat="1" ht="21" customHeight="1" x14ac:dyDescent="0.35">
      <c r="A61" s="1206" t="s">
        <v>302</v>
      </c>
      <c r="B61" s="1208" t="s">
        <v>28</v>
      </c>
      <c r="C61" s="1210" t="s">
        <v>343</v>
      </c>
      <c r="D61" s="613"/>
      <c r="E61" s="1212" t="s">
        <v>305</v>
      </c>
      <c r="F61" s="1212"/>
      <c r="G61" s="1212"/>
      <c r="H61" s="1212"/>
      <c r="I61" s="1212"/>
      <c r="J61" s="1208" t="s">
        <v>29</v>
      </c>
      <c r="K61" s="1213" t="s">
        <v>306</v>
      </c>
      <c r="L61" s="1226" t="s">
        <v>307</v>
      </c>
    </row>
    <row r="62" spans="1:12" s="1" customFormat="1" ht="21" customHeight="1" thickBot="1" x14ac:dyDescent="0.4">
      <c r="A62" s="1207"/>
      <c r="B62" s="1209"/>
      <c r="C62" s="1211"/>
      <c r="D62" s="614"/>
      <c r="E62" s="7" t="s">
        <v>308</v>
      </c>
      <c r="F62" s="7" t="s">
        <v>309</v>
      </c>
      <c r="G62" s="7" t="s">
        <v>310</v>
      </c>
      <c r="H62" s="7" t="s">
        <v>311</v>
      </c>
      <c r="I62" s="7" t="s">
        <v>312</v>
      </c>
      <c r="J62" s="1209"/>
      <c r="K62" s="1214"/>
      <c r="L62" s="1227"/>
    </row>
    <row r="63" spans="1:12" s="26" customFormat="1" ht="16.5" customHeight="1" x14ac:dyDescent="0.35">
      <c r="A63" s="589">
        <v>107</v>
      </c>
      <c r="B63" s="24" t="s">
        <v>381</v>
      </c>
      <c r="C63" s="15">
        <f t="shared" ref="C63:C68" si="4">SUM(E63:I63)</f>
        <v>2.59</v>
      </c>
      <c r="D63" s="590">
        <f>'[23]road inventory 2018'!C73</f>
        <v>2.5</v>
      </c>
      <c r="E63" s="632">
        <v>1.07</v>
      </c>
      <c r="F63" s="632">
        <v>0</v>
      </c>
      <c r="G63" s="632">
        <v>0</v>
      </c>
      <c r="H63" s="15">
        <v>1.52</v>
      </c>
      <c r="I63" s="15">
        <v>0</v>
      </c>
      <c r="J63" s="106" t="s">
        <v>12</v>
      </c>
      <c r="K63" s="591" t="s">
        <v>382</v>
      </c>
      <c r="L63" s="592"/>
    </row>
    <row r="64" spans="1:12" s="26" customFormat="1" ht="16.5" customHeight="1" x14ac:dyDescent="0.35">
      <c r="A64" s="589">
        <v>102</v>
      </c>
      <c r="B64" s="24" t="s">
        <v>242</v>
      </c>
      <c r="C64" s="15">
        <f t="shared" si="4"/>
        <v>1.33</v>
      </c>
      <c r="D64" s="590">
        <f>'[23]road inventory 2018'!C74</f>
        <v>1.3</v>
      </c>
      <c r="E64" s="632">
        <v>0</v>
      </c>
      <c r="F64" s="632">
        <v>0</v>
      </c>
      <c r="G64" s="632">
        <v>0</v>
      </c>
      <c r="H64" s="15">
        <v>1.33</v>
      </c>
      <c r="I64" s="15">
        <v>0</v>
      </c>
      <c r="J64" s="106" t="s">
        <v>12</v>
      </c>
      <c r="K64" s="591" t="s">
        <v>383</v>
      </c>
      <c r="L64" s="24"/>
    </row>
    <row r="65" spans="1:12" s="1" customFormat="1" ht="16.5" customHeight="1" x14ac:dyDescent="0.35">
      <c r="A65" s="596">
        <v>101</v>
      </c>
      <c r="B65" s="28" t="s">
        <v>384</v>
      </c>
      <c r="C65" s="15">
        <f t="shared" si="4"/>
        <v>0</v>
      </c>
      <c r="D65" s="615">
        <f>'[23]road inventory 2018'!C75</f>
        <v>0.6</v>
      </c>
      <c r="E65" s="633">
        <v>0</v>
      </c>
      <c r="F65" s="633">
        <v>0</v>
      </c>
      <c r="G65" s="633">
        <v>0</v>
      </c>
      <c r="H65" s="10">
        <v>0</v>
      </c>
      <c r="I65" s="10">
        <v>0</v>
      </c>
      <c r="J65" s="103" t="s">
        <v>10</v>
      </c>
      <c r="K65" s="597" t="s">
        <v>385</v>
      </c>
      <c r="L65" s="28" t="s">
        <v>356</v>
      </c>
    </row>
    <row r="66" spans="1:12" s="26" customFormat="1" ht="16.5" customHeight="1" x14ac:dyDescent="0.35">
      <c r="A66" s="589">
        <v>47</v>
      </c>
      <c r="B66" s="24" t="s">
        <v>38</v>
      </c>
      <c r="C66" s="15">
        <f t="shared" si="4"/>
        <v>17.2</v>
      </c>
      <c r="D66" s="590">
        <f>'[23]road inventory 2018'!C76</f>
        <v>17</v>
      </c>
      <c r="E66" s="15">
        <v>0.27</v>
      </c>
      <c r="F66" s="632">
        <v>0</v>
      </c>
      <c r="G66" s="632">
        <v>0</v>
      </c>
      <c r="H66" s="15">
        <v>16.93</v>
      </c>
      <c r="I66" s="15">
        <v>0</v>
      </c>
      <c r="J66" s="106" t="s">
        <v>12</v>
      </c>
      <c r="K66" s="591" t="s">
        <v>387</v>
      </c>
      <c r="L66" s="24"/>
    </row>
    <row r="67" spans="1:12" s="26" customFormat="1" ht="16.5" customHeight="1" x14ac:dyDescent="0.35">
      <c r="A67" s="589">
        <v>48</v>
      </c>
      <c r="B67" s="24" t="s">
        <v>388</v>
      </c>
      <c r="C67" s="15">
        <f t="shared" si="4"/>
        <v>2.63</v>
      </c>
      <c r="D67" s="590">
        <f>'[23]road inventory 2018'!C77</f>
        <v>2.6</v>
      </c>
      <c r="E67" s="632">
        <v>0</v>
      </c>
      <c r="F67" s="632">
        <v>0</v>
      </c>
      <c r="G67" s="632">
        <v>0</v>
      </c>
      <c r="H67" s="15">
        <v>2.63</v>
      </c>
      <c r="I67" s="15">
        <v>0</v>
      </c>
      <c r="J67" s="106" t="s">
        <v>12</v>
      </c>
      <c r="K67" s="591" t="s">
        <v>389</v>
      </c>
      <c r="L67" s="24"/>
    </row>
    <row r="68" spans="1:12" s="26" customFormat="1" ht="16.5" customHeight="1" x14ac:dyDescent="0.35">
      <c r="A68" s="589">
        <v>90</v>
      </c>
      <c r="B68" s="24" t="s">
        <v>390</v>
      </c>
      <c r="C68" s="15">
        <f t="shared" si="4"/>
        <v>4.2699999999999996</v>
      </c>
      <c r="D68" s="590">
        <f>'[23]road inventory 2018'!C78</f>
        <v>4.3499999999999996</v>
      </c>
      <c r="E68" s="632">
        <v>0</v>
      </c>
      <c r="F68" s="632">
        <v>0</v>
      </c>
      <c r="G68" s="632">
        <v>0</v>
      </c>
      <c r="H68" s="15">
        <v>4.2699999999999996</v>
      </c>
      <c r="I68" s="15">
        <v>0</v>
      </c>
      <c r="J68" s="106" t="s">
        <v>12</v>
      </c>
      <c r="K68" s="591" t="s">
        <v>391</v>
      </c>
      <c r="L68" s="24"/>
    </row>
    <row r="69" spans="1:12" s="1" customFormat="1" ht="16.5" hidden="1" customHeight="1" x14ac:dyDescent="0.35">
      <c r="A69" s="635"/>
      <c r="B69" s="40"/>
      <c r="C69" s="41">
        <f t="shared" ref="C69:H69" si="5">SUM(C63:C68)</f>
        <v>28.019999999999996</v>
      </c>
      <c r="D69" s="636">
        <f t="shared" si="5"/>
        <v>28.35</v>
      </c>
      <c r="E69" s="41">
        <f t="shared" si="5"/>
        <v>1.34</v>
      </c>
      <c r="F69" s="41">
        <f t="shared" si="5"/>
        <v>0</v>
      </c>
      <c r="G69" s="41">
        <f t="shared" si="5"/>
        <v>0</v>
      </c>
      <c r="H69" s="41">
        <f t="shared" si="5"/>
        <v>26.68</v>
      </c>
      <c r="I69" s="41"/>
      <c r="J69" s="109"/>
      <c r="K69" s="605"/>
      <c r="L69" s="28"/>
    </row>
    <row r="70" spans="1:12" s="1" customFormat="1" ht="23.25" customHeight="1" thickBot="1" x14ac:dyDescent="0.4">
      <c r="A70" s="53" t="s">
        <v>341</v>
      </c>
      <c r="B70" s="34"/>
      <c r="C70" s="31">
        <f>SUM(E70:I70)</f>
        <v>28.02</v>
      </c>
      <c r="D70" s="630"/>
      <c r="E70" s="31">
        <f>SUM(E63:E68)</f>
        <v>1.34</v>
      </c>
      <c r="F70" s="31">
        <f>SUM(F63:F68)</f>
        <v>0</v>
      </c>
      <c r="G70" s="31">
        <f>SUM(G63:G68)</f>
        <v>0</v>
      </c>
      <c r="H70" s="31">
        <f>SUM(H63:H68)</f>
        <v>26.68</v>
      </c>
      <c r="I70" s="31">
        <f>SUM(I63:I68)</f>
        <v>0</v>
      </c>
      <c r="J70" s="608"/>
      <c r="K70" s="609"/>
      <c r="L70" s="97"/>
    </row>
    <row r="71" spans="1:12" s="1" customFormat="1" ht="15" customHeight="1" thickBot="1" x14ac:dyDescent="0.4">
      <c r="A71" s="544"/>
      <c r="B71" s="35"/>
      <c r="C71" s="22"/>
      <c r="D71" s="610"/>
      <c r="E71" s="22"/>
      <c r="F71" s="22"/>
      <c r="G71" s="22"/>
      <c r="H71" s="22"/>
      <c r="I71" s="22"/>
      <c r="K71" s="21"/>
      <c r="L71" s="611"/>
    </row>
    <row r="72" spans="1:12" s="1" customFormat="1" x14ac:dyDescent="0.35">
      <c r="A72" s="1217" t="s">
        <v>394</v>
      </c>
      <c r="B72" s="1218"/>
      <c r="C72" s="1218"/>
      <c r="D72" s="1218"/>
      <c r="E72" s="1218"/>
      <c r="F72" s="1218"/>
      <c r="G72" s="1218"/>
      <c r="H72" s="1218"/>
      <c r="I72" s="1218"/>
      <c r="J72" s="1218"/>
      <c r="K72" s="1218"/>
      <c r="L72" s="1219"/>
    </row>
    <row r="73" spans="1:12" s="1" customFormat="1" ht="16" thickBot="1" x14ac:dyDescent="0.4">
      <c r="A73" s="585"/>
      <c r="B73" s="2"/>
      <c r="C73" s="5"/>
      <c r="D73" s="586"/>
      <c r="E73" s="5"/>
      <c r="F73" s="5"/>
      <c r="G73" s="5"/>
      <c r="H73" s="5"/>
      <c r="I73" s="5"/>
      <c r="J73" s="3"/>
      <c r="K73" s="21"/>
      <c r="L73" s="637"/>
    </row>
    <row r="74" spans="1:12" s="1" customFormat="1" ht="21" customHeight="1" x14ac:dyDescent="0.35">
      <c r="A74" s="1206" t="s">
        <v>302</v>
      </c>
      <c r="B74" s="1208" t="s">
        <v>28</v>
      </c>
      <c r="C74" s="1210" t="s">
        <v>343</v>
      </c>
      <c r="D74" s="613"/>
      <c r="E74" s="1212" t="s">
        <v>305</v>
      </c>
      <c r="F74" s="1212"/>
      <c r="G74" s="1212"/>
      <c r="H74" s="1212"/>
      <c r="I74" s="1212"/>
      <c r="J74" s="1208" t="s">
        <v>29</v>
      </c>
      <c r="K74" s="1213" t="s">
        <v>306</v>
      </c>
      <c r="L74" s="1226" t="s">
        <v>307</v>
      </c>
    </row>
    <row r="75" spans="1:12" s="1" customFormat="1" ht="21" customHeight="1" thickBot="1" x14ac:dyDescent="0.4">
      <c r="A75" s="1207"/>
      <c r="B75" s="1209"/>
      <c r="C75" s="1211"/>
      <c r="D75" s="614"/>
      <c r="E75" s="7" t="s">
        <v>308</v>
      </c>
      <c r="F75" s="7" t="s">
        <v>309</v>
      </c>
      <c r="G75" s="7" t="s">
        <v>310</v>
      </c>
      <c r="H75" s="7" t="s">
        <v>311</v>
      </c>
      <c r="I75" s="7" t="s">
        <v>312</v>
      </c>
      <c r="J75" s="1209"/>
      <c r="K75" s="1214"/>
      <c r="L75" s="1227"/>
    </row>
    <row r="76" spans="1:12" s="642" customFormat="1" ht="36.75" customHeight="1" x14ac:dyDescent="0.35">
      <c r="A76" s="638">
        <v>108</v>
      </c>
      <c r="B76" s="24" t="s">
        <v>395</v>
      </c>
      <c r="C76" s="639">
        <f>SUM(E76:I76)</f>
        <v>3.28</v>
      </c>
      <c r="D76" s="640">
        <f>'[23]road inventory 2018'!C86</f>
        <v>3.1</v>
      </c>
      <c r="E76" s="639">
        <v>0.48</v>
      </c>
      <c r="F76" s="639">
        <v>0</v>
      </c>
      <c r="G76" s="639">
        <v>0</v>
      </c>
      <c r="H76" s="110">
        <v>2.8</v>
      </c>
      <c r="I76" s="110">
        <v>0</v>
      </c>
      <c r="J76" s="24" t="s">
        <v>12</v>
      </c>
      <c r="K76" s="591" t="s">
        <v>396</v>
      </c>
      <c r="L76" s="592"/>
    </row>
    <row r="77" spans="1:12" s="1" customFormat="1" ht="26.25" customHeight="1" thickBot="1" x14ac:dyDescent="0.4">
      <c r="A77" s="53" t="s">
        <v>341</v>
      </c>
      <c r="B77" s="34"/>
      <c r="C77" s="31">
        <f>SUM(C76:C76)</f>
        <v>3.28</v>
      </c>
      <c r="D77" s="630"/>
      <c r="E77" s="31">
        <f>SUM(E76:E76)</f>
        <v>0.48</v>
      </c>
      <c r="F77" s="31">
        <f>SUM(F76:F76)</f>
        <v>0</v>
      </c>
      <c r="G77" s="31">
        <f>SUM(G76:G76)</f>
        <v>0</v>
      </c>
      <c r="H77" s="31">
        <f>SUM(H76:H76)</f>
        <v>2.8</v>
      </c>
      <c r="I77" s="31">
        <f>SUM(I76:I76)</f>
        <v>0</v>
      </c>
      <c r="J77" s="643"/>
      <c r="K77" s="644"/>
      <c r="L77" s="40"/>
    </row>
    <row r="78" spans="1:12" s="1" customFormat="1" ht="14.25" customHeight="1" thickBot="1" x14ac:dyDescent="0.4">
      <c r="A78" s="95"/>
      <c r="B78" s="37"/>
      <c r="C78" s="38"/>
      <c r="D78" s="645"/>
      <c r="E78" s="38"/>
      <c r="F78" s="38"/>
      <c r="G78" s="38"/>
      <c r="H78" s="38"/>
      <c r="I78" s="38"/>
      <c r="J78" s="3"/>
      <c r="K78" s="2"/>
      <c r="L78" s="646"/>
    </row>
    <row r="79" spans="1:12" s="1" customFormat="1" x14ac:dyDescent="0.35">
      <c r="A79" s="1217" t="s">
        <v>397</v>
      </c>
      <c r="B79" s="1218"/>
      <c r="C79" s="1218"/>
      <c r="D79" s="1218"/>
      <c r="E79" s="1218"/>
      <c r="F79" s="1218"/>
      <c r="G79" s="1218"/>
      <c r="H79" s="1218"/>
      <c r="I79" s="1218"/>
      <c r="J79" s="1218"/>
      <c r="K79" s="1218"/>
      <c r="L79" s="1219"/>
    </row>
    <row r="80" spans="1:12" s="1" customFormat="1" ht="16" thickBot="1" x14ac:dyDescent="0.4">
      <c r="A80" s="585"/>
      <c r="B80" s="2"/>
      <c r="C80" s="5"/>
      <c r="D80" s="586"/>
      <c r="E80" s="5"/>
      <c r="F80" s="5"/>
      <c r="G80" s="5"/>
      <c r="H80" s="5"/>
      <c r="I80" s="5"/>
      <c r="J80" s="3"/>
      <c r="K80" s="21"/>
      <c r="L80" s="97"/>
    </row>
    <row r="81" spans="1:12" s="1" customFormat="1" ht="21" customHeight="1" x14ac:dyDescent="0.35">
      <c r="A81" s="1206" t="s">
        <v>302</v>
      </c>
      <c r="B81" s="1208" t="s">
        <v>28</v>
      </c>
      <c r="C81" s="1210" t="s">
        <v>343</v>
      </c>
      <c r="D81" s="613"/>
      <c r="E81" s="1212" t="s">
        <v>305</v>
      </c>
      <c r="F81" s="1212"/>
      <c r="G81" s="1212"/>
      <c r="H81" s="1212"/>
      <c r="I81" s="1212"/>
      <c r="J81" s="1208" t="s">
        <v>29</v>
      </c>
      <c r="K81" s="1213" t="s">
        <v>306</v>
      </c>
      <c r="L81" s="1226" t="s">
        <v>307</v>
      </c>
    </row>
    <row r="82" spans="1:12" s="1" customFormat="1" ht="21" customHeight="1" thickBot="1" x14ac:dyDescent="0.4">
      <c r="A82" s="1207"/>
      <c r="B82" s="1209"/>
      <c r="C82" s="1211"/>
      <c r="D82" s="614"/>
      <c r="E82" s="7" t="s">
        <v>308</v>
      </c>
      <c r="F82" s="7" t="s">
        <v>309</v>
      </c>
      <c r="G82" s="7" t="s">
        <v>310</v>
      </c>
      <c r="H82" s="7" t="s">
        <v>311</v>
      </c>
      <c r="I82" s="7" t="s">
        <v>312</v>
      </c>
      <c r="J82" s="1209"/>
      <c r="K82" s="1214"/>
      <c r="L82" s="1227"/>
    </row>
    <row r="83" spans="1:12" s="1" customFormat="1" ht="16.5" customHeight="1" x14ac:dyDescent="0.35">
      <c r="A83" s="596">
        <v>224</v>
      </c>
      <c r="B83" s="28" t="s">
        <v>44</v>
      </c>
      <c r="C83" s="10">
        <f t="shared" ref="C83:C88" si="6">SUM(E83:I83)</f>
        <v>7.24</v>
      </c>
      <c r="D83" s="615">
        <f>'[23]road inventory 2018'!C94</f>
        <v>7.2</v>
      </c>
      <c r="E83" s="10">
        <v>1.02</v>
      </c>
      <c r="F83" s="10">
        <v>0</v>
      </c>
      <c r="G83" s="10">
        <v>0</v>
      </c>
      <c r="H83" s="10">
        <v>6.22</v>
      </c>
      <c r="I83" s="10">
        <v>0</v>
      </c>
      <c r="J83" s="103" t="s">
        <v>12</v>
      </c>
      <c r="K83" s="597" t="s">
        <v>399</v>
      </c>
      <c r="L83" s="28"/>
    </row>
    <row r="84" spans="1:12" s="26" customFormat="1" ht="16.5" customHeight="1" x14ac:dyDescent="0.35">
      <c r="A84" s="589">
        <v>217</v>
      </c>
      <c r="B84" s="24" t="s">
        <v>243</v>
      </c>
      <c r="C84" s="10">
        <f t="shared" si="6"/>
        <v>1.1399999999999999</v>
      </c>
      <c r="D84" s="615">
        <f>'[23]road inventory 2018'!C96</f>
        <v>1.1000000000000001</v>
      </c>
      <c r="E84" s="15">
        <v>1.1399999999999999</v>
      </c>
      <c r="F84" s="15">
        <v>0</v>
      </c>
      <c r="G84" s="15">
        <v>0</v>
      </c>
      <c r="H84" s="15">
        <v>0</v>
      </c>
      <c r="I84" s="15">
        <v>0</v>
      </c>
      <c r="J84" s="106" t="s">
        <v>10</v>
      </c>
      <c r="K84" s="591" t="s">
        <v>402</v>
      </c>
      <c r="L84" s="24"/>
    </row>
    <row r="85" spans="1:12" s="26" customFormat="1" ht="16.5" customHeight="1" x14ac:dyDescent="0.35">
      <c r="A85" s="589">
        <v>225</v>
      </c>
      <c r="B85" s="24" t="s">
        <v>403</v>
      </c>
      <c r="C85" s="10">
        <f t="shared" si="6"/>
        <v>0.36</v>
      </c>
      <c r="D85" s="615">
        <f>'[23]road inventory 2018'!C97</f>
        <v>0.4</v>
      </c>
      <c r="E85" s="15">
        <v>0</v>
      </c>
      <c r="F85" s="15">
        <v>0</v>
      </c>
      <c r="G85" s="15">
        <v>0</v>
      </c>
      <c r="H85" s="15">
        <v>0.36</v>
      </c>
      <c r="I85" s="15">
        <v>0</v>
      </c>
      <c r="J85" s="106" t="s">
        <v>10</v>
      </c>
      <c r="K85" s="591" t="s">
        <v>404</v>
      </c>
      <c r="L85" s="24"/>
    </row>
    <row r="86" spans="1:12" s="26" customFormat="1" ht="16.5" customHeight="1" x14ac:dyDescent="0.35">
      <c r="A86" s="589">
        <v>226</v>
      </c>
      <c r="B86" s="24" t="s">
        <v>45</v>
      </c>
      <c r="C86" s="10">
        <f t="shared" si="6"/>
        <v>4.01</v>
      </c>
      <c r="D86" s="615">
        <f>'[23]road inventory 2018'!C98</f>
        <v>4.8</v>
      </c>
      <c r="E86" s="15">
        <v>0.86</v>
      </c>
      <c r="F86" s="15">
        <v>0</v>
      </c>
      <c r="G86" s="15">
        <v>0</v>
      </c>
      <c r="H86" s="15">
        <v>3.15</v>
      </c>
      <c r="I86" s="15">
        <v>0</v>
      </c>
      <c r="J86" s="106" t="s">
        <v>10</v>
      </c>
      <c r="K86" s="591" t="s">
        <v>405</v>
      </c>
      <c r="L86" s="24"/>
    </row>
    <row r="87" spans="1:12" s="26" customFormat="1" ht="16.5" customHeight="1" x14ac:dyDescent="0.35">
      <c r="A87" s="589">
        <v>116</v>
      </c>
      <c r="B87" s="24" t="s">
        <v>47</v>
      </c>
      <c r="C87" s="10">
        <f t="shared" si="6"/>
        <v>12.3</v>
      </c>
      <c r="D87" s="615">
        <f>'[23]road inventory 2018'!C99</f>
        <v>12.3</v>
      </c>
      <c r="E87" s="15">
        <v>6.67</v>
      </c>
      <c r="F87" s="15">
        <v>0</v>
      </c>
      <c r="G87" s="15">
        <v>0</v>
      </c>
      <c r="H87" s="15">
        <v>5.63</v>
      </c>
      <c r="I87" s="15">
        <v>0</v>
      </c>
      <c r="J87" s="106" t="s">
        <v>12</v>
      </c>
      <c r="K87" s="591" t="s">
        <v>405</v>
      </c>
      <c r="L87" s="24"/>
    </row>
    <row r="88" spans="1:12" s="26" customFormat="1" ht="16.5" customHeight="1" x14ac:dyDescent="0.35">
      <c r="A88" s="589">
        <v>46</v>
      </c>
      <c r="B88" s="24" t="s">
        <v>406</v>
      </c>
      <c r="C88" s="10">
        <f t="shared" si="6"/>
        <v>1.3</v>
      </c>
      <c r="D88" s="615">
        <f>'[23]road inventory 2018'!C100</f>
        <v>1.3</v>
      </c>
      <c r="E88" s="15">
        <v>1.3</v>
      </c>
      <c r="F88" s="15">
        <v>0</v>
      </c>
      <c r="G88" s="15">
        <v>0</v>
      </c>
      <c r="H88" s="15">
        <v>0</v>
      </c>
      <c r="I88" s="15">
        <v>0</v>
      </c>
      <c r="J88" s="106" t="s">
        <v>10</v>
      </c>
      <c r="K88" s="591" t="s">
        <v>407</v>
      </c>
      <c r="L88" s="24"/>
    </row>
    <row r="89" spans="1:12" s="1" customFormat="1" ht="16.5" hidden="1" customHeight="1" x14ac:dyDescent="0.35">
      <c r="A89" s="635"/>
      <c r="B89" s="40"/>
      <c r="C89" s="41">
        <f t="shared" ref="C89:H89" si="7">SUM(C83:C88)</f>
        <v>26.35</v>
      </c>
      <c r="D89" s="627">
        <f t="shared" si="7"/>
        <v>27.1</v>
      </c>
      <c r="E89" s="41">
        <f t="shared" si="7"/>
        <v>10.99</v>
      </c>
      <c r="F89" s="41">
        <f t="shared" si="7"/>
        <v>0</v>
      </c>
      <c r="G89" s="41">
        <f t="shared" si="7"/>
        <v>0</v>
      </c>
      <c r="H89" s="41">
        <f t="shared" si="7"/>
        <v>15.36</v>
      </c>
      <c r="I89" s="41"/>
      <c r="J89" s="109"/>
      <c r="K89" s="605"/>
      <c r="L89" s="28"/>
    </row>
    <row r="90" spans="1:12" s="1" customFormat="1" ht="22.5" customHeight="1" thickBot="1" x14ac:dyDescent="0.4">
      <c r="A90" s="53" t="s">
        <v>341</v>
      </c>
      <c r="B90" s="34"/>
      <c r="C90" s="31">
        <f>E90+H90</f>
        <v>26.35</v>
      </c>
      <c r="D90" s="630"/>
      <c r="E90" s="31">
        <f>SUM(E83:E88)</f>
        <v>10.99</v>
      </c>
      <c r="F90" s="31">
        <f>SUM(F83:F88)</f>
        <v>0</v>
      </c>
      <c r="G90" s="31">
        <f>SUM(G83:G88)</f>
        <v>0</v>
      </c>
      <c r="H90" s="31">
        <f>SUM(H83:H88)</f>
        <v>15.36</v>
      </c>
      <c r="I90" s="31">
        <f>SUM(I83:I88)</f>
        <v>0</v>
      </c>
      <c r="J90" s="608"/>
      <c r="K90" s="609"/>
      <c r="L90" s="97"/>
    </row>
    <row r="91" spans="1:12" s="1" customFormat="1" ht="22.5" customHeight="1" x14ac:dyDescent="0.35">
      <c r="A91" s="544"/>
      <c r="B91" s="35"/>
      <c r="C91" s="22"/>
      <c r="D91" s="610"/>
      <c r="E91" s="22"/>
      <c r="F91" s="22"/>
      <c r="G91" s="22"/>
      <c r="H91" s="22"/>
      <c r="I91" s="22"/>
      <c r="K91" s="21"/>
      <c r="L91" s="647"/>
    </row>
    <row r="92" spans="1:12" s="1" customFormat="1" x14ac:dyDescent="0.35">
      <c r="A92" s="1203" t="s">
        <v>411</v>
      </c>
      <c r="B92" s="1204"/>
      <c r="C92" s="1204"/>
      <c r="D92" s="1204"/>
      <c r="E92" s="1204"/>
      <c r="F92" s="1204"/>
      <c r="G92" s="1204"/>
      <c r="H92" s="1204"/>
      <c r="I92" s="1204"/>
      <c r="J92" s="1204"/>
      <c r="K92" s="1204"/>
      <c r="L92" s="1205"/>
    </row>
    <row r="93" spans="1:12" s="1" customFormat="1" ht="16" thickBot="1" x14ac:dyDescent="0.4">
      <c r="A93" s="585"/>
      <c r="B93" s="2"/>
      <c r="C93" s="5"/>
      <c r="D93" s="586"/>
      <c r="E93" s="5"/>
      <c r="F93" s="5"/>
      <c r="G93" s="5"/>
      <c r="H93" s="5"/>
      <c r="I93" s="5"/>
      <c r="J93" s="3"/>
      <c r="K93" s="21"/>
      <c r="L93" s="631"/>
    </row>
    <row r="94" spans="1:12" s="1" customFormat="1" ht="21" customHeight="1" x14ac:dyDescent="0.35">
      <c r="A94" s="1206" t="s">
        <v>302</v>
      </c>
      <c r="B94" s="1208" t="s">
        <v>28</v>
      </c>
      <c r="C94" s="1210" t="s">
        <v>343</v>
      </c>
      <c r="D94" s="613"/>
      <c r="E94" s="1212" t="s">
        <v>305</v>
      </c>
      <c r="F94" s="1212"/>
      <c r="G94" s="1212"/>
      <c r="H94" s="1212"/>
      <c r="I94" s="1212"/>
      <c r="J94" s="1208" t="s">
        <v>29</v>
      </c>
      <c r="K94" s="1213" t="s">
        <v>306</v>
      </c>
      <c r="L94" s="1226" t="s">
        <v>307</v>
      </c>
    </row>
    <row r="95" spans="1:12" s="1" customFormat="1" ht="21" customHeight="1" thickBot="1" x14ac:dyDescent="0.4">
      <c r="A95" s="1207"/>
      <c r="B95" s="1209"/>
      <c r="C95" s="1211"/>
      <c r="D95" s="614"/>
      <c r="E95" s="7" t="s">
        <v>308</v>
      </c>
      <c r="F95" s="7" t="s">
        <v>309</v>
      </c>
      <c r="G95" s="7" t="s">
        <v>310</v>
      </c>
      <c r="H95" s="7" t="s">
        <v>311</v>
      </c>
      <c r="I95" s="7" t="s">
        <v>312</v>
      </c>
      <c r="J95" s="1209"/>
      <c r="K95" s="1214"/>
      <c r="L95" s="1227"/>
    </row>
    <row r="96" spans="1:12" s="26" customFormat="1" ht="16" customHeight="1" x14ac:dyDescent="0.35">
      <c r="A96" s="589">
        <v>48</v>
      </c>
      <c r="B96" s="43" t="s">
        <v>254</v>
      </c>
      <c r="C96" s="15">
        <f>SUM(E96:I96)</f>
        <v>2.19</v>
      </c>
      <c r="D96" s="590">
        <f>'[23]road inventory 2018'!C109</f>
        <v>2.1</v>
      </c>
      <c r="E96" s="15">
        <v>0</v>
      </c>
      <c r="F96" s="15">
        <v>0</v>
      </c>
      <c r="G96" s="15">
        <v>0</v>
      </c>
      <c r="H96" s="15">
        <v>2.19</v>
      </c>
      <c r="I96" s="15">
        <v>0</v>
      </c>
      <c r="J96" s="106" t="s">
        <v>12</v>
      </c>
      <c r="K96" s="591" t="s">
        <v>412</v>
      </c>
      <c r="L96" s="592"/>
    </row>
    <row r="97" spans="1:12" s="26" customFormat="1" ht="16" customHeight="1" x14ac:dyDescent="0.35">
      <c r="A97" s="589">
        <v>50</v>
      </c>
      <c r="B97" s="43" t="s">
        <v>255</v>
      </c>
      <c r="C97" s="15">
        <f t="shared" ref="C97:C122" si="8">SUM(E97:I97)</f>
        <v>7.69</v>
      </c>
      <c r="D97" s="590">
        <f>'[23]road inventory 2018'!C110</f>
        <v>7.6</v>
      </c>
      <c r="E97" s="15">
        <v>1.79</v>
      </c>
      <c r="F97" s="15">
        <v>0</v>
      </c>
      <c r="G97" s="15">
        <v>0</v>
      </c>
      <c r="H97" s="15">
        <v>5.9</v>
      </c>
      <c r="I97" s="15">
        <v>0</v>
      </c>
      <c r="J97" s="106" t="s">
        <v>12</v>
      </c>
      <c r="K97" s="591" t="s">
        <v>413</v>
      </c>
      <c r="L97" s="24"/>
    </row>
    <row r="98" spans="1:12" s="26" customFormat="1" ht="16" customHeight="1" x14ac:dyDescent="0.35">
      <c r="A98" s="589">
        <v>51</v>
      </c>
      <c r="B98" s="43" t="s">
        <v>248</v>
      </c>
      <c r="C98" s="15">
        <f t="shared" si="8"/>
        <v>3.96</v>
      </c>
      <c r="D98" s="590">
        <f>'[23]road inventory 2018'!C111</f>
        <v>3</v>
      </c>
      <c r="E98" s="15">
        <v>0</v>
      </c>
      <c r="F98" s="15">
        <v>0</v>
      </c>
      <c r="G98" s="15">
        <v>0</v>
      </c>
      <c r="H98" s="15">
        <v>3.96</v>
      </c>
      <c r="I98" s="15">
        <v>0</v>
      </c>
      <c r="J98" s="106" t="s">
        <v>12</v>
      </c>
      <c r="K98" s="591" t="s">
        <v>414</v>
      </c>
      <c r="L98" s="24"/>
    </row>
    <row r="99" spans="1:12" s="26" customFormat="1" ht="16" customHeight="1" x14ac:dyDescent="0.35">
      <c r="A99" s="589">
        <v>52</v>
      </c>
      <c r="B99" s="43" t="s">
        <v>251</v>
      </c>
      <c r="C99" s="15">
        <f t="shared" si="8"/>
        <v>6.64</v>
      </c>
      <c r="D99" s="590">
        <f>'[23]road inventory 2018'!C112</f>
        <v>6.5</v>
      </c>
      <c r="E99" s="15">
        <v>0</v>
      </c>
      <c r="F99" s="15">
        <v>0</v>
      </c>
      <c r="G99" s="15">
        <v>0</v>
      </c>
      <c r="H99" s="15">
        <v>6.64</v>
      </c>
      <c r="I99" s="15">
        <v>0</v>
      </c>
      <c r="J99" s="106" t="s">
        <v>12</v>
      </c>
      <c r="K99" s="591" t="s">
        <v>415</v>
      </c>
      <c r="L99" s="24"/>
    </row>
    <row r="100" spans="1:12" s="26" customFormat="1" ht="16" customHeight="1" x14ac:dyDescent="0.35">
      <c r="A100" s="589">
        <v>53</v>
      </c>
      <c r="B100" s="43" t="s">
        <v>249</v>
      </c>
      <c r="C100" s="15">
        <f t="shared" si="8"/>
        <v>6.46</v>
      </c>
      <c r="D100" s="590">
        <f>'[23]road inventory 2018'!C113</f>
        <v>6.4</v>
      </c>
      <c r="E100" s="15">
        <v>5.64</v>
      </c>
      <c r="F100" s="15">
        <v>0</v>
      </c>
      <c r="G100" s="15">
        <v>0</v>
      </c>
      <c r="H100" s="15">
        <v>0.82</v>
      </c>
      <c r="I100" s="15">
        <v>0</v>
      </c>
      <c r="J100" s="106" t="s">
        <v>12</v>
      </c>
      <c r="K100" s="591" t="s">
        <v>416</v>
      </c>
      <c r="L100" s="24"/>
    </row>
    <row r="101" spans="1:12" s="26" customFormat="1" ht="16" customHeight="1" x14ac:dyDescent="0.35">
      <c r="A101" s="589">
        <v>54</v>
      </c>
      <c r="B101" s="43" t="s">
        <v>252</v>
      </c>
      <c r="C101" s="15">
        <f t="shared" si="8"/>
        <v>1.69</v>
      </c>
      <c r="D101" s="590">
        <f>'[23]road inventory 2018'!C114</f>
        <v>1.6</v>
      </c>
      <c r="E101" s="15">
        <v>1.18</v>
      </c>
      <c r="F101" s="15">
        <v>0</v>
      </c>
      <c r="G101" s="15">
        <v>0</v>
      </c>
      <c r="H101" s="15">
        <v>0.51</v>
      </c>
      <c r="I101" s="15">
        <v>0</v>
      </c>
      <c r="J101" s="106" t="s">
        <v>10</v>
      </c>
      <c r="K101" s="591" t="s">
        <v>417</v>
      </c>
      <c r="L101" s="24"/>
    </row>
    <row r="102" spans="1:12" s="26" customFormat="1" ht="16" customHeight="1" x14ac:dyDescent="0.35">
      <c r="A102" s="589">
        <v>103</v>
      </c>
      <c r="B102" s="43" t="s">
        <v>245</v>
      </c>
      <c r="C102" s="15">
        <f t="shared" si="8"/>
        <v>1.27</v>
      </c>
      <c r="D102" s="590">
        <f>'[23]road inventory 2018'!C115</f>
        <v>1.2</v>
      </c>
      <c r="E102" s="15">
        <v>0.19</v>
      </c>
      <c r="F102" s="15">
        <v>0</v>
      </c>
      <c r="G102" s="15">
        <v>0</v>
      </c>
      <c r="H102" s="15">
        <v>1.08</v>
      </c>
      <c r="I102" s="15">
        <v>0</v>
      </c>
      <c r="J102" s="106" t="s">
        <v>10</v>
      </c>
      <c r="K102" s="591" t="s">
        <v>418</v>
      </c>
      <c r="L102" s="24"/>
    </row>
    <row r="103" spans="1:12" s="26" customFormat="1" ht="16" customHeight="1" x14ac:dyDescent="0.35">
      <c r="A103" s="589">
        <v>55</v>
      </c>
      <c r="B103" s="43" t="s">
        <v>244</v>
      </c>
      <c r="C103" s="15">
        <f t="shared" si="8"/>
        <v>4.18</v>
      </c>
      <c r="D103" s="590">
        <f>'[23]road inventory 2018'!C116</f>
        <v>4.0999999999999996</v>
      </c>
      <c r="E103" s="15">
        <v>0</v>
      </c>
      <c r="F103" s="15">
        <v>0</v>
      </c>
      <c r="G103" s="15">
        <v>0</v>
      </c>
      <c r="H103" s="15">
        <v>4.18</v>
      </c>
      <c r="I103" s="15">
        <v>0</v>
      </c>
      <c r="J103" s="106" t="s">
        <v>12</v>
      </c>
      <c r="K103" s="591" t="s">
        <v>419</v>
      </c>
      <c r="L103" s="24"/>
    </row>
    <row r="104" spans="1:12" s="26" customFormat="1" ht="16" customHeight="1" x14ac:dyDescent="0.35">
      <c r="A104" s="589">
        <v>57</v>
      </c>
      <c r="B104" s="43" t="s">
        <v>268</v>
      </c>
      <c r="C104" s="15">
        <f t="shared" si="8"/>
        <v>1.36</v>
      </c>
      <c r="D104" s="590">
        <f>'[23]road inventory 2018'!C117</f>
        <v>1.3</v>
      </c>
      <c r="E104" s="15">
        <v>0.3</v>
      </c>
      <c r="F104" s="15">
        <v>0</v>
      </c>
      <c r="G104" s="15">
        <v>0</v>
      </c>
      <c r="H104" s="15">
        <v>1.06</v>
      </c>
      <c r="I104" s="15">
        <v>0</v>
      </c>
      <c r="J104" s="106" t="s">
        <v>12</v>
      </c>
      <c r="K104" s="591" t="s">
        <v>420</v>
      </c>
      <c r="L104" s="24"/>
    </row>
    <row r="105" spans="1:12" s="26" customFormat="1" ht="16" customHeight="1" x14ac:dyDescent="0.35">
      <c r="A105" s="589">
        <v>97</v>
      </c>
      <c r="B105" s="43" t="s">
        <v>51</v>
      </c>
      <c r="C105" s="15">
        <f t="shared" si="8"/>
        <v>8.4499999999999993</v>
      </c>
      <c r="D105" s="590">
        <f>'[23]road inventory 2018'!C120</f>
        <v>8.3000000000000007</v>
      </c>
      <c r="E105" s="15">
        <v>8.4499999999999993</v>
      </c>
      <c r="F105" s="15">
        <v>0</v>
      </c>
      <c r="G105" s="15">
        <v>0</v>
      </c>
      <c r="H105" s="15">
        <v>0</v>
      </c>
      <c r="I105" s="15">
        <v>0</v>
      </c>
      <c r="J105" s="106" t="s">
        <v>10</v>
      </c>
      <c r="K105" s="591" t="s">
        <v>423</v>
      </c>
      <c r="L105" s="24"/>
    </row>
    <row r="106" spans="1:12" s="26" customFormat="1" ht="16" customHeight="1" x14ac:dyDescent="0.35">
      <c r="A106" s="589">
        <v>56</v>
      </c>
      <c r="B106" s="43" t="s">
        <v>250</v>
      </c>
      <c r="C106" s="15">
        <f t="shared" si="8"/>
        <v>5.7200000000000006</v>
      </c>
      <c r="D106" s="590">
        <f>'[23]road inventory 2018'!C121</f>
        <v>5.7</v>
      </c>
      <c r="E106" s="15">
        <v>1.73</v>
      </c>
      <c r="F106" s="15">
        <v>0</v>
      </c>
      <c r="G106" s="15">
        <v>0</v>
      </c>
      <c r="H106" s="15">
        <v>3.99</v>
      </c>
      <c r="I106" s="15">
        <v>0</v>
      </c>
      <c r="J106" s="106" t="s">
        <v>12</v>
      </c>
      <c r="K106" s="591" t="s">
        <v>414</v>
      </c>
      <c r="L106" s="24"/>
    </row>
    <row r="107" spans="1:12" s="26" customFormat="1" ht="16" customHeight="1" x14ac:dyDescent="0.35">
      <c r="A107" s="589">
        <v>60</v>
      </c>
      <c r="B107" s="43" t="s">
        <v>253</v>
      </c>
      <c r="C107" s="15">
        <f t="shared" si="8"/>
        <v>9.1999999999999993</v>
      </c>
      <c r="D107" s="590">
        <f>'[23]road inventory 2018'!C122</f>
        <v>9.1999999999999993</v>
      </c>
      <c r="E107" s="15">
        <v>7.1</v>
      </c>
      <c r="F107" s="15">
        <v>0</v>
      </c>
      <c r="G107" s="15">
        <v>0</v>
      </c>
      <c r="H107" s="15">
        <v>2.1</v>
      </c>
      <c r="I107" s="15">
        <v>0</v>
      </c>
      <c r="J107" s="106" t="s">
        <v>10</v>
      </c>
      <c r="K107" s="591" t="s">
        <v>424</v>
      </c>
      <c r="L107" s="24"/>
    </row>
    <row r="108" spans="1:12" s="26" customFormat="1" ht="16" customHeight="1" x14ac:dyDescent="0.35">
      <c r="A108" s="589">
        <v>61</v>
      </c>
      <c r="B108" s="43" t="s">
        <v>260</v>
      </c>
      <c r="C108" s="15">
        <f t="shared" si="8"/>
        <v>4.5</v>
      </c>
      <c r="D108" s="590">
        <f>'[23]road inventory 2018'!C123</f>
        <v>4.5</v>
      </c>
      <c r="E108" s="15">
        <v>1.63</v>
      </c>
      <c r="F108" s="15">
        <v>0</v>
      </c>
      <c r="G108" s="15">
        <v>0</v>
      </c>
      <c r="H108" s="15">
        <v>2.87</v>
      </c>
      <c r="I108" s="15">
        <v>0</v>
      </c>
      <c r="J108" s="106" t="s">
        <v>10</v>
      </c>
      <c r="K108" s="591" t="s">
        <v>425</v>
      </c>
      <c r="L108" s="24"/>
    </row>
    <row r="109" spans="1:12" s="26" customFormat="1" ht="16" customHeight="1" x14ac:dyDescent="0.35">
      <c r="A109" s="589">
        <v>62</v>
      </c>
      <c r="B109" s="43" t="s">
        <v>269</v>
      </c>
      <c r="C109" s="15">
        <f t="shared" si="8"/>
        <v>3.03</v>
      </c>
      <c r="D109" s="590">
        <f>'[23]road inventory 2018'!C124</f>
        <v>2</v>
      </c>
      <c r="E109" s="15">
        <v>0</v>
      </c>
      <c r="F109" s="15">
        <v>0</v>
      </c>
      <c r="G109" s="15">
        <v>0</v>
      </c>
      <c r="H109" s="15">
        <v>3.03</v>
      </c>
      <c r="I109" s="15">
        <v>0</v>
      </c>
      <c r="J109" s="106" t="s">
        <v>12</v>
      </c>
      <c r="K109" s="591" t="s">
        <v>426</v>
      </c>
      <c r="L109" s="24"/>
    </row>
    <row r="110" spans="1:12" s="26" customFormat="1" ht="16" customHeight="1" x14ac:dyDescent="0.35">
      <c r="A110" s="589">
        <v>63</v>
      </c>
      <c r="B110" s="43" t="s">
        <v>265</v>
      </c>
      <c r="C110" s="15">
        <f t="shared" si="8"/>
        <v>3.04</v>
      </c>
      <c r="D110" s="590">
        <f>'[23]road inventory 2018'!C125</f>
        <v>3</v>
      </c>
      <c r="E110" s="15">
        <v>0.11</v>
      </c>
      <c r="F110" s="15">
        <v>0</v>
      </c>
      <c r="G110" s="15">
        <v>0</v>
      </c>
      <c r="H110" s="15">
        <v>2.93</v>
      </c>
      <c r="I110" s="15">
        <v>0</v>
      </c>
      <c r="J110" s="106" t="s">
        <v>12</v>
      </c>
      <c r="K110" s="591" t="s">
        <v>427</v>
      </c>
      <c r="L110" s="24"/>
    </row>
    <row r="111" spans="1:12" s="26" customFormat="1" ht="16" customHeight="1" x14ac:dyDescent="0.35">
      <c r="A111" s="589">
        <v>98</v>
      </c>
      <c r="B111" s="43" t="s">
        <v>247</v>
      </c>
      <c r="C111" s="15">
        <f t="shared" si="8"/>
        <v>5.18</v>
      </c>
      <c r="D111" s="590">
        <f>'[23]road inventory 2018'!C126</f>
        <v>5.1000000000000005</v>
      </c>
      <c r="E111" s="15">
        <v>5.08</v>
      </c>
      <c r="F111" s="15">
        <v>0</v>
      </c>
      <c r="G111" s="15">
        <v>0</v>
      </c>
      <c r="H111" s="15">
        <v>0.1</v>
      </c>
      <c r="I111" s="15">
        <v>0</v>
      </c>
      <c r="J111" s="106" t="s">
        <v>12</v>
      </c>
      <c r="K111" s="591" t="s">
        <v>428</v>
      </c>
      <c r="L111" s="24"/>
    </row>
    <row r="112" spans="1:12" s="26" customFormat="1" ht="16" customHeight="1" x14ac:dyDescent="0.35">
      <c r="A112" s="589">
        <v>64</v>
      </c>
      <c r="B112" s="43" t="s">
        <v>246</v>
      </c>
      <c r="C112" s="15">
        <f t="shared" si="8"/>
        <v>3.64</v>
      </c>
      <c r="D112" s="590">
        <f>'[23]road inventory 2018'!C127</f>
        <v>3.6</v>
      </c>
      <c r="E112" s="15">
        <v>2.41</v>
      </c>
      <c r="F112" s="15">
        <v>0</v>
      </c>
      <c r="G112" s="15">
        <v>0</v>
      </c>
      <c r="H112" s="15">
        <v>1.23</v>
      </c>
      <c r="I112" s="15">
        <v>0</v>
      </c>
      <c r="J112" s="106" t="s">
        <v>12</v>
      </c>
      <c r="K112" s="591" t="s">
        <v>429</v>
      </c>
      <c r="L112" s="24"/>
    </row>
    <row r="113" spans="1:12" s="26" customFormat="1" ht="16" customHeight="1" x14ac:dyDescent="0.35">
      <c r="A113" s="589">
        <v>96</v>
      </c>
      <c r="B113" s="43" t="s">
        <v>270</v>
      </c>
      <c r="C113" s="15">
        <f t="shared" si="8"/>
        <v>5.7299999999999995</v>
      </c>
      <c r="D113" s="590">
        <f>'[23]road inventory 2018'!C128</f>
        <v>5.6999999999999993</v>
      </c>
      <c r="E113" s="15">
        <v>0.3</v>
      </c>
      <c r="F113" s="15">
        <v>0</v>
      </c>
      <c r="G113" s="15">
        <v>0</v>
      </c>
      <c r="H113" s="15">
        <v>5.43</v>
      </c>
      <c r="I113" s="15">
        <v>0</v>
      </c>
      <c r="J113" s="106" t="s">
        <v>12</v>
      </c>
      <c r="K113" s="591" t="s">
        <v>430</v>
      </c>
      <c r="L113" s="24"/>
    </row>
    <row r="114" spans="1:12" s="26" customFormat="1" ht="16" customHeight="1" x14ac:dyDescent="0.35">
      <c r="A114" s="589">
        <v>65</v>
      </c>
      <c r="B114" s="43" t="s">
        <v>261</v>
      </c>
      <c r="C114" s="15">
        <f t="shared" si="8"/>
        <v>2.7</v>
      </c>
      <c r="D114" s="590">
        <f>'[23]road inventory 2018'!C129</f>
        <v>1.65</v>
      </c>
      <c r="E114" s="15">
        <v>0</v>
      </c>
      <c r="F114" s="15">
        <v>0</v>
      </c>
      <c r="G114" s="15">
        <v>0</v>
      </c>
      <c r="H114" s="15">
        <v>2.7</v>
      </c>
      <c r="I114" s="15">
        <v>0</v>
      </c>
      <c r="J114" s="106" t="s">
        <v>12</v>
      </c>
      <c r="K114" s="591" t="s">
        <v>431</v>
      </c>
      <c r="L114" s="24"/>
    </row>
    <row r="115" spans="1:12" s="26" customFormat="1" ht="16" customHeight="1" x14ac:dyDescent="0.35">
      <c r="A115" s="589">
        <v>66</v>
      </c>
      <c r="B115" s="43" t="s">
        <v>432</v>
      </c>
      <c r="C115" s="15">
        <f t="shared" si="8"/>
        <v>3.8400000000000003</v>
      </c>
      <c r="D115" s="590">
        <f>'[23]road inventory 2018'!C130</f>
        <v>3.8000000000000003</v>
      </c>
      <c r="E115" s="15">
        <v>0.1</v>
      </c>
      <c r="F115" s="15">
        <v>0</v>
      </c>
      <c r="G115" s="15">
        <v>0</v>
      </c>
      <c r="H115" s="15">
        <v>3.74</v>
      </c>
      <c r="I115" s="15">
        <v>0</v>
      </c>
      <c r="J115" s="106" t="s">
        <v>12</v>
      </c>
      <c r="K115" s="591" t="s">
        <v>433</v>
      </c>
      <c r="L115" s="24"/>
    </row>
    <row r="116" spans="1:12" s="26" customFormat="1" ht="16" customHeight="1" thickBot="1" x14ac:dyDescent="0.4">
      <c r="A116" s="649">
        <v>69</v>
      </c>
      <c r="B116" s="650" t="s">
        <v>264</v>
      </c>
      <c r="C116" s="15">
        <f t="shared" si="8"/>
        <v>1.68</v>
      </c>
      <c r="D116" s="590">
        <f>'[23]road inventory 2018'!C133</f>
        <v>1.6</v>
      </c>
      <c r="E116" s="65">
        <v>0</v>
      </c>
      <c r="F116" s="65">
        <v>0</v>
      </c>
      <c r="G116" s="65">
        <v>0</v>
      </c>
      <c r="H116" s="65">
        <v>1.68</v>
      </c>
      <c r="I116" s="65">
        <v>0</v>
      </c>
      <c r="J116" s="651" t="s">
        <v>12</v>
      </c>
      <c r="K116" s="652" t="s">
        <v>435</v>
      </c>
      <c r="L116" s="24"/>
    </row>
    <row r="117" spans="1:12" s="26" customFormat="1" ht="16" customHeight="1" x14ac:dyDescent="0.35">
      <c r="A117" s="589">
        <v>70</v>
      </c>
      <c r="B117" s="43" t="s">
        <v>263</v>
      </c>
      <c r="C117" s="15">
        <f>SUM(E117:I117)</f>
        <v>2.77</v>
      </c>
      <c r="D117" s="590">
        <f>'[23]road inventory 2018'!C136</f>
        <v>2.6</v>
      </c>
      <c r="E117" s="15">
        <v>0</v>
      </c>
      <c r="F117" s="15">
        <v>0</v>
      </c>
      <c r="G117" s="15">
        <v>0</v>
      </c>
      <c r="H117" s="15">
        <v>2.77</v>
      </c>
      <c r="I117" s="15">
        <v>0</v>
      </c>
      <c r="J117" s="106" t="s">
        <v>12</v>
      </c>
      <c r="K117" s="591" t="s">
        <v>436</v>
      </c>
      <c r="L117" s="24"/>
    </row>
    <row r="118" spans="1:12" s="26" customFormat="1" ht="16" customHeight="1" x14ac:dyDescent="0.35">
      <c r="A118" s="589">
        <v>71</v>
      </c>
      <c r="B118" s="43" t="s">
        <v>54</v>
      </c>
      <c r="C118" s="15">
        <f t="shared" si="8"/>
        <v>2.69</v>
      </c>
      <c r="D118" s="590">
        <f>'[23]road inventory 2018'!C137</f>
        <v>2.7</v>
      </c>
      <c r="E118" s="15">
        <v>0</v>
      </c>
      <c r="F118" s="15">
        <v>0</v>
      </c>
      <c r="G118" s="15">
        <v>0</v>
      </c>
      <c r="H118" s="15">
        <v>2.69</v>
      </c>
      <c r="I118" s="15">
        <v>0</v>
      </c>
      <c r="J118" s="106" t="s">
        <v>12</v>
      </c>
      <c r="K118" s="591" t="s">
        <v>437</v>
      </c>
      <c r="L118" s="24"/>
    </row>
    <row r="119" spans="1:12" s="26" customFormat="1" ht="16" customHeight="1" x14ac:dyDescent="0.35">
      <c r="A119" s="589">
        <v>72</v>
      </c>
      <c r="B119" s="43" t="s">
        <v>56</v>
      </c>
      <c r="C119" s="15">
        <f t="shared" si="8"/>
        <v>1.8900000000000001</v>
      </c>
      <c r="D119" s="590">
        <f>'[23]road inventory 2018'!C138</f>
        <v>1.7</v>
      </c>
      <c r="E119" s="15">
        <v>0.83</v>
      </c>
      <c r="F119" s="15">
        <v>0</v>
      </c>
      <c r="G119" s="15">
        <v>0</v>
      </c>
      <c r="H119" s="15">
        <v>1.06</v>
      </c>
      <c r="I119" s="15">
        <v>0</v>
      </c>
      <c r="J119" s="106" t="s">
        <v>12</v>
      </c>
      <c r="K119" s="591" t="s">
        <v>438</v>
      </c>
      <c r="L119" s="24"/>
    </row>
    <row r="120" spans="1:12" s="26" customFormat="1" ht="16" customHeight="1" x14ac:dyDescent="0.35">
      <c r="A120" s="589">
        <v>73</v>
      </c>
      <c r="B120" s="24" t="s">
        <v>258</v>
      </c>
      <c r="C120" s="15">
        <f t="shared" si="8"/>
        <v>4.5599999999999996</v>
      </c>
      <c r="D120" s="590">
        <f>'[23]road inventory 2018'!C139</f>
        <v>5.5</v>
      </c>
      <c r="E120" s="15">
        <v>0</v>
      </c>
      <c r="F120" s="15">
        <v>0</v>
      </c>
      <c r="G120" s="15">
        <v>0</v>
      </c>
      <c r="H120" s="15">
        <v>4.5599999999999996</v>
      </c>
      <c r="I120" s="15">
        <v>0</v>
      </c>
      <c r="J120" s="106" t="s">
        <v>12</v>
      </c>
      <c r="K120" s="591" t="s">
        <v>439</v>
      </c>
      <c r="L120" s="24"/>
    </row>
    <row r="121" spans="1:12" s="1" customFormat="1" ht="16" customHeight="1" x14ac:dyDescent="0.35">
      <c r="A121" s="596">
        <v>75</v>
      </c>
      <c r="B121" s="28" t="s">
        <v>259</v>
      </c>
      <c r="C121" s="15">
        <f t="shared" si="8"/>
        <v>3.1</v>
      </c>
      <c r="D121" s="590">
        <f>'[23]road inventory 2018'!C141</f>
        <v>2.1</v>
      </c>
      <c r="E121" s="10">
        <v>0</v>
      </c>
      <c r="F121" s="10">
        <v>0</v>
      </c>
      <c r="G121" s="10">
        <v>0</v>
      </c>
      <c r="H121" s="10">
        <v>3.1</v>
      </c>
      <c r="I121" s="10">
        <v>0</v>
      </c>
      <c r="J121" s="103" t="s">
        <v>12</v>
      </c>
      <c r="K121" s="597" t="s">
        <v>440</v>
      </c>
      <c r="L121" s="28"/>
    </row>
    <row r="122" spans="1:12" s="26" customFormat="1" ht="16" customHeight="1" x14ac:dyDescent="0.35">
      <c r="A122" s="589">
        <v>76</v>
      </c>
      <c r="B122" s="24" t="s">
        <v>256</v>
      </c>
      <c r="C122" s="15">
        <f t="shared" si="8"/>
        <v>0.2</v>
      </c>
      <c r="D122" s="590">
        <f>'[23]road inventory 2018'!C142</f>
        <v>0.2</v>
      </c>
      <c r="E122" s="15">
        <v>0.2</v>
      </c>
      <c r="F122" s="15">
        <v>0</v>
      </c>
      <c r="G122" s="15">
        <v>0</v>
      </c>
      <c r="H122" s="15">
        <v>0</v>
      </c>
      <c r="I122" s="15">
        <v>0</v>
      </c>
      <c r="J122" s="106" t="s">
        <v>10</v>
      </c>
      <c r="K122" s="591" t="s">
        <v>425</v>
      </c>
      <c r="L122" s="24"/>
    </row>
    <row r="123" spans="1:12" s="26" customFormat="1" ht="16" customHeight="1" x14ac:dyDescent="0.35">
      <c r="A123" s="626"/>
      <c r="B123" s="60"/>
      <c r="C123" s="61">
        <f t="shared" ref="C123:I123" si="9">SUM(C96:C122)</f>
        <v>107.36000000000001</v>
      </c>
      <c r="D123" s="636">
        <f t="shared" si="9"/>
        <v>102.74999999999999</v>
      </c>
      <c r="E123" s="61">
        <f t="shared" si="9"/>
        <v>37.04</v>
      </c>
      <c r="F123" s="61">
        <f t="shared" si="9"/>
        <v>0</v>
      </c>
      <c r="G123" s="61">
        <f t="shared" si="9"/>
        <v>0</v>
      </c>
      <c r="H123" s="61">
        <f t="shared" si="9"/>
        <v>70.319999999999993</v>
      </c>
      <c r="I123" s="61">
        <f t="shared" si="9"/>
        <v>0</v>
      </c>
      <c r="J123" s="628"/>
      <c r="K123" s="629"/>
      <c r="L123" s="24"/>
    </row>
    <row r="124" spans="1:12" s="1" customFormat="1" ht="18" customHeight="1" thickBot="1" x14ac:dyDescent="0.4">
      <c r="A124" s="53" t="s">
        <v>341</v>
      </c>
      <c r="B124" s="34"/>
      <c r="C124" s="31">
        <f>E124+H124</f>
        <v>107.35999999999999</v>
      </c>
      <c r="D124" s="630"/>
      <c r="E124" s="31">
        <f>SUM(E96:E122)</f>
        <v>37.04</v>
      </c>
      <c r="F124" s="31">
        <f>SUM(F96:F122)</f>
        <v>0</v>
      </c>
      <c r="G124" s="31">
        <f>SUM(G96:G122)</f>
        <v>0</v>
      </c>
      <c r="H124" s="31">
        <f>SUM(H96:H122)</f>
        <v>70.319999999999993</v>
      </c>
      <c r="I124" s="31">
        <f>SUM(I96:I122)</f>
        <v>0</v>
      </c>
      <c r="J124" s="608"/>
      <c r="K124" s="609"/>
      <c r="L124" s="653"/>
    </row>
    <row r="125" spans="1:12" s="1" customFormat="1" ht="18" customHeight="1" x14ac:dyDescent="0.35">
      <c r="A125" s="544"/>
      <c r="B125" s="35"/>
      <c r="C125" s="22"/>
      <c r="D125" s="610"/>
      <c r="E125" s="22"/>
      <c r="F125" s="22"/>
      <c r="G125" s="22"/>
      <c r="H125" s="22"/>
      <c r="I125" s="22"/>
      <c r="K125" s="21"/>
      <c r="L125" s="653"/>
    </row>
    <row r="126" spans="1:12" s="1" customFormat="1" x14ac:dyDescent="0.35">
      <c r="A126" s="1203" t="s">
        <v>441</v>
      </c>
      <c r="B126" s="1204"/>
      <c r="C126" s="1204"/>
      <c r="D126" s="1204"/>
      <c r="E126" s="1204"/>
      <c r="F126" s="1204"/>
      <c r="G126" s="1204"/>
      <c r="H126" s="1204"/>
      <c r="I126" s="1204"/>
      <c r="J126" s="1204"/>
      <c r="K126" s="1204"/>
      <c r="L126" s="1205"/>
    </row>
    <row r="127" spans="1:12" s="1" customFormat="1" ht="16" thickBot="1" x14ac:dyDescent="0.4">
      <c r="A127" s="585"/>
      <c r="B127" s="2"/>
      <c r="C127" s="5"/>
      <c r="D127" s="586"/>
      <c r="E127" s="5"/>
      <c r="F127" s="5"/>
      <c r="G127" s="5"/>
      <c r="H127" s="5"/>
      <c r="I127" s="5"/>
      <c r="J127" s="3"/>
      <c r="K127" s="21"/>
      <c r="L127" s="97"/>
    </row>
    <row r="128" spans="1:12" s="1" customFormat="1" ht="21" customHeight="1" x14ac:dyDescent="0.35">
      <c r="A128" s="1206" t="s">
        <v>302</v>
      </c>
      <c r="B128" s="1208" t="s">
        <v>28</v>
      </c>
      <c r="C128" s="1210" t="s">
        <v>343</v>
      </c>
      <c r="D128" s="613"/>
      <c r="E128" s="1212" t="s">
        <v>305</v>
      </c>
      <c r="F128" s="1212"/>
      <c r="G128" s="1212"/>
      <c r="H128" s="1212"/>
      <c r="I128" s="1212"/>
      <c r="J128" s="1208" t="s">
        <v>29</v>
      </c>
      <c r="K128" s="1213" t="s">
        <v>306</v>
      </c>
      <c r="L128" s="1226" t="s">
        <v>307</v>
      </c>
    </row>
    <row r="129" spans="1:12" s="1" customFormat="1" ht="21" customHeight="1" thickBot="1" x14ac:dyDescent="0.4">
      <c r="A129" s="1207"/>
      <c r="B129" s="1209"/>
      <c r="C129" s="1211"/>
      <c r="D129" s="614"/>
      <c r="E129" s="7" t="s">
        <v>308</v>
      </c>
      <c r="F129" s="7" t="s">
        <v>309</v>
      </c>
      <c r="G129" s="7" t="s">
        <v>310</v>
      </c>
      <c r="H129" s="7" t="s">
        <v>311</v>
      </c>
      <c r="I129" s="7" t="s">
        <v>312</v>
      </c>
      <c r="J129" s="1209"/>
      <c r="K129" s="1214"/>
      <c r="L129" s="1227"/>
    </row>
    <row r="130" spans="1:12" s="26" customFormat="1" ht="16.5" customHeight="1" x14ac:dyDescent="0.35">
      <c r="A130" s="626">
        <v>95</v>
      </c>
      <c r="B130" s="43" t="s">
        <v>276</v>
      </c>
      <c r="C130" s="61">
        <f>SUM(E130:I130)</f>
        <v>2.3200000000000003</v>
      </c>
      <c r="D130" s="636">
        <f>'[23]road inventory 2018'!C149</f>
        <v>3</v>
      </c>
      <c r="E130" s="15">
        <v>1.02</v>
      </c>
      <c r="F130" s="15">
        <v>0</v>
      </c>
      <c r="G130" s="15">
        <v>0</v>
      </c>
      <c r="H130" s="61">
        <v>1.3</v>
      </c>
      <c r="I130" s="15">
        <v>0</v>
      </c>
      <c r="J130" s="106" t="s">
        <v>10</v>
      </c>
      <c r="K130" s="591" t="s">
        <v>442</v>
      </c>
      <c r="L130" s="592"/>
    </row>
    <row r="131" spans="1:12" s="26" customFormat="1" ht="15" customHeight="1" x14ac:dyDescent="0.35">
      <c r="A131" s="589">
        <v>77</v>
      </c>
      <c r="B131" s="43" t="s">
        <v>271</v>
      </c>
      <c r="C131" s="61">
        <f>SUM(E131:I131)</f>
        <v>0.76</v>
      </c>
      <c r="D131" s="636">
        <f>'[23]road inventory 2018'!C150</f>
        <v>0.7</v>
      </c>
      <c r="E131" s="15">
        <v>0.76</v>
      </c>
      <c r="F131" s="15">
        <v>0</v>
      </c>
      <c r="G131" s="15">
        <v>0</v>
      </c>
      <c r="H131" s="15">
        <v>0</v>
      </c>
      <c r="I131" s="15">
        <v>0</v>
      </c>
      <c r="J131" s="106" t="s">
        <v>10</v>
      </c>
      <c r="K131" s="591" t="s">
        <v>443</v>
      </c>
      <c r="L131" s="24"/>
    </row>
    <row r="132" spans="1:12" s="26" customFormat="1" ht="15" customHeight="1" x14ac:dyDescent="0.35">
      <c r="A132" s="589">
        <v>94</v>
      </c>
      <c r="B132" s="43" t="s">
        <v>278</v>
      </c>
      <c r="C132" s="61">
        <f>SUM(E132:I132)</f>
        <v>0.6</v>
      </c>
      <c r="D132" s="636">
        <f>'[23]road inventory 2018'!C151</f>
        <v>0.6</v>
      </c>
      <c r="E132" s="15">
        <v>0.5</v>
      </c>
      <c r="F132" s="15">
        <v>0</v>
      </c>
      <c r="G132" s="15">
        <v>0</v>
      </c>
      <c r="H132" s="15">
        <v>0.1</v>
      </c>
      <c r="I132" s="15">
        <v>0</v>
      </c>
      <c r="J132" s="106" t="s">
        <v>10</v>
      </c>
      <c r="K132" s="591" t="s">
        <v>444</v>
      </c>
      <c r="L132" s="24"/>
    </row>
    <row r="133" spans="1:12" s="1" customFormat="1" x14ac:dyDescent="0.35">
      <c r="A133" s="596">
        <v>83</v>
      </c>
      <c r="B133" s="45" t="s">
        <v>58</v>
      </c>
      <c r="C133" s="61">
        <f>SUM(E133:I133)</f>
        <v>4.12</v>
      </c>
      <c r="D133" s="636">
        <f>'[23]road inventory 2018'!C157</f>
        <v>4.2</v>
      </c>
      <c r="E133" s="10">
        <v>0.34</v>
      </c>
      <c r="F133" s="10">
        <v>0</v>
      </c>
      <c r="G133" s="10">
        <v>0</v>
      </c>
      <c r="H133" s="10">
        <v>3.78</v>
      </c>
      <c r="I133" s="10">
        <v>0</v>
      </c>
      <c r="J133" s="103" t="s">
        <v>12</v>
      </c>
      <c r="K133" s="597" t="s">
        <v>447</v>
      </c>
      <c r="L133" s="28"/>
    </row>
    <row r="134" spans="1:12" s="26" customFormat="1" ht="13.15" customHeight="1" x14ac:dyDescent="0.35">
      <c r="A134" s="589">
        <v>85</v>
      </c>
      <c r="B134" s="43" t="s">
        <v>281</v>
      </c>
      <c r="C134" s="61">
        <f>SUM(E134:I134)</f>
        <v>2.86</v>
      </c>
      <c r="D134" s="636">
        <f>'[23]road inventory 2018'!C159</f>
        <v>2.8</v>
      </c>
      <c r="E134" s="15">
        <v>0</v>
      </c>
      <c r="F134" s="15">
        <v>0</v>
      </c>
      <c r="G134" s="15">
        <v>0</v>
      </c>
      <c r="H134" s="15">
        <v>2.86</v>
      </c>
      <c r="I134" s="15">
        <v>0</v>
      </c>
      <c r="J134" s="106" t="s">
        <v>10</v>
      </c>
      <c r="K134" s="591" t="s">
        <v>451</v>
      </c>
      <c r="L134" s="24"/>
    </row>
    <row r="135" spans="1:12" hidden="1" x14ac:dyDescent="0.35">
      <c r="A135" s="635"/>
      <c r="B135" s="654"/>
      <c r="C135" s="41">
        <f t="shared" ref="C135:I135" si="10">SUM(C130:C134)</f>
        <v>10.66</v>
      </c>
      <c r="D135" s="41">
        <f t="shared" si="10"/>
        <v>11.3</v>
      </c>
      <c r="E135" s="41">
        <f t="shared" si="10"/>
        <v>2.62</v>
      </c>
      <c r="F135" s="41">
        <f t="shared" si="10"/>
        <v>0</v>
      </c>
      <c r="G135" s="41">
        <f t="shared" si="10"/>
        <v>0</v>
      </c>
      <c r="H135" s="41">
        <f t="shared" si="10"/>
        <v>8.0399999999999991</v>
      </c>
      <c r="I135" s="41">
        <f t="shared" si="10"/>
        <v>0</v>
      </c>
      <c r="J135" s="109"/>
      <c r="K135" s="605"/>
      <c r="L135" s="28"/>
    </row>
    <row r="136" spans="1:12" ht="18" customHeight="1" thickBot="1" x14ac:dyDescent="0.4">
      <c r="A136" s="53" t="s">
        <v>341</v>
      </c>
      <c r="B136" s="34"/>
      <c r="C136" s="31">
        <f>E136+H136</f>
        <v>10.66</v>
      </c>
      <c r="D136" s="630"/>
      <c r="E136" s="31">
        <f>SUM(E130:E134)</f>
        <v>2.62</v>
      </c>
      <c r="F136" s="31">
        <f>SUM(F130:F134)</f>
        <v>0</v>
      </c>
      <c r="G136" s="31">
        <f>SUM(G130:G134)</f>
        <v>0</v>
      </c>
      <c r="H136" s="31">
        <f>SUM(H130:H134)</f>
        <v>8.0399999999999991</v>
      </c>
      <c r="I136" s="31">
        <f>SUM(I130:I134)</f>
        <v>0</v>
      </c>
      <c r="J136" s="608"/>
      <c r="K136" s="609"/>
      <c r="L136" s="653"/>
    </row>
    <row r="137" spans="1:12" ht="18" customHeight="1" thickBot="1" x14ac:dyDescent="0.4">
      <c r="A137" s="544"/>
      <c r="B137" s="35"/>
      <c r="C137" s="22"/>
      <c r="D137" s="610"/>
      <c r="E137" s="22"/>
      <c r="F137" s="22"/>
      <c r="G137" s="22"/>
      <c r="H137" s="22"/>
      <c r="I137" s="22"/>
      <c r="J137" s="1"/>
      <c r="K137" s="21"/>
      <c r="L137" s="97"/>
    </row>
    <row r="138" spans="1:12" s="1" customFormat="1" x14ac:dyDescent="0.35">
      <c r="A138" s="1217" t="s">
        <v>455</v>
      </c>
      <c r="B138" s="1218"/>
      <c r="C138" s="1218"/>
      <c r="D138" s="1218"/>
      <c r="E138" s="1218"/>
      <c r="F138" s="1218"/>
      <c r="G138" s="1218"/>
      <c r="H138" s="1218"/>
      <c r="I138" s="1218"/>
      <c r="J138" s="1218"/>
      <c r="K138" s="1218"/>
      <c r="L138" s="1219"/>
    </row>
    <row r="139" spans="1:12" s="1" customFormat="1" ht="16" thickBot="1" x14ac:dyDescent="0.4">
      <c r="A139" s="585"/>
      <c r="B139" s="2"/>
      <c r="C139" s="5"/>
      <c r="D139" s="586"/>
      <c r="E139" s="5"/>
      <c r="F139" s="5"/>
      <c r="G139" s="5"/>
      <c r="H139" s="5"/>
      <c r="I139" s="5"/>
      <c r="J139" s="3"/>
      <c r="K139" s="21"/>
      <c r="L139" s="97"/>
    </row>
    <row r="140" spans="1:12" s="1" customFormat="1" ht="21" customHeight="1" x14ac:dyDescent="0.35">
      <c r="A140" s="1206" t="s">
        <v>302</v>
      </c>
      <c r="B140" s="1208" t="s">
        <v>28</v>
      </c>
      <c r="C140" s="1210" t="s">
        <v>343</v>
      </c>
      <c r="D140" s="613"/>
      <c r="E140" s="1212" t="s">
        <v>305</v>
      </c>
      <c r="F140" s="1212"/>
      <c r="G140" s="1212"/>
      <c r="H140" s="1212"/>
      <c r="I140" s="1212"/>
      <c r="J140" s="1208" t="s">
        <v>29</v>
      </c>
      <c r="K140" s="1213" t="s">
        <v>306</v>
      </c>
      <c r="L140" s="1226" t="s">
        <v>307</v>
      </c>
    </row>
    <row r="141" spans="1:12" s="1" customFormat="1" ht="21" customHeight="1" thickBot="1" x14ac:dyDescent="0.4">
      <c r="A141" s="1207"/>
      <c r="B141" s="1209"/>
      <c r="C141" s="1211"/>
      <c r="D141" s="614"/>
      <c r="E141" s="7" t="s">
        <v>308</v>
      </c>
      <c r="F141" s="7" t="s">
        <v>309</v>
      </c>
      <c r="G141" s="7" t="s">
        <v>310</v>
      </c>
      <c r="H141" s="7" t="s">
        <v>311</v>
      </c>
      <c r="I141" s="7" t="s">
        <v>312</v>
      </c>
      <c r="J141" s="1209"/>
      <c r="K141" s="1214"/>
      <c r="L141" s="1227"/>
    </row>
    <row r="142" spans="1:12" x14ac:dyDescent="0.35">
      <c r="A142" s="655">
        <v>91</v>
      </c>
      <c r="B142" s="47" t="s">
        <v>62</v>
      </c>
      <c r="C142" s="11">
        <f>SUM(E142:I142)</f>
        <v>13.07</v>
      </c>
      <c r="D142" s="656">
        <f>'[23]road inventory 2018'!C169</f>
        <v>12.9</v>
      </c>
      <c r="E142" s="11">
        <v>10</v>
      </c>
      <c r="F142" s="11">
        <v>0</v>
      </c>
      <c r="G142" s="11">
        <v>0</v>
      </c>
      <c r="H142" s="11">
        <v>3.07</v>
      </c>
      <c r="I142" s="11">
        <v>0</v>
      </c>
      <c r="J142" s="111" t="s">
        <v>10</v>
      </c>
      <c r="K142" s="657" t="s">
        <v>456</v>
      </c>
      <c r="L142" s="112"/>
    </row>
    <row r="143" spans="1:12" s="16" customFormat="1" x14ac:dyDescent="0.35">
      <c r="A143" s="589">
        <v>92</v>
      </c>
      <c r="B143" s="43" t="s">
        <v>457</v>
      </c>
      <c r="C143" s="11">
        <f>SUM(E143:I143)</f>
        <v>5.6</v>
      </c>
      <c r="D143" s="656">
        <f>'[23]road inventory 2018'!C170</f>
        <v>5.6</v>
      </c>
      <c r="E143" s="15">
        <v>3</v>
      </c>
      <c r="F143" s="15">
        <v>0</v>
      </c>
      <c r="G143" s="15">
        <v>0</v>
      </c>
      <c r="H143" s="15">
        <v>2.6</v>
      </c>
      <c r="I143" s="15">
        <v>0</v>
      </c>
      <c r="J143" s="106" t="s">
        <v>317</v>
      </c>
      <c r="K143" s="591" t="s">
        <v>459</v>
      </c>
      <c r="L143" s="24"/>
    </row>
    <row r="144" spans="1:12" x14ac:dyDescent="0.35">
      <c r="A144" s="658" t="s">
        <v>341</v>
      </c>
      <c r="B144" s="50"/>
      <c r="C144" s="51">
        <f t="shared" ref="C144:I144" si="11">SUM(C142:C143)</f>
        <v>18.670000000000002</v>
      </c>
      <c r="D144" s="51">
        <f t="shared" si="11"/>
        <v>18.5</v>
      </c>
      <c r="E144" s="51">
        <f t="shared" si="11"/>
        <v>13</v>
      </c>
      <c r="F144" s="51">
        <f t="shared" si="11"/>
        <v>0</v>
      </c>
      <c r="G144" s="51">
        <f t="shared" si="11"/>
        <v>0</v>
      </c>
      <c r="H144" s="51">
        <f t="shared" si="11"/>
        <v>5.67</v>
      </c>
      <c r="I144" s="51">
        <f t="shared" si="11"/>
        <v>0</v>
      </c>
      <c r="J144" s="102"/>
      <c r="K144" s="659"/>
      <c r="L144" s="653"/>
    </row>
    <row r="145" spans="1:12" x14ac:dyDescent="0.35">
      <c r="A145" s="596"/>
      <c r="B145" s="45"/>
      <c r="C145" s="10"/>
      <c r="D145" s="615"/>
      <c r="E145" s="10"/>
      <c r="F145" s="10"/>
      <c r="G145" s="10"/>
      <c r="H145" s="10"/>
      <c r="I145" s="10"/>
      <c r="J145" s="103"/>
      <c r="K145" s="597"/>
      <c r="L145" s="28"/>
    </row>
    <row r="146" spans="1:12" ht="18" customHeight="1" thickBot="1" x14ac:dyDescent="0.4">
      <c r="A146" s="1224" t="s">
        <v>460</v>
      </c>
      <c r="B146" s="1225"/>
      <c r="C146" s="660">
        <f>C30+C58+C70+C77+C90+C124+C136+C144</f>
        <v>350.05</v>
      </c>
      <c r="D146" s="661">
        <f>D144+D135+D123+D89+D76+D69+D57+D29</f>
        <v>346.65</v>
      </c>
      <c r="E146" s="660">
        <f>+E144+E136+E124+E90+E77+E70+E58+E30</f>
        <v>136.72</v>
      </c>
      <c r="F146" s="660">
        <f>+F144+F136+F124+F90+F77+F70+F58+F30</f>
        <v>0</v>
      </c>
      <c r="G146" s="660">
        <f>+G144+G136+G124+G90+G77+G70+G58+G30</f>
        <v>0</v>
      </c>
      <c r="H146" s="660">
        <f>+H144+H136+H124+H90+H77+H70+H58+H30</f>
        <v>213.32999999999996</v>
      </c>
      <c r="I146" s="660">
        <f>+I144+I136+I124+I90+I77+I70+I58+I30</f>
        <v>0</v>
      </c>
      <c r="J146" s="662"/>
      <c r="K146" s="663"/>
      <c r="L146" s="664"/>
    </row>
    <row r="147" spans="1:12" ht="18" customHeight="1" thickBot="1" x14ac:dyDescent="0.4">
      <c r="A147" s="544"/>
      <c r="B147" s="35"/>
      <c r="C147" s="22"/>
      <c r="D147" s="610"/>
      <c r="E147" s="22"/>
      <c r="F147" s="22"/>
      <c r="G147" s="22"/>
      <c r="H147" s="22"/>
      <c r="I147" s="22"/>
      <c r="J147" s="1"/>
      <c r="K147" s="21"/>
      <c r="L147" s="97"/>
    </row>
    <row r="148" spans="1:12" s="1" customFormat="1" x14ac:dyDescent="0.35">
      <c r="A148" s="1217" t="s">
        <v>461</v>
      </c>
      <c r="B148" s="1218"/>
      <c r="C148" s="1218"/>
      <c r="D148" s="1218"/>
      <c r="E148" s="1218"/>
      <c r="F148" s="1218"/>
      <c r="G148" s="1218"/>
      <c r="H148" s="1218"/>
      <c r="I148" s="1218"/>
      <c r="J148" s="1218"/>
      <c r="K148" s="1218"/>
      <c r="L148" s="1219"/>
    </row>
    <row r="149" spans="1:12" s="1" customFormat="1" ht="16" thickBot="1" x14ac:dyDescent="0.4">
      <c r="A149" s="585"/>
      <c r="B149" s="2"/>
      <c r="C149" s="5"/>
      <c r="D149" s="586"/>
      <c r="E149" s="5"/>
      <c r="F149" s="5"/>
      <c r="G149" s="5"/>
      <c r="H149" s="5"/>
      <c r="I149" s="5"/>
      <c r="J149" s="3"/>
      <c r="K149" s="21"/>
      <c r="L149" s="97"/>
    </row>
    <row r="150" spans="1:12" s="1" customFormat="1" ht="21" customHeight="1" x14ac:dyDescent="0.35">
      <c r="A150" s="1206" t="s">
        <v>302</v>
      </c>
      <c r="B150" s="1208" t="s">
        <v>28</v>
      </c>
      <c r="C150" s="1210" t="s">
        <v>343</v>
      </c>
      <c r="D150" s="613"/>
      <c r="E150" s="1212" t="s">
        <v>305</v>
      </c>
      <c r="F150" s="1212"/>
      <c r="G150" s="1212"/>
      <c r="H150" s="1212"/>
      <c r="I150" s="1212"/>
      <c r="J150" s="1208" t="s">
        <v>29</v>
      </c>
      <c r="K150" s="1213" t="s">
        <v>306</v>
      </c>
      <c r="L150" s="1226" t="s">
        <v>307</v>
      </c>
    </row>
    <row r="151" spans="1:12" s="1" customFormat="1" ht="21" customHeight="1" thickBot="1" x14ac:dyDescent="0.4">
      <c r="A151" s="1207"/>
      <c r="B151" s="1209"/>
      <c r="C151" s="1211"/>
      <c r="D151" s="614"/>
      <c r="E151" s="7" t="s">
        <v>308</v>
      </c>
      <c r="F151" s="7" t="s">
        <v>309</v>
      </c>
      <c r="G151" s="7" t="s">
        <v>310</v>
      </c>
      <c r="H151" s="7" t="s">
        <v>311</v>
      </c>
      <c r="I151" s="7" t="s">
        <v>312</v>
      </c>
      <c r="J151" s="1209"/>
      <c r="K151" s="1214"/>
      <c r="L151" s="1227"/>
    </row>
    <row r="152" spans="1:12" s="16" customFormat="1" ht="18" customHeight="1" x14ac:dyDescent="0.35">
      <c r="A152" s="589">
        <v>89</v>
      </c>
      <c r="B152" s="24" t="s">
        <v>462</v>
      </c>
      <c r="C152" s="15">
        <f>SUM(E152:I152)</f>
        <v>0.63</v>
      </c>
      <c r="D152" s="590">
        <f>'[23]road inventory 2018'!C179</f>
        <v>0.63</v>
      </c>
      <c r="E152" s="15">
        <v>0.3</v>
      </c>
      <c r="F152" s="15">
        <v>0</v>
      </c>
      <c r="G152" s="15">
        <v>0</v>
      </c>
      <c r="H152" s="15">
        <v>0.33</v>
      </c>
      <c r="I152" s="15">
        <v>0</v>
      </c>
      <c r="J152" s="24" t="s">
        <v>10</v>
      </c>
      <c r="K152" s="591" t="s">
        <v>360</v>
      </c>
      <c r="L152" s="592"/>
    </row>
    <row r="153" spans="1:12" s="16" customFormat="1" x14ac:dyDescent="0.35">
      <c r="A153" s="589">
        <v>109</v>
      </c>
      <c r="B153" s="24" t="s">
        <v>285</v>
      </c>
      <c r="C153" s="15">
        <f t="shared" ref="C153:C164" si="12">SUM(E153:I153)</f>
        <v>2.5</v>
      </c>
      <c r="D153" s="590">
        <f>'[23]road inventory 2018'!C180</f>
        <v>2.5</v>
      </c>
      <c r="E153" s="15">
        <v>0.25700000000000001</v>
      </c>
      <c r="F153" s="15">
        <v>0</v>
      </c>
      <c r="G153" s="15">
        <v>0</v>
      </c>
      <c r="H153" s="15">
        <v>2.2429999999999999</v>
      </c>
      <c r="I153" s="15">
        <v>0</v>
      </c>
      <c r="J153" s="24" t="s">
        <v>10</v>
      </c>
      <c r="K153" s="591" t="s">
        <v>463</v>
      </c>
      <c r="L153" s="24"/>
    </row>
    <row r="154" spans="1:12" s="16" customFormat="1" ht="31" x14ac:dyDescent="0.35">
      <c r="A154" s="589">
        <v>112</v>
      </c>
      <c r="B154" s="24" t="s">
        <v>73</v>
      </c>
      <c r="C154" s="15">
        <f t="shared" si="12"/>
        <v>8.5100000000000016</v>
      </c>
      <c r="D154" s="590">
        <f>'[23]road inventory 2018'!C183</f>
        <v>8.4</v>
      </c>
      <c r="E154" s="15">
        <v>0.21</v>
      </c>
      <c r="F154" s="15">
        <v>0</v>
      </c>
      <c r="G154" s="15">
        <v>0</v>
      </c>
      <c r="H154" s="15">
        <v>8.3000000000000007</v>
      </c>
      <c r="I154" s="15">
        <v>0</v>
      </c>
      <c r="J154" s="24" t="s">
        <v>12</v>
      </c>
      <c r="K154" s="591" t="s">
        <v>466</v>
      </c>
      <c r="L154" s="24"/>
    </row>
    <row r="155" spans="1:12" ht="31" x14ac:dyDescent="0.35">
      <c r="A155" s="596">
        <v>114</v>
      </c>
      <c r="B155" s="28" t="s">
        <v>468</v>
      </c>
      <c r="C155" s="15">
        <f t="shared" si="12"/>
        <v>9.5500000000000007</v>
      </c>
      <c r="D155" s="590">
        <f>'[23]road inventory 2018'!C185</f>
        <v>9.5</v>
      </c>
      <c r="E155" s="10">
        <v>0</v>
      </c>
      <c r="F155" s="10">
        <v>0</v>
      </c>
      <c r="G155" s="10">
        <v>0</v>
      </c>
      <c r="H155" s="10">
        <v>9.5500000000000007</v>
      </c>
      <c r="I155" s="10">
        <v>0</v>
      </c>
      <c r="J155" s="103" t="s">
        <v>12</v>
      </c>
      <c r="K155" s="597" t="s">
        <v>469</v>
      </c>
      <c r="L155" s="28"/>
    </row>
    <row r="156" spans="1:12" s="16" customFormat="1" ht="18" customHeight="1" x14ac:dyDescent="0.35">
      <c r="A156" s="589">
        <v>115</v>
      </c>
      <c r="B156" s="24" t="s">
        <v>77</v>
      </c>
      <c r="C156" s="15">
        <f t="shared" si="12"/>
        <v>10.71</v>
      </c>
      <c r="D156" s="590">
        <f>'[23]road inventory 2018'!C186</f>
        <v>10.700000000000001</v>
      </c>
      <c r="E156" s="15">
        <v>10.71</v>
      </c>
      <c r="F156" s="15">
        <v>0</v>
      </c>
      <c r="G156" s="15">
        <v>0</v>
      </c>
      <c r="H156" s="15">
        <v>0</v>
      </c>
      <c r="I156" s="15">
        <v>0</v>
      </c>
      <c r="J156" s="24" t="s">
        <v>10</v>
      </c>
      <c r="K156" s="591" t="s">
        <v>470</v>
      </c>
      <c r="L156" s="24"/>
    </row>
    <row r="157" spans="1:12" ht="18" customHeight="1" x14ac:dyDescent="0.35">
      <c r="A157" s="596">
        <v>117</v>
      </c>
      <c r="B157" s="28" t="s">
        <v>79</v>
      </c>
      <c r="C157" s="15">
        <f t="shared" si="12"/>
        <v>9.51</v>
      </c>
      <c r="D157" s="590">
        <f>'[23]road inventory 2018'!C187</f>
        <v>8.6</v>
      </c>
      <c r="E157" s="10">
        <v>1.7</v>
      </c>
      <c r="F157" s="10">
        <v>0</v>
      </c>
      <c r="G157" s="10">
        <v>0</v>
      </c>
      <c r="H157" s="10">
        <v>7.81</v>
      </c>
      <c r="I157" s="10">
        <v>0</v>
      </c>
      <c r="J157" s="103" t="s">
        <v>12</v>
      </c>
      <c r="K157" s="597" t="s">
        <v>471</v>
      </c>
      <c r="L157" s="28"/>
    </row>
    <row r="158" spans="1:12" s="16" customFormat="1" ht="31" x14ac:dyDescent="0.35">
      <c r="A158" s="589">
        <v>132</v>
      </c>
      <c r="B158" s="24" t="s">
        <v>85</v>
      </c>
      <c r="C158" s="15">
        <f t="shared" si="12"/>
        <v>13.31</v>
      </c>
      <c r="D158" s="590">
        <f>'[23]road inventory 2018'!C189</f>
        <v>13.5</v>
      </c>
      <c r="E158" s="15">
        <v>6.58</v>
      </c>
      <c r="F158" s="15">
        <v>0</v>
      </c>
      <c r="G158" s="15">
        <v>0</v>
      </c>
      <c r="H158" s="15">
        <v>6.73</v>
      </c>
      <c r="I158" s="15">
        <v>0</v>
      </c>
      <c r="J158" s="106" t="s">
        <v>10</v>
      </c>
      <c r="K158" s="591" t="s">
        <v>473</v>
      </c>
      <c r="L158" s="24"/>
    </row>
    <row r="159" spans="1:12" s="16" customFormat="1" ht="18" customHeight="1" thickBot="1" x14ac:dyDescent="0.4">
      <c r="A159" s="649">
        <v>139</v>
      </c>
      <c r="B159" s="64" t="s">
        <v>474</v>
      </c>
      <c r="C159" s="15">
        <f t="shared" si="12"/>
        <v>9.1</v>
      </c>
      <c r="D159" s="590">
        <f>'[23]road inventory 2018'!C190</f>
        <v>8.9</v>
      </c>
      <c r="E159" s="65">
        <v>0</v>
      </c>
      <c r="F159" s="65">
        <v>0</v>
      </c>
      <c r="G159" s="65">
        <v>0</v>
      </c>
      <c r="H159" s="65">
        <v>9.1</v>
      </c>
      <c r="I159" s="65">
        <v>0</v>
      </c>
      <c r="J159" s="651" t="s">
        <v>12</v>
      </c>
      <c r="K159" s="652" t="s">
        <v>475</v>
      </c>
      <c r="L159" s="60"/>
    </row>
    <row r="160" spans="1:12" s="16" customFormat="1" ht="18" customHeight="1" x14ac:dyDescent="0.35">
      <c r="A160" s="589">
        <v>122</v>
      </c>
      <c r="B160" s="24" t="s">
        <v>476</v>
      </c>
      <c r="C160" s="15">
        <f t="shared" si="12"/>
        <v>3.44</v>
      </c>
      <c r="D160" s="590">
        <f>'[23]road inventory 2018'!C193</f>
        <v>3.25</v>
      </c>
      <c r="E160" s="15">
        <v>0</v>
      </c>
      <c r="F160" s="15">
        <v>0</v>
      </c>
      <c r="G160" s="15">
        <v>0</v>
      </c>
      <c r="H160" s="15">
        <v>3.44</v>
      </c>
      <c r="I160" s="15">
        <v>0</v>
      </c>
      <c r="J160" s="106" t="s">
        <v>12</v>
      </c>
      <c r="K160" s="591" t="s">
        <v>477</v>
      </c>
      <c r="L160" s="592"/>
    </row>
    <row r="161" spans="1:12" s="16" customFormat="1" ht="18" customHeight="1" x14ac:dyDescent="0.35">
      <c r="A161" s="589">
        <v>216</v>
      </c>
      <c r="B161" s="24" t="s">
        <v>87</v>
      </c>
      <c r="C161" s="15">
        <f t="shared" si="12"/>
        <v>6.32</v>
      </c>
      <c r="D161" s="590">
        <f>'[23]road inventory 2018'!C194</f>
        <v>6.1</v>
      </c>
      <c r="E161" s="15">
        <v>0</v>
      </c>
      <c r="F161" s="15">
        <v>0</v>
      </c>
      <c r="G161" s="15">
        <v>0</v>
      </c>
      <c r="H161" s="15">
        <v>6.32</v>
      </c>
      <c r="I161" s="15">
        <v>0</v>
      </c>
      <c r="J161" s="106" t="s">
        <v>12</v>
      </c>
      <c r="K161" s="591" t="s">
        <v>478</v>
      </c>
      <c r="L161" s="24"/>
    </row>
    <row r="162" spans="1:12" s="16" customFormat="1" ht="18" customHeight="1" x14ac:dyDescent="0.35">
      <c r="A162" s="589">
        <v>133</v>
      </c>
      <c r="B162" s="24" t="s">
        <v>90</v>
      </c>
      <c r="C162" s="15">
        <f t="shared" si="12"/>
        <v>4.47</v>
      </c>
      <c r="D162" s="590">
        <f>'[23]road inventory 2018'!C195</f>
        <v>4.4000000000000004</v>
      </c>
      <c r="E162" s="15">
        <v>0</v>
      </c>
      <c r="F162" s="15">
        <v>0</v>
      </c>
      <c r="G162" s="15">
        <v>0</v>
      </c>
      <c r="H162" s="15">
        <v>4.47</v>
      </c>
      <c r="I162" s="15">
        <v>0</v>
      </c>
      <c r="J162" s="106" t="s">
        <v>12</v>
      </c>
      <c r="K162" s="591" t="s">
        <v>478</v>
      </c>
      <c r="L162" s="24"/>
    </row>
    <row r="163" spans="1:12" s="16" customFormat="1" ht="18" customHeight="1" x14ac:dyDescent="0.35">
      <c r="A163" s="589">
        <v>123</v>
      </c>
      <c r="B163" s="24" t="s">
        <v>91</v>
      </c>
      <c r="C163" s="15">
        <f t="shared" si="12"/>
        <v>21.82</v>
      </c>
      <c r="D163" s="590">
        <f>'[23]road inventory 2018'!C196</f>
        <v>17</v>
      </c>
      <c r="E163" s="15">
        <v>12.19</v>
      </c>
      <c r="F163" s="15">
        <v>0</v>
      </c>
      <c r="G163" s="15">
        <v>0</v>
      </c>
      <c r="H163" s="15">
        <v>9.6300000000000008</v>
      </c>
      <c r="I163" s="15">
        <v>0</v>
      </c>
      <c r="J163" s="106" t="s">
        <v>12</v>
      </c>
      <c r="K163" s="591" t="s">
        <v>475</v>
      </c>
      <c r="L163" s="24"/>
    </row>
    <row r="164" spans="1:12" ht="18" customHeight="1" x14ac:dyDescent="0.35">
      <c r="A164" s="596">
        <v>134</v>
      </c>
      <c r="B164" s="45" t="s">
        <v>284</v>
      </c>
      <c r="C164" s="15">
        <f t="shared" si="12"/>
        <v>8.23</v>
      </c>
      <c r="D164" s="590">
        <f>'[23]road inventory 2018'!C197</f>
        <v>8.3000000000000007</v>
      </c>
      <c r="E164" s="10">
        <v>0</v>
      </c>
      <c r="F164" s="10">
        <v>0</v>
      </c>
      <c r="G164" s="10">
        <v>0</v>
      </c>
      <c r="H164" s="10">
        <v>8.23</v>
      </c>
      <c r="I164" s="10">
        <v>0</v>
      </c>
      <c r="J164" s="103" t="s">
        <v>317</v>
      </c>
      <c r="K164" s="597"/>
      <c r="L164" s="28"/>
    </row>
    <row r="165" spans="1:12" ht="18" customHeight="1" x14ac:dyDescent="0.35">
      <c r="A165" s="635"/>
      <c r="B165" s="654"/>
      <c r="C165" s="41">
        <f t="shared" ref="C165:I165" si="13">SUM(C152:C164)</f>
        <v>108.10000000000001</v>
      </c>
      <c r="D165" s="41">
        <f t="shared" si="13"/>
        <v>101.78</v>
      </c>
      <c r="E165" s="41">
        <f t="shared" si="13"/>
        <v>31.946999999999996</v>
      </c>
      <c r="F165" s="41">
        <f t="shared" si="13"/>
        <v>0</v>
      </c>
      <c r="G165" s="41">
        <f t="shared" si="13"/>
        <v>0</v>
      </c>
      <c r="H165" s="41">
        <f t="shared" si="13"/>
        <v>76.153000000000006</v>
      </c>
      <c r="I165" s="41">
        <f t="shared" si="13"/>
        <v>0</v>
      </c>
      <c r="J165" s="109"/>
      <c r="K165" s="605"/>
      <c r="L165" s="28"/>
    </row>
    <row r="166" spans="1:12" ht="18" customHeight="1" thickBot="1" x14ac:dyDescent="0.4">
      <c r="A166" s="53" t="s">
        <v>341</v>
      </c>
      <c r="B166" s="34"/>
      <c r="C166" s="31">
        <f>E166+H166</f>
        <v>108.1</v>
      </c>
      <c r="D166" s="630"/>
      <c r="E166" s="31">
        <f>SUM(E152:E164)</f>
        <v>31.946999999999996</v>
      </c>
      <c r="F166" s="31">
        <f>SUM(F152:F164)</f>
        <v>0</v>
      </c>
      <c r="G166" s="31">
        <f>SUM(G152:G164)</f>
        <v>0</v>
      </c>
      <c r="H166" s="31">
        <f>SUM(H152:H164)</f>
        <v>76.153000000000006</v>
      </c>
      <c r="I166" s="31">
        <f>SUM(I152:I164)</f>
        <v>0</v>
      </c>
      <c r="J166" s="608"/>
      <c r="K166" s="609"/>
      <c r="L166" s="653"/>
    </row>
    <row r="167" spans="1:12" ht="18" customHeight="1" thickBot="1" x14ac:dyDescent="0.4">
      <c r="L167" s="28"/>
    </row>
    <row r="168" spans="1:12" s="1" customFormat="1" x14ac:dyDescent="0.35">
      <c r="A168" s="1217" t="s">
        <v>479</v>
      </c>
      <c r="B168" s="1218"/>
      <c r="C168" s="1218"/>
      <c r="D168" s="1218"/>
      <c r="E168" s="1218"/>
      <c r="F168" s="1218"/>
      <c r="G168" s="1218"/>
      <c r="H168" s="1218"/>
      <c r="I168" s="1218"/>
      <c r="J168" s="1218"/>
      <c r="K168" s="1218"/>
      <c r="L168" s="668"/>
    </row>
    <row r="169" spans="1:12" s="1" customFormat="1" ht="16" thickBot="1" x14ac:dyDescent="0.4">
      <c r="A169" s="585"/>
      <c r="B169" s="2"/>
      <c r="C169" s="5"/>
      <c r="D169" s="586"/>
      <c r="E169" s="5"/>
      <c r="F169" s="5"/>
      <c r="G169" s="5"/>
      <c r="H169" s="5"/>
      <c r="I169" s="5"/>
      <c r="J169" s="3"/>
      <c r="K169" s="21"/>
      <c r="L169" s="653"/>
    </row>
    <row r="170" spans="1:12" s="1" customFormat="1" ht="21" customHeight="1" x14ac:dyDescent="0.35">
      <c r="A170" s="1206" t="s">
        <v>302</v>
      </c>
      <c r="B170" s="1208" t="s">
        <v>28</v>
      </c>
      <c r="C170" s="1210" t="s">
        <v>343</v>
      </c>
      <c r="D170" s="613"/>
      <c r="E170" s="1212" t="s">
        <v>305</v>
      </c>
      <c r="F170" s="1212"/>
      <c r="G170" s="1212"/>
      <c r="H170" s="1212"/>
      <c r="I170" s="1212"/>
      <c r="J170" s="1208" t="s">
        <v>29</v>
      </c>
      <c r="K170" s="1213" t="s">
        <v>306</v>
      </c>
      <c r="L170" s="1215" t="s">
        <v>307</v>
      </c>
    </row>
    <row r="171" spans="1:12" s="1" customFormat="1" ht="21" customHeight="1" thickBot="1" x14ac:dyDescent="0.4">
      <c r="A171" s="1207"/>
      <c r="B171" s="1209"/>
      <c r="C171" s="1211"/>
      <c r="D171" s="614"/>
      <c r="E171" s="7" t="s">
        <v>308</v>
      </c>
      <c r="F171" s="7" t="s">
        <v>309</v>
      </c>
      <c r="G171" s="7" t="s">
        <v>310</v>
      </c>
      <c r="H171" s="7" t="s">
        <v>311</v>
      </c>
      <c r="I171" s="7" t="s">
        <v>312</v>
      </c>
      <c r="J171" s="1209"/>
      <c r="K171" s="1214"/>
      <c r="L171" s="1216"/>
    </row>
    <row r="172" spans="1:12" s="16" customFormat="1" ht="18" customHeight="1" x14ac:dyDescent="0.35">
      <c r="A172" s="589">
        <v>136</v>
      </c>
      <c r="B172" s="24" t="s">
        <v>93</v>
      </c>
      <c r="C172" s="15">
        <f t="shared" ref="C172:C177" si="14">SUM(E172:I172)</f>
        <v>11.309999999999999</v>
      </c>
      <c r="D172" s="590">
        <f>'[23]road inventory 2018'!C204</f>
        <v>11.3</v>
      </c>
      <c r="E172" s="15">
        <v>8.6999999999999993</v>
      </c>
      <c r="F172" s="15">
        <v>0</v>
      </c>
      <c r="G172" s="15">
        <v>0</v>
      </c>
      <c r="H172" s="15">
        <v>2.61</v>
      </c>
      <c r="I172" s="15">
        <v>0</v>
      </c>
      <c r="J172" s="24" t="s">
        <v>10</v>
      </c>
      <c r="K172" s="591" t="s">
        <v>480</v>
      </c>
      <c r="L172" s="24"/>
    </row>
    <row r="173" spans="1:12" s="16" customFormat="1" ht="18" customHeight="1" x14ac:dyDescent="0.35">
      <c r="A173" s="589">
        <v>137</v>
      </c>
      <c r="B173" s="24" t="s">
        <v>95</v>
      </c>
      <c r="C173" s="15">
        <f t="shared" si="14"/>
        <v>12.59</v>
      </c>
      <c r="D173" s="590">
        <f>'[23]road inventory 2018'!C205</f>
        <v>12.5</v>
      </c>
      <c r="E173" s="15">
        <v>8.74</v>
      </c>
      <c r="F173" s="15">
        <v>0</v>
      </c>
      <c r="G173" s="15">
        <v>0</v>
      </c>
      <c r="H173" s="15">
        <v>3.85</v>
      </c>
      <c r="I173" s="15">
        <v>0</v>
      </c>
      <c r="J173" s="24" t="s">
        <v>10</v>
      </c>
      <c r="K173" s="591" t="s">
        <v>481</v>
      </c>
      <c r="L173" s="24"/>
    </row>
    <row r="174" spans="1:12" s="16" customFormat="1" x14ac:dyDescent="0.35">
      <c r="A174" s="589">
        <v>120</v>
      </c>
      <c r="B174" s="24" t="s">
        <v>99</v>
      </c>
      <c r="C174" s="15">
        <f t="shared" si="14"/>
        <v>10.85</v>
      </c>
      <c r="D174" s="590">
        <f>'[23]road inventory 2018'!C207</f>
        <v>10.75</v>
      </c>
      <c r="E174" s="15">
        <v>10.24</v>
      </c>
      <c r="F174" s="15">
        <v>0</v>
      </c>
      <c r="G174" s="15">
        <v>0</v>
      </c>
      <c r="H174" s="15">
        <v>0.61</v>
      </c>
      <c r="I174" s="15">
        <v>0</v>
      </c>
      <c r="J174" s="24" t="s">
        <v>10</v>
      </c>
      <c r="K174" s="591" t="s">
        <v>483</v>
      </c>
      <c r="L174" s="24"/>
    </row>
    <row r="175" spans="1:12" s="16" customFormat="1" ht="31" x14ac:dyDescent="0.35">
      <c r="A175" s="589">
        <v>140</v>
      </c>
      <c r="B175" s="24" t="s">
        <v>101</v>
      </c>
      <c r="C175" s="15">
        <f t="shared" si="14"/>
        <v>18.149999999999999</v>
      </c>
      <c r="D175" s="590">
        <f>'[23]road inventory 2018'!C208</f>
        <v>19.52</v>
      </c>
      <c r="E175" s="15">
        <v>2.41</v>
      </c>
      <c r="F175" s="15">
        <v>0</v>
      </c>
      <c r="G175" s="15">
        <v>0</v>
      </c>
      <c r="H175" s="15">
        <v>15.74</v>
      </c>
      <c r="I175" s="15">
        <v>0</v>
      </c>
      <c r="J175" s="24" t="s">
        <v>12</v>
      </c>
      <c r="K175" s="591"/>
      <c r="L175" s="24"/>
    </row>
    <row r="176" spans="1:12" ht="31" x14ac:dyDescent="0.35">
      <c r="A176" s="596">
        <v>124</v>
      </c>
      <c r="B176" s="28" t="s">
        <v>485</v>
      </c>
      <c r="C176" s="15">
        <f t="shared" si="14"/>
        <v>12.5</v>
      </c>
      <c r="D176" s="590">
        <f>'[23]road inventory 2018'!C210</f>
        <v>17</v>
      </c>
      <c r="E176" s="10">
        <v>3.52</v>
      </c>
      <c r="F176" s="10">
        <v>0</v>
      </c>
      <c r="G176" s="10">
        <v>0</v>
      </c>
      <c r="H176" s="10">
        <v>8.98</v>
      </c>
      <c r="I176" s="10">
        <v>0</v>
      </c>
      <c r="J176" s="103" t="s">
        <v>12</v>
      </c>
      <c r="K176" s="597"/>
      <c r="L176" s="28"/>
    </row>
    <row r="177" spans="1:12" s="16" customFormat="1" ht="18" customHeight="1" x14ac:dyDescent="0.35">
      <c r="A177" s="589">
        <v>141</v>
      </c>
      <c r="B177" s="24" t="s">
        <v>486</v>
      </c>
      <c r="C177" s="15">
        <f t="shared" si="14"/>
        <v>6</v>
      </c>
      <c r="D177" s="590">
        <f>'[23]road inventory 2018'!C211</f>
        <v>6</v>
      </c>
      <c r="E177" s="15">
        <v>0</v>
      </c>
      <c r="F177" s="15">
        <v>0</v>
      </c>
      <c r="G177" s="15">
        <v>0</v>
      </c>
      <c r="H177" s="15">
        <v>6</v>
      </c>
      <c r="I177" s="15">
        <v>0</v>
      </c>
      <c r="J177" s="106" t="s">
        <v>12</v>
      </c>
      <c r="K177" s="591" t="s">
        <v>487</v>
      </c>
      <c r="L177" s="24"/>
    </row>
    <row r="178" spans="1:12" s="16" customFormat="1" ht="18" hidden="1" customHeight="1" x14ac:dyDescent="0.35">
      <c r="A178" s="626"/>
      <c r="B178" s="60"/>
      <c r="C178" s="61">
        <f t="shared" ref="C178:I178" si="15">SUM(C172:C177)</f>
        <v>71.400000000000006</v>
      </c>
      <c r="D178" s="61">
        <f t="shared" si="15"/>
        <v>77.069999999999993</v>
      </c>
      <c r="E178" s="61">
        <f t="shared" si="15"/>
        <v>33.61</v>
      </c>
      <c r="F178" s="61">
        <f t="shared" si="15"/>
        <v>0</v>
      </c>
      <c r="G178" s="61">
        <f t="shared" si="15"/>
        <v>0</v>
      </c>
      <c r="H178" s="61">
        <f t="shared" si="15"/>
        <v>37.790000000000006</v>
      </c>
      <c r="I178" s="61">
        <f t="shared" si="15"/>
        <v>0</v>
      </c>
      <c r="J178" s="628"/>
      <c r="K178" s="629"/>
      <c r="L178" s="24"/>
    </row>
    <row r="179" spans="1:12" ht="18" customHeight="1" thickBot="1" x14ac:dyDescent="0.4">
      <c r="A179" s="53" t="s">
        <v>341</v>
      </c>
      <c r="B179" s="34"/>
      <c r="C179" s="31">
        <f>SUM(C172:C177)</f>
        <v>71.400000000000006</v>
      </c>
      <c r="D179" s="630"/>
      <c r="E179" s="31">
        <f>SUM(E172:E177)</f>
        <v>33.61</v>
      </c>
      <c r="F179" s="31">
        <f>SUM(F172:F177)</f>
        <v>0</v>
      </c>
      <c r="G179" s="31">
        <f>SUM(G172:G177)</f>
        <v>0</v>
      </c>
      <c r="H179" s="31">
        <f>SUM(H172:H177)</f>
        <v>37.790000000000006</v>
      </c>
      <c r="I179" s="31">
        <f>SUM(I172:I177)</f>
        <v>0</v>
      </c>
      <c r="J179" s="608"/>
      <c r="K179" s="609"/>
      <c r="L179" s="653"/>
    </row>
    <row r="180" spans="1:12" ht="18" customHeight="1" thickBot="1" x14ac:dyDescent="0.4">
      <c r="L180" s="28"/>
    </row>
    <row r="181" spans="1:12" s="1" customFormat="1" x14ac:dyDescent="0.35">
      <c r="A181" s="1217" t="s">
        <v>488</v>
      </c>
      <c r="B181" s="1218"/>
      <c r="C181" s="1218"/>
      <c r="D181" s="1218"/>
      <c r="E181" s="1218"/>
      <c r="F181" s="1218"/>
      <c r="G181" s="1218"/>
      <c r="H181" s="1218"/>
      <c r="I181" s="1218"/>
      <c r="J181" s="1218"/>
      <c r="K181" s="1218"/>
      <c r="L181" s="668"/>
    </row>
    <row r="182" spans="1:12" s="1" customFormat="1" ht="16" thickBot="1" x14ac:dyDescent="0.4">
      <c r="A182" s="585"/>
      <c r="B182" s="2"/>
      <c r="C182" s="5"/>
      <c r="D182" s="586"/>
      <c r="E182" s="5"/>
      <c r="F182" s="5"/>
      <c r="G182" s="5"/>
      <c r="H182" s="5"/>
      <c r="I182" s="5"/>
      <c r="J182" s="3"/>
      <c r="K182" s="21"/>
      <c r="L182" s="653"/>
    </row>
    <row r="183" spans="1:12" s="1" customFormat="1" ht="21" customHeight="1" x14ac:dyDescent="0.35">
      <c r="A183" s="1206" t="s">
        <v>302</v>
      </c>
      <c r="B183" s="1208" t="s">
        <v>28</v>
      </c>
      <c r="C183" s="1210" t="s">
        <v>343</v>
      </c>
      <c r="D183" s="613"/>
      <c r="E183" s="1212" t="s">
        <v>305</v>
      </c>
      <c r="F183" s="1212"/>
      <c r="G183" s="1212"/>
      <c r="H183" s="1212"/>
      <c r="I183" s="1212"/>
      <c r="J183" s="1208" t="s">
        <v>29</v>
      </c>
      <c r="K183" s="1213" t="s">
        <v>306</v>
      </c>
      <c r="L183" s="1215" t="str">
        <f>L170</f>
        <v>REMARKS</v>
      </c>
    </row>
    <row r="184" spans="1:12" s="1" customFormat="1" ht="21" customHeight="1" thickBot="1" x14ac:dyDescent="0.4">
      <c r="A184" s="1207"/>
      <c r="B184" s="1209"/>
      <c r="C184" s="1211"/>
      <c r="D184" s="614"/>
      <c r="E184" s="7" t="s">
        <v>308</v>
      </c>
      <c r="F184" s="7" t="s">
        <v>309</v>
      </c>
      <c r="G184" s="7" t="s">
        <v>310</v>
      </c>
      <c r="H184" s="7" t="s">
        <v>311</v>
      </c>
      <c r="I184" s="7" t="s">
        <v>312</v>
      </c>
      <c r="J184" s="1209"/>
      <c r="K184" s="1214"/>
      <c r="L184" s="1216"/>
    </row>
    <row r="185" spans="1:12" s="16" customFormat="1" ht="31" x14ac:dyDescent="0.35">
      <c r="A185" s="589">
        <v>142</v>
      </c>
      <c r="B185" s="24" t="s">
        <v>286</v>
      </c>
      <c r="C185" s="15">
        <f>SUM(E185:I185)</f>
        <v>21.69</v>
      </c>
      <c r="D185" s="590">
        <f>'[23]road inventory 2018'!C218</f>
        <v>19.299999999999997</v>
      </c>
      <c r="E185" s="15">
        <v>0.8</v>
      </c>
      <c r="F185" s="15">
        <v>0</v>
      </c>
      <c r="G185" s="15">
        <v>0</v>
      </c>
      <c r="H185" s="15">
        <v>20.89</v>
      </c>
      <c r="I185" s="15">
        <v>0</v>
      </c>
      <c r="J185" s="106" t="s">
        <v>12</v>
      </c>
      <c r="K185" s="591" t="s">
        <v>489</v>
      </c>
      <c r="L185" s="24"/>
    </row>
    <row r="186" spans="1:12" ht="31" x14ac:dyDescent="0.35">
      <c r="A186" s="596">
        <v>143</v>
      </c>
      <c r="B186" s="28" t="s">
        <v>287</v>
      </c>
      <c r="C186" s="15">
        <f t="shared" ref="C186:C191" si="16">SUM(E186:I186)</f>
        <v>8.91</v>
      </c>
      <c r="D186" s="590">
        <f>'[23]road inventory 2018'!C219</f>
        <v>8.7999999999999989</v>
      </c>
      <c r="E186" s="10">
        <v>0.2</v>
      </c>
      <c r="F186" s="10">
        <v>0</v>
      </c>
      <c r="G186" s="10">
        <v>0</v>
      </c>
      <c r="H186" s="10">
        <v>8.7100000000000009</v>
      </c>
      <c r="I186" s="10">
        <v>0</v>
      </c>
      <c r="J186" s="103" t="s">
        <v>12</v>
      </c>
      <c r="K186" s="597" t="s">
        <v>490</v>
      </c>
      <c r="L186" s="28"/>
    </row>
    <row r="187" spans="1:12" s="16" customFormat="1" ht="31" x14ac:dyDescent="0.35">
      <c r="A187" s="589">
        <v>144</v>
      </c>
      <c r="B187" s="24" t="s">
        <v>288</v>
      </c>
      <c r="C187" s="15">
        <f t="shared" si="16"/>
        <v>7.88</v>
      </c>
      <c r="D187" s="590">
        <f>'[23]road inventory 2018'!C220</f>
        <v>7.8999999999999995</v>
      </c>
      <c r="E187" s="15">
        <v>1.75</v>
      </c>
      <c r="F187" s="15">
        <v>0</v>
      </c>
      <c r="G187" s="15">
        <v>0</v>
      </c>
      <c r="H187" s="15">
        <v>6.13</v>
      </c>
      <c r="I187" s="15">
        <v>0</v>
      </c>
      <c r="J187" s="106" t="s">
        <v>12</v>
      </c>
      <c r="K187" s="591" t="s">
        <v>491</v>
      </c>
      <c r="L187" s="24"/>
    </row>
    <row r="188" spans="1:12" s="16" customFormat="1" x14ac:dyDescent="0.35">
      <c r="A188" s="589">
        <v>121</v>
      </c>
      <c r="B188" s="24" t="s">
        <v>104</v>
      </c>
      <c r="C188" s="15">
        <f t="shared" si="16"/>
        <v>23.3</v>
      </c>
      <c r="D188" s="590">
        <f>'[23]road inventory 2018'!C221</f>
        <v>23.2</v>
      </c>
      <c r="E188" s="15">
        <v>1.3</v>
      </c>
      <c r="F188" s="15">
        <v>0</v>
      </c>
      <c r="G188" s="15">
        <v>1.72</v>
      </c>
      <c r="H188" s="15">
        <v>20.28</v>
      </c>
      <c r="I188" s="15">
        <v>0</v>
      </c>
      <c r="J188" s="106" t="s">
        <v>12</v>
      </c>
      <c r="K188" s="591" t="s">
        <v>492</v>
      </c>
      <c r="L188" s="24"/>
    </row>
    <row r="189" spans="1:12" s="16" customFormat="1" ht="18" customHeight="1" x14ac:dyDescent="0.35">
      <c r="A189" s="589">
        <v>126</v>
      </c>
      <c r="B189" s="24" t="s">
        <v>110</v>
      </c>
      <c r="C189" s="15">
        <f t="shared" si="16"/>
        <v>10.097</v>
      </c>
      <c r="D189" s="590">
        <f>'[23]road inventory 2018'!C223</f>
        <v>9.6</v>
      </c>
      <c r="E189" s="15">
        <v>8.16</v>
      </c>
      <c r="F189" s="15">
        <v>0</v>
      </c>
      <c r="G189" s="15">
        <v>0</v>
      </c>
      <c r="H189" s="15">
        <v>1.9370000000000001</v>
      </c>
      <c r="I189" s="15">
        <v>0</v>
      </c>
      <c r="J189" s="106" t="s">
        <v>836</v>
      </c>
      <c r="K189" s="591" t="s">
        <v>493</v>
      </c>
      <c r="L189" s="24"/>
    </row>
    <row r="190" spans="1:12" s="16" customFormat="1" ht="31" x14ac:dyDescent="0.35">
      <c r="A190" s="589">
        <v>146</v>
      </c>
      <c r="B190" s="24" t="s">
        <v>115</v>
      </c>
      <c r="C190" s="15">
        <f t="shared" si="16"/>
        <v>12.15</v>
      </c>
      <c r="D190" s="590">
        <f>'[23]road inventory 2018'!C224</f>
        <v>8.3000000000000007</v>
      </c>
      <c r="E190" s="15">
        <v>0</v>
      </c>
      <c r="F190" s="15">
        <v>0</v>
      </c>
      <c r="G190" s="15">
        <v>0</v>
      </c>
      <c r="H190" s="15">
        <v>12.15</v>
      </c>
      <c r="I190" s="15">
        <v>0</v>
      </c>
      <c r="J190" s="106" t="s">
        <v>12</v>
      </c>
      <c r="K190" s="591"/>
      <c r="L190" s="24"/>
    </row>
    <row r="191" spans="1:12" s="16" customFormat="1" ht="18" customHeight="1" x14ac:dyDescent="0.35">
      <c r="A191" s="589">
        <v>147</v>
      </c>
      <c r="B191" s="24" t="s">
        <v>289</v>
      </c>
      <c r="C191" s="15">
        <f t="shared" si="16"/>
        <v>4.59</v>
      </c>
      <c r="D191" s="590">
        <f>'[23]road inventory 2018'!C225</f>
        <v>4.2</v>
      </c>
      <c r="E191" s="15">
        <v>0.2</v>
      </c>
      <c r="F191" s="15">
        <v>0</v>
      </c>
      <c r="G191" s="15">
        <v>0</v>
      </c>
      <c r="H191" s="15">
        <v>4.3899999999999997</v>
      </c>
      <c r="I191" s="15">
        <v>0</v>
      </c>
      <c r="J191" s="106" t="s">
        <v>10</v>
      </c>
      <c r="K191" s="591"/>
      <c r="L191" s="24"/>
    </row>
    <row r="192" spans="1:12" s="16" customFormat="1" ht="18" hidden="1" customHeight="1" x14ac:dyDescent="0.35">
      <c r="A192" s="626"/>
      <c r="B192" s="60"/>
      <c r="C192" s="61">
        <f t="shared" ref="C192:I192" si="17">SUM(C185:C191)</f>
        <v>88.617000000000004</v>
      </c>
      <c r="D192" s="61">
        <f t="shared" si="17"/>
        <v>81.299999999999983</v>
      </c>
      <c r="E192" s="61">
        <f t="shared" si="17"/>
        <v>12.41</v>
      </c>
      <c r="F192" s="61">
        <f t="shared" si="17"/>
        <v>0</v>
      </c>
      <c r="G192" s="61">
        <f t="shared" si="17"/>
        <v>1.72</v>
      </c>
      <c r="H192" s="61">
        <f t="shared" si="17"/>
        <v>74.487000000000009</v>
      </c>
      <c r="I192" s="61">
        <f t="shared" si="17"/>
        <v>0</v>
      </c>
      <c r="J192" s="628"/>
      <c r="K192" s="629"/>
      <c r="L192" s="24"/>
    </row>
    <row r="193" spans="1:12" ht="18" customHeight="1" thickBot="1" x14ac:dyDescent="0.4">
      <c r="A193" s="53" t="s">
        <v>341</v>
      </c>
      <c r="B193" s="34"/>
      <c r="C193" s="31">
        <f>SUM(C185:C191)</f>
        <v>88.617000000000004</v>
      </c>
      <c r="D193" s="630"/>
      <c r="E193" s="31">
        <f>SUM(E185:E191)</f>
        <v>12.41</v>
      </c>
      <c r="F193" s="31">
        <f>SUM(F185:F191)</f>
        <v>0</v>
      </c>
      <c r="G193" s="31">
        <f>SUM(G185:G191)</f>
        <v>1.72</v>
      </c>
      <c r="H193" s="31">
        <f>SUM(H185:H191)</f>
        <v>74.487000000000009</v>
      </c>
      <c r="I193" s="31">
        <f>SUM(I185:I191)</f>
        <v>0</v>
      </c>
      <c r="J193" s="608"/>
      <c r="K193" s="609"/>
      <c r="L193" s="653"/>
    </row>
    <row r="194" spans="1:12" ht="18" customHeight="1" thickBot="1" x14ac:dyDescent="0.4">
      <c r="L194" s="28"/>
    </row>
    <row r="195" spans="1:12" s="1" customFormat="1" x14ac:dyDescent="0.35">
      <c r="A195" s="1217" t="s">
        <v>494</v>
      </c>
      <c r="B195" s="1218"/>
      <c r="C195" s="1218"/>
      <c r="D195" s="1218"/>
      <c r="E195" s="1218"/>
      <c r="F195" s="1218"/>
      <c r="G195" s="1218"/>
      <c r="H195" s="1218"/>
      <c r="I195" s="1218"/>
      <c r="J195" s="1218"/>
      <c r="K195" s="1218"/>
      <c r="L195" s="668"/>
    </row>
    <row r="196" spans="1:12" s="1" customFormat="1" ht="16" thickBot="1" x14ac:dyDescent="0.4">
      <c r="A196" s="585"/>
      <c r="B196" s="2"/>
      <c r="C196" s="5"/>
      <c r="D196" s="586"/>
      <c r="E196" s="5"/>
      <c r="F196" s="5"/>
      <c r="G196" s="5"/>
      <c r="H196" s="5"/>
      <c r="I196" s="5"/>
      <c r="J196" s="3"/>
      <c r="K196" s="21"/>
      <c r="L196" s="653"/>
    </row>
    <row r="197" spans="1:12" s="1" customFormat="1" ht="21" customHeight="1" x14ac:dyDescent="0.35">
      <c r="A197" s="1206" t="s">
        <v>302</v>
      </c>
      <c r="B197" s="1208" t="s">
        <v>28</v>
      </c>
      <c r="C197" s="1210" t="s">
        <v>343</v>
      </c>
      <c r="D197" s="613"/>
      <c r="E197" s="1212" t="s">
        <v>305</v>
      </c>
      <c r="F197" s="1212"/>
      <c r="G197" s="1212"/>
      <c r="H197" s="1212"/>
      <c r="I197" s="1212"/>
      <c r="J197" s="1208" t="s">
        <v>29</v>
      </c>
      <c r="K197" s="1213" t="s">
        <v>306</v>
      </c>
      <c r="L197" s="1215" t="str">
        <f>L183</f>
        <v>REMARKS</v>
      </c>
    </row>
    <row r="198" spans="1:12" s="1" customFormat="1" ht="21" customHeight="1" thickBot="1" x14ac:dyDescent="0.4">
      <c r="A198" s="1207"/>
      <c r="B198" s="1209"/>
      <c r="C198" s="1211"/>
      <c r="D198" s="614"/>
      <c r="E198" s="7" t="s">
        <v>308</v>
      </c>
      <c r="F198" s="7" t="s">
        <v>309</v>
      </c>
      <c r="G198" s="7" t="s">
        <v>310</v>
      </c>
      <c r="H198" s="7" t="s">
        <v>311</v>
      </c>
      <c r="I198" s="7" t="s">
        <v>312</v>
      </c>
      <c r="J198" s="1209"/>
      <c r="K198" s="1214"/>
      <c r="L198" s="1216"/>
    </row>
    <row r="199" spans="1:12" s="16" customFormat="1" x14ac:dyDescent="0.35">
      <c r="A199" s="589">
        <v>149</v>
      </c>
      <c r="B199" s="24" t="s">
        <v>496</v>
      </c>
      <c r="C199" s="15">
        <f>SUM(E199:I199)</f>
        <v>5.01</v>
      </c>
      <c r="D199" s="615">
        <f>'[23]road inventory 2018'!C233</f>
        <v>5</v>
      </c>
      <c r="E199" s="15">
        <v>0.79</v>
      </c>
      <c r="F199" s="15">
        <v>0</v>
      </c>
      <c r="G199" s="15">
        <v>0</v>
      </c>
      <c r="H199" s="15">
        <v>4.22</v>
      </c>
      <c r="I199" s="15">
        <v>0</v>
      </c>
      <c r="J199" s="106" t="s">
        <v>12</v>
      </c>
      <c r="K199" s="591" t="s">
        <v>497</v>
      </c>
      <c r="L199" s="24"/>
    </row>
    <row r="200" spans="1:12" s="16" customFormat="1" ht="18" customHeight="1" x14ac:dyDescent="0.35">
      <c r="A200" s="589">
        <v>151</v>
      </c>
      <c r="B200" s="24" t="s">
        <v>499</v>
      </c>
      <c r="C200" s="15">
        <f>SUM(E200:I200)</f>
        <v>3.99</v>
      </c>
      <c r="D200" s="615">
        <f>'[23]road inventory 2018'!C235</f>
        <v>4</v>
      </c>
      <c r="E200" s="15">
        <v>0</v>
      </c>
      <c r="F200" s="15">
        <v>0</v>
      </c>
      <c r="G200" s="15">
        <v>0</v>
      </c>
      <c r="H200" s="15">
        <v>3.99</v>
      </c>
      <c r="I200" s="15">
        <v>0</v>
      </c>
      <c r="J200" s="106" t="s">
        <v>12</v>
      </c>
      <c r="K200" s="591" t="s">
        <v>500</v>
      </c>
      <c r="L200" s="24"/>
    </row>
    <row r="201" spans="1:12" ht="18" hidden="1" customHeight="1" x14ac:dyDescent="0.35">
      <c r="A201" s="635"/>
      <c r="B201" s="40"/>
      <c r="C201" s="41">
        <f t="shared" ref="C201:I201" si="18">SUM(C199:C200)</f>
        <v>9</v>
      </c>
      <c r="D201" s="41">
        <f t="shared" si="18"/>
        <v>9</v>
      </c>
      <c r="E201" s="41">
        <f t="shared" si="18"/>
        <v>0.79</v>
      </c>
      <c r="F201" s="41">
        <f t="shared" si="18"/>
        <v>0</v>
      </c>
      <c r="G201" s="41">
        <f t="shared" si="18"/>
        <v>0</v>
      </c>
      <c r="H201" s="41">
        <f t="shared" si="18"/>
        <v>8.2100000000000009</v>
      </c>
      <c r="I201" s="41">
        <f t="shared" si="18"/>
        <v>0</v>
      </c>
      <c r="J201" s="109"/>
      <c r="K201" s="605"/>
      <c r="L201" s="28"/>
    </row>
    <row r="202" spans="1:12" ht="18" customHeight="1" thickBot="1" x14ac:dyDescent="0.4">
      <c r="A202" s="53" t="s">
        <v>341</v>
      </c>
      <c r="B202" s="34"/>
      <c r="C202" s="31">
        <f>SUM(C199:C200)</f>
        <v>9</v>
      </c>
      <c r="D202" s="630"/>
      <c r="E202" s="31">
        <f>SUM(E199:E200)</f>
        <v>0.79</v>
      </c>
      <c r="F202" s="31">
        <f>SUM(F199:F200)</f>
        <v>0</v>
      </c>
      <c r="G202" s="31">
        <f>SUM(G199:G200)</f>
        <v>0</v>
      </c>
      <c r="H202" s="31">
        <f>SUM(H199:H200)</f>
        <v>8.2100000000000009</v>
      </c>
      <c r="I202" s="31">
        <f>SUM(I199:I200)</f>
        <v>0</v>
      </c>
      <c r="J202" s="608"/>
      <c r="K202" s="609"/>
      <c r="L202" s="653"/>
    </row>
    <row r="203" spans="1:12" ht="18" customHeight="1" thickBot="1" x14ac:dyDescent="0.4">
      <c r="L203" s="28"/>
    </row>
    <row r="204" spans="1:12" s="1" customFormat="1" x14ac:dyDescent="0.35">
      <c r="A204" s="1217" t="s">
        <v>501</v>
      </c>
      <c r="B204" s="1218"/>
      <c r="C204" s="1218"/>
      <c r="D204" s="1218"/>
      <c r="E204" s="1218"/>
      <c r="F204" s="1218"/>
      <c r="G204" s="1218"/>
      <c r="H204" s="1218"/>
      <c r="I204" s="1218"/>
      <c r="J204" s="1218"/>
      <c r="K204" s="1218"/>
      <c r="L204" s="668"/>
    </row>
    <row r="205" spans="1:12" s="1" customFormat="1" ht="16" thickBot="1" x14ac:dyDescent="0.4">
      <c r="A205" s="585"/>
      <c r="B205" s="2"/>
      <c r="C205" s="5"/>
      <c r="D205" s="586"/>
      <c r="E205" s="5"/>
      <c r="F205" s="5"/>
      <c r="G205" s="5"/>
      <c r="H205" s="5"/>
      <c r="I205" s="5"/>
      <c r="J205" s="3"/>
      <c r="K205" s="21"/>
      <c r="L205" s="653"/>
    </row>
    <row r="206" spans="1:12" s="1" customFormat="1" ht="21" customHeight="1" x14ac:dyDescent="0.35">
      <c r="A206" s="1206" t="s">
        <v>302</v>
      </c>
      <c r="B206" s="1208" t="s">
        <v>28</v>
      </c>
      <c r="C206" s="1210" t="s">
        <v>343</v>
      </c>
      <c r="D206" s="613"/>
      <c r="E206" s="1212" t="s">
        <v>305</v>
      </c>
      <c r="F206" s="1212"/>
      <c r="G206" s="1212"/>
      <c r="H206" s="1212"/>
      <c r="I206" s="1212"/>
      <c r="J206" s="1208" t="s">
        <v>29</v>
      </c>
      <c r="K206" s="1213" t="s">
        <v>306</v>
      </c>
      <c r="L206" s="1215" t="str">
        <f>L197</f>
        <v>REMARKS</v>
      </c>
    </row>
    <row r="207" spans="1:12" s="1" customFormat="1" ht="21" customHeight="1" thickBot="1" x14ac:dyDescent="0.4">
      <c r="A207" s="1207"/>
      <c r="B207" s="1209"/>
      <c r="C207" s="1211"/>
      <c r="D207" s="614"/>
      <c r="E207" s="7" t="s">
        <v>308</v>
      </c>
      <c r="F207" s="7" t="s">
        <v>309</v>
      </c>
      <c r="G207" s="7" t="s">
        <v>310</v>
      </c>
      <c r="H207" s="7" t="s">
        <v>311</v>
      </c>
      <c r="I207" s="7" t="s">
        <v>312</v>
      </c>
      <c r="J207" s="1209"/>
      <c r="K207" s="1214"/>
      <c r="L207" s="1216"/>
    </row>
    <row r="208" spans="1:12" s="677" customFormat="1" ht="18" customHeight="1" x14ac:dyDescent="0.35">
      <c r="A208" s="669">
        <v>153</v>
      </c>
      <c r="B208" s="107" t="s">
        <v>121</v>
      </c>
      <c r="C208" s="670">
        <f>SUM(E208:I208)</f>
        <v>11</v>
      </c>
      <c r="D208" s="671">
        <f>'[23]road inventory 2018'!C243</f>
        <v>11</v>
      </c>
      <c r="E208" s="670">
        <v>1.96</v>
      </c>
      <c r="F208" s="670">
        <f>[24]CARRIAGEWAY!$X$360</f>
        <v>0</v>
      </c>
      <c r="G208" s="670">
        <f>[24]CARRIAGEWAY!$Z$360</f>
        <v>0</v>
      </c>
      <c r="H208" s="672">
        <v>9.0399999999999991</v>
      </c>
      <c r="I208" s="670">
        <v>0</v>
      </c>
      <c r="J208" s="673" t="str">
        <f>[24]CARRIAGEWAY!$Z$361</f>
        <v>FAIR</v>
      </c>
      <c r="K208" s="674" t="s">
        <v>502</v>
      </c>
      <c r="L208" s="107"/>
    </row>
    <row r="209" spans="1:12" s="16" customFormat="1" ht="18" customHeight="1" x14ac:dyDescent="0.35">
      <c r="A209" s="589">
        <v>125</v>
      </c>
      <c r="B209" s="24" t="s">
        <v>125</v>
      </c>
      <c r="C209" s="670">
        <f t="shared" ref="C209:C217" si="19">SUM(E209:I209)</f>
        <v>2.9</v>
      </c>
      <c r="D209" s="671">
        <f>'[23]road inventory 2018'!C244</f>
        <v>2.9</v>
      </c>
      <c r="E209" s="15">
        <v>0</v>
      </c>
      <c r="F209" s="15">
        <v>0</v>
      </c>
      <c r="G209" s="15">
        <v>0</v>
      </c>
      <c r="H209" s="70">
        <v>2.9</v>
      </c>
      <c r="I209" s="15">
        <v>0</v>
      </c>
      <c r="J209" s="106" t="s">
        <v>12</v>
      </c>
      <c r="K209" s="591" t="s">
        <v>502</v>
      </c>
      <c r="L209" s="24"/>
    </row>
    <row r="210" spans="1:12" s="16" customFormat="1" ht="18" customHeight="1" x14ac:dyDescent="0.35">
      <c r="A210" s="589">
        <v>154</v>
      </c>
      <c r="B210" s="24" t="s">
        <v>127</v>
      </c>
      <c r="C210" s="670">
        <f t="shared" si="19"/>
        <v>7</v>
      </c>
      <c r="D210" s="671">
        <f>'[23]road inventory 2018'!C245</f>
        <v>7</v>
      </c>
      <c r="E210" s="15">
        <v>0</v>
      </c>
      <c r="F210" s="15">
        <v>0</v>
      </c>
      <c r="G210" s="15">
        <v>0</v>
      </c>
      <c r="H210" s="70">
        <v>7</v>
      </c>
      <c r="I210" s="15">
        <v>0</v>
      </c>
      <c r="J210" s="106" t="s">
        <v>12</v>
      </c>
      <c r="K210" s="591" t="s">
        <v>503</v>
      </c>
      <c r="L210" s="24"/>
    </row>
    <row r="211" spans="1:12" s="16" customFormat="1" x14ac:dyDescent="0.35">
      <c r="A211" s="589">
        <v>127</v>
      </c>
      <c r="B211" s="24" t="s">
        <v>504</v>
      </c>
      <c r="C211" s="670">
        <f t="shared" si="19"/>
        <v>2.7</v>
      </c>
      <c r="D211" s="590">
        <f>'[23]road inventory 2018'!C249</f>
        <v>2.7</v>
      </c>
      <c r="E211" s="15">
        <v>0</v>
      </c>
      <c r="F211" s="15">
        <v>0</v>
      </c>
      <c r="G211" s="15">
        <v>0</v>
      </c>
      <c r="H211" s="70">
        <v>2.7</v>
      </c>
      <c r="I211" s="15">
        <v>0</v>
      </c>
      <c r="J211" s="106" t="s">
        <v>12</v>
      </c>
      <c r="K211" s="591" t="s">
        <v>505</v>
      </c>
      <c r="L211" s="24"/>
    </row>
    <row r="212" spans="1:12" x14ac:dyDescent="0.35">
      <c r="A212" s="596">
        <v>128</v>
      </c>
      <c r="B212" s="28" t="s">
        <v>507</v>
      </c>
      <c r="C212" s="670">
        <f t="shared" si="19"/>
        <v>2.2999999999999998</v>
      </c>
      <c r="D212" s="590">
        <f>'[23]road inventory 2018'!C250</f>
        <v>2.3000000000000003</v>
      </c>
      <c r="E212" s="10">
        <v>2.2999999999999998</v>
      </c>
      <c r="F212" s="10">
        <v>0</v>
      </c>
      <c r="G212" s="10">
        <v>0</v>
      </c>
      <c r="H212" s="678">
        <v>0</v>
      </c>
      <c r="I212" s="10">
        <v>0</v>
      </c>
      <c r="J212" s="103" t="s">
        <v>10</v>
      </c>
      <c r="K212" s="597" t="s">
        <v>508</v>
      </c>
      <c r="L212" s="28"/>
    </row>
    <row r="213" spans="1:12" s="16" customFormat="1" ht="18" customHeight="1" x14ac:dyDescent="0.35">
      <c r="A213" s="589">
        <v>156</v>
      </c>
      <c r="B213" s="24" t="s">
        <v>130</v>
      </c>
      <c r="C213" s="670">
        <f t="shared" si="19"/>
        <v>20</v>
      </c>
      <c r="D213" s="590">
        <f>'[23]road inventory 2018'!C253</f>
        <v>20</v>
      </c>
      <c r="E213" s="15">
        <v>8.5299999999999994</v>
      </c>
      <c r="F213" s="15">
        <v>0</v>
      </c>
      <c r="G213" s="15">
        <v>0</v>
      </c>
      <c r="H213" s="70">
        <v>11.47</v>
      </c>
      <c r="I213" s="15">
        <v>0</v>
      </c>
      <c r="J213" s="106" t="s">
        <v>10</v>
      </c>
      <c r="K213" s="591" t="s">
        <v>514</v>
      </c>
      <c r="L213" s="24"/>
    </row>
    <row r="214" spans="1:12" ht="18" customHeight="1" x14ac:dyDescent="0.35">
      <c r="A214" s="596">
        <v>157</v>
      </c>
      <c r="B214" s="28" t="s">
        <v>515</v>
      </c>
      <c r="C214" s="670">
        <f t="shared" si="19"/>
        <v>0</v>
      </c>
      <c r="D214" s="10">
        <f>'[23]road inventory 2018'!C254</f>
        <v>8.6999999999999993</v>
      </c>
      <c r="E214" s="10">
        <v>0</v>
      </c>
      <c r="F214" s="10">
        <v>0</v>
      </c>
      <c r="G214" s="10">
        <v>0</v>
      </c>
      <c r="H214" s="678">
        <v>0</v>
      </c>
      <c r="I214" s="10">
        <v>0</v>
      </c>
      <c r="J214" s="103" t="s">
        <v>12</v>
      </c>
      <c r="K214" s="597"/>
      <c r="L214" s="28" t="s">
        <v>837</v>
      </c>
    </row>
    <row r="215" spans="1:12" s="16" customFormat="1" ht="18" customHeight="1" x14ac:dyDescent="0.35">
      <c r="A215" s="589">
        <v>131</v>
      </c>
      <c r="B215" s="24" t="s">
        <v>523</v>
      </c>
      <c r="C215" s="670">
        <f t="shared" si="19"/>
        <v>5.1999999999999993</v>
      </c>
      <c r="D215" s="590">
        <f>'[23]road inventory 2018'!C258</f>
        <v>5.2</v>
      </c>
      <c r="E215" s="15">
        <v>2.0099999999999998</v>
      </c>
      <c r="F215" s="15">
        <v>0</v>
      </c>
      <c r="G215" s="15">
        <v>0</v>
      </c>
      <c r="H215" s="70">
        <v>3.19</v>
      </c>
      <c r="I215" s="15">
        <v>0</v>
      </c>
      <c r="J215" s="106" t="s">
        <v>12</v>
      </c>
      <c r="K215" s="591"/>
      <c r="L215" s="24"/>
    </row>
    <row r="216" spans="1:12" s="16" customFormat="1" ht="18" customHeight="1" x14ac:dyDescent="0.35">
      <c r="A216" s="589">
        <v>135</v>
      </c>
      <c r="B216" s="24" t="s">
        <v>139</v>
      </c>
      <c r="C216" s="670">
        <f t="shared" si="19"/>
        <v>4.4000000000000004</v>
      </c>
      <c r="D216" s="590">
        <f>'[23]road inventory 2018'!C259</f>
        <v>4.4000000000000004</v>
      </c>
      <c r="E216" s="15">
        <v>0</v>
      </c>
      <c r="F216" s="15">
        <v>0</v>
      </c>
      <c r="G216" s="15">
        <v>0</v>
      </c>
      <c r="H216" s="70">
        <v>4.4000000000000004</v>
      </c>
      <c r="I216" s="15">
        <v>0</v>
      </c>
      <c r="J216" s="106" t="s">
        <v>12</v>
      </c>
      <c r="K216" s="591" t="s">
        <v>525</v>
      </c>
      <c r="L216" s="24"/>
    </row>
    <row r="217" spans="1:12" s="16" customFormat="1" ht="18" hidden="1" customHeight="1" x14ac:dyDescent="0.35">
      <c r="A217" s="626"/>
      <c r="B217" s="60"/>
      <c r="C217" s="670">
        <f t="shared" si="19"/>
        <v>55.499999999999993</v>
      </c>
      <c r="D217" s="61">
        <f t="shared" ref="D217:I217" si="20">SUM(D208:D216)</f>
        <v>64.2</v>
      </c>
      <c r="E217" s="61">
        <f t="shared" si="20"/>
        <v>14.799999999999999</v>
      </c>
      <c r="F217" s="61">
        <f t="shared" si="20"/>
        <v>0</v>
      </c>
      <c r="G217" s="61">
        <f t="shared" si="20"/>
        <v>0</v>
      </c>
      <c r="H217" s="61">
        <f t="shared" si="20"/>
        <v>40.699999999999996</v>
      </c>
      <c r="I217" s="61">
        <f t="shared" si="20"/>
        <v>0</v>
      </c>
      <c r="J217" s="628"/>
      <c r="K217" s="629"/>
      <c r="L217" s="24"/>
    </row>
    <row r="218" spans="1:12" ht="18" customHeight="1" thickBot="1" x14ac:dyDescent="0.4">
      <c r="A218" s="53" t="s">
        <v>341</v>
      </c>
      <c r="B218" s="34"/>
      <c r="C218" s="31">
        <f>SUM(E218:I218)</f>
        <v>55.499999999999993</v>
      </c>
      <c r="D218" s="630"/>
      <c r="E218" s="31">
        <f>SUM(E208:E216)</f>
        <v>14.799999999999999</v>
      </c>
      <c r="F218" s="31">
        <f>SUM(F208:F216)</f>
        <v>0</v>
      </c>
      <c r="G218" s="31">
        <f>SUM(G208:G216)</f>
        <v>0</v>
      </c>
      <c r="H218" s="31">
        <f>SUM(H208:H216)</f>
        <v>40.699999999999996</v>
      </c>
      <c r="I218" s="31">
        <f>SUM(I208:I216)</f>
        <v>0</v>
      </c>
      <c r="J218" s="608"/>
      <c r="K218" s="609"/>
      <c r="L218" s="653"/>
    </row>
    <row r="219" spans="1:12" ht="18" customHeight="1" thickBot="1" x14ac:dyDescent="0.4">
      <c r="L219" s="40"/>
    </row>
    <row r="220" spans="1:12" s="1" customFormat="1" x14ac:dyDescent="0.35">
      <c r="A220" s="1217" t="s">
        <v>526</v>
      </c>
      <c r="B220" s="1218"/>
      <c r="C220" s="1218"/>
      <c r="D220" s="1218"/>
      <c r="E220" s="1218"/>
      <c r="F220" s="1218"/>
      <c r="G220" s="1218"/>
      <c r="H220" s="1218"/>
      <c r="I220" s="1218"/>
      <c r="J220" s="1218"/>
      <c r="K220" s="1218"/>
      <c r="L220" s="1219"/>
    </row>
    <row r="221" spans="1:12" s="1" customFormat="1" ht="16" thickBot="1" x14ac:dyDescent="0.4">
      <c r="A221" s="585"/>
      <c r="B221" s="2"/>
      <c r="C221" s="5"/>
      <c r="D221" s="586"/>
      <c r="E221" s="5"/>
      <c r="F221" s="5"/>
      <c r="G221" s="5"/>
      <c r="H221" s="5"/>
      <c r="I221" s="5"/>
      <c r="J221" s="3"/>
      <c r="K221" s="21"/>
      <c r="L221" s="18"/>
    </row>
    <row r="222" spans="1:12" s="1" customFormat="1" ht="21" customHeight="1" x14ac:dyDescent="0.35">
      <c r="A222" s="1206" t="s">
        <v>302</v>
      </c>
      <c r="B222" s="1208" t="s">
        <v>28</v>
      </c>
      <c r="C222" s="1210" t="s">
        <v>343</v>
      </c>
      <c r="D222" s="613"/>
      <c r="E222" s="1212" t="s">
        <v>305</v>
      </c>
      <c r="F222" s="1212"/>
      <c r="G222" s="1212"/>
      <c r="H222" s="1212"/>
      <c r="I222" s="1212"/>
      <c r="J222" s="1208" t="s">
        <v>29</v>
      </c>
      <c r="K222" s="1213" t="s">
        <v>306</v>
      </c>
      <c r="L222" s="1220" t="s">
        <v>307</v>
      </c>
    </row>
    <row r="223" spans="1:12" s="1" customFormat="1" ht="21" customHeight="1" thickBot="1" x14ac:dyDescent="0.4">
      <c r="A223" s="1207"/>
      <c r="B223" s="1209"/>
      <c r="C223" s="1211"/>
      <c r="D223" s="614"/>
      <c r="E223" s="7" t="s">
        <v>308</v>
      </c>
      <c r="F223" s="7" t="s">
        <v>309</v>
      </c>
      <c r="G223" s="7" t="s">
        <v>310</v>
      </c>
      <c r="H223" s="7" t="s">
        <v>311</v>
      </c>
      <c r="I223" s="7" t="s">
        <v>312</v>
      </c>
      <c r="J223" s="1209"/>
      <c r="K223" s="1214"/>
      <c r="L223" s="1221"/>
    </row>
    <row r="224" spans="1:12" s="16" customFormat="1" ht="18" customHeight="1" x14ac:dyDescent="0.35">
      <c r="A224" s="589">
        <v>161</v>
      </c>
      <c r="B224" s="24" t="s">
        <v>529</v>
      </c>
      <c r="C224" s="15">
        <f>SUM(E224:I224)</f>
        <v>1.8</v>
      </c>
      <c r="D224" s="590">
        <f>'[23]road inventory 2018'!C267</f>
        <v>1.8</v>
      </c>
      <c r="E224" s="15">
        <v>1.8</v>
      </c>
      <c r="F224" s="15">
        <v>0</v>
      </c>
      <c r="G224" s="15">
        <v>0</v>
      </c>
      <c r="H224" s="15">
        <v>0</v>
      </c>
      <c r="I224" s="15">
        <v>0</v>
      </c>
      <c r="J224" s="106" t="s">
        <v>12</v>
      </c>
      <c r="K224" s="591" t="s">
        <v>528</v>
      </c>
      <c r="L224" s="24"/>
    </row>
    <row r="225" spans="1:12" s="16" customFormat="1" ht="18" customHeight="1" x14ac:dyDescent="0.35">
      <c r="A225" s="589">
        <v>166</v>
      </c>
      <c r="B225" s="24" t="s">
        <v>538</v>
      </c>
      <c r="C225" s="15">
        <f>SUM(E225:I225)</f>
        <v>2.8</v>
      </c>
      <c r="D225" s="590">
        <f>'[23]road inventory 2018'!C272</f>
        <v>2.8</v>
      </c>
      <c r="E225" s="15">
        <v>0</v>
      </c>
      <c r="F225" s="15">
        <v>0</v>
      </c>
      <c r="G225" s="15">
        <v>0</v>
      </c>
      <c r="H225" s="15">
        <v>2.8</v>
      </c>
      <c r="I225" s="15">
        <v>0</v>
      </c>
      <c r="J225" s="106" t="s">
        <v>12</v>
      </c>
      <c r="K225" s="591" t="s">
        <v>539</v>
      </c>
      <c r="L225" s="24"/>
    </row>
    <row r="226" spans="1:12" ht="18" customHeight="1" x14ac:dyDescent="0.35">
      <c r="A226" s="596">
        <v>167</v>
      </c>
      <c r="B226" s="28" t="s">
        <v>540</v>
      </c>
      <c r="C226" s="15">
        <f>SUM(E226:I226)</f>
        <v>5.5</v>
      </c>
      <c r="D226" s="590">
        <f>'[23]road inventory 2018'!C273</f>
        <v>5.5</v>
      </c>
      <c r="E226" s="10">
        <v>0</v>
      </c>
      <c r="F226" s="10">
        <v>0</v>
      </c>
      <c r="G226" s="10">
        <v>0</v>
      </c>
      <c r="H226" s="10">
        <v>5.5</v>
      </c>
      <c r="I226" s="10">
        <v>0</v>
      </c>
      <c r="J226" s="103" t="s">
        <v>12</v>
      </c>
      <c r="K226" s="597" t="s">
        <v>541</v>
      </c>
      <c r="L226" s="28"/>
    </row>
    <row r="227" spans="1:12" ht="18" hidden="1" customHeight="1" x14ac:dyDescent="0.35">
      <c r="A227" s="635"/>
      <c r="B227" s="40"/>
      <c r="C227" s="15">
        <f>SUM(E227:I227)</f>
        <v>10.100000000000001</v>
      </c>
      <c r="D227" s="41">
        <f t="shared" ref="D227:I227" si="21">SUM(D224:D226)</f>
        <v>10.1</v>
      </c>
      <c r="E227" s="41">
        <f t="shared" si="21"/>
        <v>1.8</v>
      </c>
      <c r="F227" s="41">
        <f t="shared" si="21"/>
        <v>0</v>
      </c>
      <c r="G227" s="41">
        <f t="shared" si="21"/>
        <v>0</v>
      </c>
      <c r="H227" s="41">
        <f t="shared" si="21"/>
        <v>8.3000000000000007</v>
      </c>
      <c r="I227" s="41">
        <f t="shared" si="21"/>
        <v>0</v>
      </c>
      <c r="J227" s="109"/>
      <c r="K227" s="605"/>
      <c r="L227" s="28"/>
    </row>
    <row r="228" spans="1:12" ht="18" customHeight="1" thickBot="1" x14ac:dyDescent="0.4">
      <c r="A228" s="53" t="s">
        <v>341</v>
      </c>
      <c r="B228" s="34"/>
      <c r="C228" s="31">
        <f>SUM(E228:I228)</f>
        <v>10.100000000000001</v>
      </c>
      <c r="D228" s="630"/>
      <c r="E228" s="31">
        <f>SUM(E224:E226)</f>
        <v>1.8</v>
      </c>
      <c r="F228" s="31">
        <f>SUM(F224:F226)</f>
        <v>0</v>
      </c>
      <c r="G228" s="31">
        <f>SUM(G224:G226)</f>
        <v>0</v>
      </c>
      <c r="H228" s="31">
        <f>SUM(H224:H226)</f>
        <v>8.3000000000000007</v>
      </c>
      <c r="I228" s="31">
        <f>SUM(I224:I226)</f>
        <v>0</v>
      </c>
      <c r="J228" s="608"/>
      <c r="K228" s="609"/>
      <c r="L228" s="653"/>
    </row>
    <row r="229" spans="1:12" ht="18" customHeight="1" thickBot="1" x14ac:dyDescent="0.4">
      <c r="L229" s="40"/>
    </row>
    <row r="230" spans="1:12" s="1" customFormat="1" x14ac:dyDescent="0.35">
      <c r="A230" s="1217" t="s">
        <v>547</v>
      </c>
      <c r="B230" s="1218"/>
      <c r="C230" s="1218"/>
      <c r="D230" s="1218"/>
      <c r="E230" s="1218"/>
      <c r="F230" s="1218"/>
      <c r="G230" s="1218"/>
      <c r="H230" s="1218"/>
      <c r="I230" s="1218"/>
      <c r="J230" s="1218"/>
      <c r="K230" s="1218"/>
      <c r="L230" s="684"/>
    </row>
    <row r="231" spans="1:12" s="1" customFormat="1" ht="16" thickBot="1" x14ac:dyDescent="0.4">
      <c r="A231" s="585"/>
      <c r="B231" s="2"/>
      <c r="C231" s="5"/>
      <c r="D231" s="586"/>
      <c r="E231" s="5"/>
      <c r="F231" s="5"/>
      <c r="G231" s="5"/>
      <c r="H231" s="5"/>
      <c r="I231" s="5"/>
      <c r="J231" s="3"/>
      <c r="K231" s="21"/>
      <c r="L231" s="97"/>
    </row>
    <row r="232" spans="1:12" s="1" customFormat="1" ht="21" customHeight="1" x14ac:dyDescent="0.35">
      <c r="A232" s="1206" t="s">
        <v>302</v>
      </c>
      <c r="B232" s="1208" t="s">
        <v>28</v>
      </c>
      <c r="C232" s="1210" t="s">
        <v>343</v>
      </c>
      <c r="D232" s="613"/>
      <c r="E232" s="1212" t="s">
        <v>305</v>
      </c>
      <c r="F232" s="1212"/>
      <c r="G232" s="1212"/>
      <c r="H232" s="1212"/>
      <c r="I232" s="1212"/>
      <c r="J232" s="1208" t="s">
        <v>29</v>
      </c>
      <c r="K232" s="1213" t="s">
        <v>306</v>
      </c>
      <c r="L232" s="1222" t="s">
        <v>307</v>
      </c>
    </row>
    <row r="233" spans="1:12" s="1" customFormat="1" ht="21" customHeight="1" thickBot="1" x14ac:dyDescent="0.4">
      <c r="A233" s="1207"/>
      <c r="B233" s="1209"/>
      <c r="C233" s="1211"/>
      <c r="D233" s="614"/>
      <c r="E233" s="7" t="s">
        <v>308</v>
      </c>
      <c r="F233" s="7" t="s">
        <v>309</v>
      </c>
      <c r="G233" s="7" t="s">
        <v>310</v>
      </c>
      <c r="H233" s="7" t="s">
        <v>311</v>
      </c>
      <c r="I233" s="7" t="s">
        <v>312</v>
      </c>
      <c r="J233" s="1209"/>
      <c r="K233" s="1214"/>
      <c r="L233" s="1223"/>
    </row>
    <row r="234" spans="1:12" ht="28.5" customHeight="1" x14ac:dyDescent="0.35">
      <c r="A234" s="596">
        <v>196</v>
      </c>
      <c r="B234" s="28" t="s">
        <v>548</v>
      </c>
      <c r="C234" s="10">
        <f>SUM(E234:I234)</f>
        <v>12.69</v>
      </c>
      <c r="D234" s="10">
        <f>'[23]road inventory 2018'!C283</f>
        <v>12.700000000000001</v>
      </c>
      <c r="E234" s="10">
        <v>8.1999999999999993</v>
      </c>
      <c r="F234" s="10">
        <v>0</v>
      </c>
      <c r="G234" s="10">
        <v>0</v>
      </c>
      <c r="H234" s="10">
        <v>4.49</v>
      </c>
      <c r="I234" s="10">
        <v>0</v>
      </c>
      <c r="J234" s="103" t="s">
        <v>12</v>
      </c>
      <c r="K234" s="597" t="s">
        <v>549</v>
      </c>
      <c r="L234" s="112" t="s">
        <v>838</v>
      </c>
    </row>
    <row r="235" spans="1:12" s="16" customFormat="1" ht="18" customHeight="1" x14ac:dyDescent="0.35">
      <c r="A235" s="589">
        <v>197</v>
      </c>
      <c r="B235" s="24" t="s">
        <v>550</v>
      </c>
      <c r="C235" s="10">
        <f>SUM(E235:I235)</f>
        <v>4.9400000000000004</v>
      </c>
      <c r="D235" s="590">
        <f>'[23]road inventory 2018'!C284</f>
        <v>6.6</v>
      </c>
      <c r="E235" s="15">
        <v>4.9400000000000004</v>
      </c>
      <c r="F235" s="15">
        <v>0</v>
      </c>
      <c r="G235" s="15">
        <v>0</v>
      </c>
      <c r="H235" s="15">
        <v>0</v>
      </c>
      <c r="I235" s="15">
        <v>0</v>
      </c>
      <c r="J235" s="106" t="s">
        <v>12</v>
      </c>
      <c r="K235" s="591" t="s">
        <v>551</v>
      </c>
      <c r="L235" s="24"/>
    </row>
    <row r="236" spans="1:12" s="16" customFormat="1" ht="18" customHeight="1" x14ac:dyDescent="0.35">
      <c r="A236" s="589">
        <v>200</v>
      </c>
      <c r="B236" s="24" t="s">
        <v>291</v>
      </c>
      <c r="C236" s="10">
        <f>SUM(E236:I236)</f>
        <v>1.1000000000000001</v>
      </c>
      <c r="D236" s="590">
        <f>'[23]road inventory 2018'!C286</f>
        <v>1.1000000000000001</v>
      </c>
      <c r="E236" s="15">
        <v>1.1000000000000001</v>
      </c>
      <c r="F236" s="15">
        <v>0</v>
      </c>
      <c r="G236" s="15">
        <v>0</v>
      </c>
      <c r="H236" s="15">
        <v>0</v>
      </c>
      <c r="I236" s="15">
        <v>0</v>
      </c>
      <c r="J236" s="106" t="s">
        <v>10</v>
      </c>
      <c r="K236" s="591" t="s">
        <v>554</v>
      </c>
      <c r="L236" s="24"/>
    </row>
    <row r="237" spans="1:12" ht="18" customHeight="1" x14ac:dyDescent="0.35">
      <c r="A237" s="596">
        <v>201</v>
      </c>
      <c r="B237" s="28" t="s">
        <v>555</v>
      </c>
      <c r="C237" s="10">
        <f>SUM(E237:I237)</f>
        <v>4.97</v>
      </c>
      <c r="D237" s="590">
        <f>'[23]road inventory 2018'!C287</f>
        <v>5.2</v>
      </c>
      <c r="E237" s="10">
        <v>4.97</v>
      </c>
      <c r="F237" s="10">
        <v>0</v>
      </c>
      <c r="G237" s="10">
        <v>0</v>
      </c>
      <c r="H237" s="10">
        <v>0</v>
      </c>
      <c r="I237" s="10">
        <v>0</v>
      </c>
      <c r="J237" s="103" t="s">
        <v>12</v>
      </c>
      <c r="K237" s="597" t="s">
        <v>556</v>
      </c>
      <c r="L237" s="28"/>
    </row>
    <row r="238" spans="1:12" s="16" customFormat="1" ht="18" customHeight="1" x14ac:dyDescent="0.35">
      <c r="A238" s="589">
        <v>203</v>
      </c>
      <c r="B238" s="24" t="s">
        <v>558</v>
      </c>
      <c r="C238" s="10">
        <f>SUM(E238:I238)</f>
        <v>4</v>
      </c>
      <c r="D238" s="590">
        <f>'[23]road inventory 2018'!C289</f>
        <v>3.8</v>
      </c>
      <c r="E238" s="15">
        <v>2.5499999999999998</v>
      </c>
      <c r="F238" s="15">
        <v>1.45</v>
      </c>
      <c r="G238" s="15">
        <v>0</v>
      </c>
      <c r="H238" s="15">
        <v>0</v>
      </c>
      <c r="I238" s="15">
        <v>0</v>
      </c>
      <c r="J238" s="106" t="s">
        <v>839</v>
      </c>
      <c r="K238" s="591" t="s">
        <v>559</v>
      </c>
      <c r="L238" s="24"/>
    </row>
    <row r="239" spans="1:12" ht="18" customHeight="1" x14ac:dyDescent="0.35">
      <c r="A239" s="596"/>
      <c r="B239" s="28"/>
      <c r="C239" s="10">
        <f t="shared" ref="C239:I239" si="22">SUM(C234:C238)</f>
        <v>27.7</v>
      </c>
      <c r="D239" s="10">
        <f t="shared" si="22"/>
        <v>29.400000000000002</v>
      </c>
      <c r="E239" s="10">
        <f t="shared" si="22"/>
        <v>21.76</v>
      </c>
      <c r="F239" s="10">
        <f t="shared" si="22"/>
        <v>1.45</v>
      </c>
      <c r="G239" s="10">
        <f t="shared" si="22"/>
        <v>0</v>
      </c>
      <c r="H239" s="10">
        <f t="shared" si="22"/>
        <v>4.49</v>
      </c>
      <c r="I239" s="10">
        <f t="shared" si="22"/>
        <v>0</v>
      </c>
      <c r="J239" s="103"/>
      <c r="K239" s="597"/>
      <c r="L239" s="28"/>
    </row>
    <row r="240" spans="1:12" ht="18" customHeight="1" thickBot="1" x14ac:dyDescent="0.4">
      <c r="A240" s="53" t="s">
        <v>341</v>
      </c>
      <c r="B240" s="34"/>
      <c r="C240" s="31">
        <f>SUM(E240:I240)</f>
        <v>27.700000000000003</v>
      </c>
      <c r="D240" s="630"/>
      <c r="E240" s="31">
        <f>SUM(E234:E238)</f>
        <v>21.76</v>
      </c>
      <c r="F240" s="31">
        <f>SUM(F234:F238)</f>
        <v>1.45</v>
      </c>
      <c r="G240" s="31">
        <f>SUM(G234:G238)</f>
        <v>0</v>
      </c>
      <c r="H240" s="31">
        <f>SUM(H234:H238)</f>
        <v>4.49</v>
      </c>
      <c r="I240" s="31">
        <f>SUM(I234:I238)</f>
        <v>0</v>
      </c>
      <c r="J240" s="608"/>
      <c r="K240" s="609"/>
      <c r="L240" s="653"/>
    </row>
    <row r="241" spans="1:12" x14ac:dyDescent="0.35">
      <c r="L241" s="28"/>
    </row>
    <row r="242" spans="1:12" s="1" customFormat="1" x14ac:dyDescent="0.35">
      <c r="A242" s="1203" t="s">
        <v>560</v>
      </c>
      <c r="B242" s="1204"/>
      <c r="C242" s="1204"/>
      <c r="D242" s="1204"/>
      <c r="E242" s="1204"/>
      <c r="F242" s="1204"/>
      <c r="G242" s="1204"/>
      <c r="H242" s="1204"/>
      <c r="I242" s="1204"/>
      <c r="J242" s="1204"/>
      <c r="K242" s="1204"/>
      <c r="L242" s="1205"/>
    </row>
    <row r="243" spans="1:12" s="1" customFormat="1" ht="16" thickBot="1" x14ac:dyDescent="0.4">
      <c r="A243" s="585"/>
      <c r="B243" s="2"/>
      <c r="C243" s="5"/>
      <c r="D243" s="586"/>
      <c r="E243" s="5"/>
      <c r="F243" s="5"/>
      <c r="G243" s="5"/>
      <c r="H243" s="5"/>
      <c r="I243" s="5"/>
      <c r="J243" s="3"/>
      <c r="K243" s="21"/>
      <c r="L243" s="653"/>
    </row>
    <row r="244" spans="1:12" s="1" customFormat="1" ht="21" customHeight="1" x14ac:dyDescent="0.35">
      <c r="A244" s="1206" t="s">
        <v>302</v>
      </c>
      <c r="B244" s="1208" t="s">
        <v>28</v>
      </c>
      <c r="C244" s="1210" t="s">
        <v>343</v>
      </c>
      <c r="D244" s="613"/>
      <c r="E244" s="1212" t="s">
        <v>305</v>
      </c>
      <c r="F244" s="1212"/>
      <c r="G244" s="1212"/>
      <c r="H244" s="1212"/>
      <c r="I244" s="1212"/>
      <c r="J244" s="1208" t="s">
        <v>29</v>
      </c>
      <c r="K244" s="1213" t="s">
        <v>306</v>
      </c>
      <c r="L244" s="1215" t="str">
        <f>L232</f>
        <v>REMARKS</v>
      </c>
    </row>
    <row r="245" spans="1:12" s="1" customFormat="1" ht="21" customHeight="1" thickBot="1" x14ac:dyDescent="0.4">
      <c r="A245" s="1207"/>
      <c r="B245" s="1209"/>
      <c r="C245" s="1211"/>
      <c r="D245" s="614"/>
      <c r="E245" s="7" t="s">
        <v>308</v>
      </c>
      <c r="F245" s="7" t="s">
        <v>309</v>
      </c>
      <c r="G245" s="7" t="s">
        <v>310</v>
      </c>
      <c r="H245" s="7" t="s">
        <v>311</v>
      </c>
      <c r="I245" s="7" t="s">
        <v>312</v>
      </c>
      <c r="J245" s="1209"/>
      <c r="K245" s="1214"/>
      <c r="L245" s="1216"/>
    </row>
    <row r="246" spans="1:12" s="16" customFormat="1" ht="18" customHeight="1" x14ac:dyDescent="0.35">
      <c r="A246" s="589">
        <v>205</v>
      </c>
      <c r="B246" s="24" t="s">
        <v>563</v>
      </c>
      <c r="C246" s="10">
        <f t="shared" ref="C246:C251" si="23">SUM(E246:I246)</f>
        <v>0.37</v>
      </c>
      <c r="D246" s="615">
        <f>'[23]road inventory 2018'!C299</f>
        <v>0.37</v>
      </c>
      <c r="E246" s="15">
        <v>0.37</v>
      </c>
      <c r="F246" s="15">
        <v>0</v>
      </c>
      <c r="G246" s="15">
        <v>0</v>
      </c>
      <c r="H246" s="15">
        <v>0</v>
      </c>
      <c r="I246" s="15">
        <v>0</v>
      </c>
      <c r="J246" s="106" t="s">
        <v>10</v>
      </c>
      <c r="K246" s="591" t="s">
        <v>564</v>
      </c>
      <c r="L246" s="24"/>
    </row>
    <row r="247" spans="1:12" s="16" customFormat="1" ht="31" x14ac:dyDescent="0.35">
      <c r="A247" s="589">
        <v>213</v>
      </c>
      <c r="B247" s="24" t="s">
        <v>293</v>
      </c>
      <c r="C247" s="10">
        <f t="shared" si="23"/>
        <v>2.8499999999999996</v>
      </c>
      <c r="D247" s="615">
        <f>'[23]road inventory 2018'!C300</f>
        <v>1.8599999999999999</v>
      </c>
      <c r="E247" s="15">
        <v>2.11</v>
      </c>
      <c r="F247" s="15">
        <v>0.74</v>
      </c>
      <c r="G247" s="15">
        <v>0</v>
      </c>
      <c r="H247" s="15">
        <v>0</v>
      </c>
      <c r="I247" s="15">
        <v>0</v>
      </c>
      <c r="J247" s="106" t="s">
        <v>10</v>
      </c>
      <c r="K247" s="591" t="s">
        <v>565</v>
      </c>
      <c r="L247" s="24"/>
    </row>
    <row r="248" spans="1:12" ht="18" customHeight="1" x14ac:dyDescent="0.35">
      <c r="A248" s="596">
        <v>206</v>
      </c>
      <c r="B248" s="28" t="s">
        <v>295</v>
      </c>
      <c r="C248" s="10">
        <f t="shared" si="23"/>
        <v>1.94</v>
      </c>
      <c r="D248" s="615">
        <f>'[23]road inventory 2018'!C301</f>
        <v>2</v>
      </c>
      <c r="E248" s="10">
        <v>1.94</v>
      </c>
      <c r="F248" s="10">
        <v>0</v>
      </c>
      <c r="G248" s="10">
        <v>0</v>
      </c>
      <c r="H248" s="10">
        <v>0</v>
      </c>
      <c r="I248" s="10">
        <v>0</v>
      </c>
      <c r="J248" s="103" t="s">
        <v>10</v>
      </c>
      <c r="K248" s="597" t="s">
        <v>566</v>
      </c>
      <c r="L248" s="28"/>
    </row>
    <row r="249" spans="1:12" ht="31" x14ac:dyDescent="0.35">
      <c r="A249" s="596">
        <v>207</v>
      </c>
      <c r="B249" s="28" t="s">
        <v>292</v>
      </c>
      <c r="C249" s="10">
        <f t="shared" si="23"/>
        <v>2.0099999999999998</v>
      </c>
      <c r="D249" s="615">
        <f>'[23]road inventory 2018'!C302</f>
        <v>3.38</v>
      </c>
      <c r="E249" s="10">
        <v>0</v>
      </c>
      <c r="F249" s="10">
        <v>0</v>
      </c>
      <c r="G249" s="10">
        <v>0</v>
      </c>
      <c r="H249" s="10">
        <v>0</v>
      </c>
      <c r="I249" s="10">
        <v>2.0099999999999998</v>
      </c>
      <c r="J249" s="103" t="s">
        <v>10</v>
      </c>
      <c r="K249" s="597" t="s">
        <v>567</v>
      </c>
      <c r="L249" s="28"/>
    </row>
    <row r="250" spans="1:12" ht="18" customHeight="1" x14ac:dyDescent="0.35">
      <c r="A250" s="596">
        <v>210</v>
      </c>
      <c r="B250" s="28" t="s">
        <v>575</v>
      </c>
      <c r="C250" s="10">
        <f t="shared" si="23"/>
        <v>0.8</v>
      </c>
      <c r="D250" s="10">
        <f>'[23]road inventory 2018'!C310</f>
        <v>0.8</v>
      </c>
      <c r="E250" s="10">
        <v>0.8</v>
      </c>
      <c r="F250" s="10">
        <v>0</v>
      </c>
      <c r="G250" s="10">
        <v>0</v>
      </c>
      <c r="H250" s="10">
        <v>0</v>
      </c>
      <c r="I250" s="10">
        <v>0</v>
      </c>
      <c r="J250" s="103" t="s">
        <v>12</v>
      </c>
      <c r="K250" s="597" t="s">
        <v>576</v>
      </c>
      <c r="L250" s="28"/>
    </row>
    <row r="251" spans="1:12" ht="18" customHeight="1" x14ac:dyDescent="0.35">
      <c r="A251" s="596">
        <v>211</v>
      </c>
      <c r="B251" s="28" t="s">
        <v>577</v>
      </c>
      <c r="C251" s="10">
        <f t="shared" si="23"/>
        <v>0.85</v>
      </c>
      <c r="D251" s="10">
        <f>'[23]road inventory 2018'!C311</f>
        <v>0.7</v>
      </c>
      <c r="E251" s="10">
        <v>0.85</v>
      </c>
      <c r="F251" s="10">
        <v>0</v>
      </c>
      <c r="G251" s="10">
        <v>0</v>
      </c>
      <c r="H251" s="10">
        <v>0</v>
      </c>
      <c r="I251" s="10">
        <v>0</v>
      </c>
      <c r="J251" s="103" t="s">
        <v>10</v>
      </c>
      <c r="K251" s="597" t="s">
        <v>578</v>
      </c>
      <c r="L251" s="28"/>
    </row>
    <row r="252" spans="1:12" s="16" customFormat="1" ht="18" customHeight="1" x14ac:dyDescent="0.35">
      <c r="A252" s="626"/>
      <c r="B252" s="60"/>
      <c r="C252" s="61">
        <f t="shared" ref="C252:I252" si="24">SUM(C246:C251)</f>
        <v>8.82</v>
      </c>
      <c r="D252" s="61">
        <f t="shared" si="24"/>
        <v>9.11</v>
      </c>
      <c r="E252" s="61">
        <f t="shared" si="24"/>
        <v>6.0699999999999994</v>
      </c>
      <c r="F252" s="61">
        <f t="shared" si="24"/>
        <v>0.74</v>
      </c>
      <c r="G252" s="61">
        <f t="shared" si="24"/>
        <v>0</v>
      </c>
      <c r="H252" s="61">
        <f t="shared" si="24"/>
        <v>0</v>
      </c>
      <c r="I252" s="61">
        <f t="shared" si="24"/>
        <v>2.0099999999999998</v>
      </c>
      <c r="J252" s="628"/>
      <c r="K252" s="629"/>
      <c r="L252" s="24"/>
    </row>
    <row r="253" spans="1:12" ht="18" customHeight="1" thickBot="1" x14ac:dyDescent="0.4">
      <c r="A253" s="53" t="s">
        <v>341</v>
      </c>
      <c r="B253" s="34"/>
      <c r="C253" s="31">
        <f>SUM(E253:I253)</f>
        <v>8.82</v>
      </c>
      <c r="D253" s="630"/>
      <c r="E253" s="31">
        <f>SUM(E246:E251)</f>
        <v>6.0699999999999994</v>
      </c>
      <c r="F253" s="31">
        <f>SUM(F246:F251)</f>
        <v>0.74</v>
      </c>
      <c r="G253" s="31">
        <f>SUM(G246:G251)</f>
        <v>0</v>
      </c>
      <c r="H253" s="31">
        <f>SUM(H246:H251)</f>
        <v>0</v>
      </c>
      <c r="I253" s="31">
        <f>SUM(I246:I251)</f>
        <v>2.0099999999999998</v>
      </c>
      <c r="J253" s="608"/>
      <c r="K253" s="609"/>
      <c r="L253" s="653"/>
    </row>
    <row r="254" spans="1:12" ht="18" customHeight="1" x14ac:dyDescent="0.35">
      <c r="L254" s="28"/>
    </row>
    <row r="255" spans="1:12" s="1" customFormat="1" x14ac:dyDescent="0.35">
      <c r="A255" s="1203" t="s">
        <v>579</v>
      </c>
      <c r="B255" s="1204"/>
      <c r="C255" s="1204"/>
      <c r="D255" s="1204"/>
      <c r="E255" s="1204"/>
      <c r="F255" s="1204"/>
      <c r="G255" s="1204"/>
      <c r="H255" s="1204"/>
      <c r="I255" s="1204"/>
      <c r="J255" s="1204"/>
      <c r="K255" s="1204"/>
      <c r="L255" s="1205"/>
    </row>
    <row r="256" spans="1:12" s="1" customFormat="1" ht="16" thickBot="1" x14ac:dyDescent="0.4">
      <c r="A256" s="585"/>
      <c r="B256" s="2"/>
      <c r="C256" s="5"/>
      <c r="D256" s="586"/>
      <c r="E256" s="5"/>
      <c r="F256" s="5"/>
      <c r="G256" s="5"/>
      <c r="H256" s="5"/>
      <c r="I256" s="5"/>
      <c r="J256" s="3"/>
      <c r="K256" s="21"/>
      <c r="L256" s="653"/>
    </row>
    <row r="257" spans="1:13" s="1" customFormat="1" x14ac:dyDescent="0.35">
      <c r="A257" s="1206" t="s">
        <v>302</v>
      </c>
      <c r="B257" s="1208" t="s">
        <v>28</v>
      </c>
      <c r="C257" s="1210" t="s">
        <v>343</v>
      </c>
      <c r="D257" s="613"/>
      <c r="E257" s="1212" t="s">
        <v>305</v>
      </c>
      <c r="F257" s="1212"/>
      <c r="G257" s="1212"/>
      <c r="H257" s="1212"/>
      <c r="I257" s="1212"/>
      <c r="J257" s="1208" t="s">
        <v>29</v>
      </c>
      <c r="K257" s="1213" t="s">
        <v>306</v>
      </c>
      <c r="L257" s="1215" t="str">
        <f>L244</f>
        <v>REMARKS</v>
      </c>
    </row>
    <row r="258" spans="1:13" s="1" customFormat="1" ht="21" customHeight="1" thickBot="1" x14ac:dyDescent="0.4">
      <c r="A258" s="1207"/>
      <c r="B258" s="1209"/>
      <c r="C258" s="1211"/>
      <c r="D258" s="614"/>
      <c r="E258" s="7" t="s">
        <v>308</v>
      </c>
      <c r="F258" s="7" t="s">
        <v>309</v>
      </c>
      <c r="G258" s="7" t="s">
        <v>310</v>
      </c>
      <c r="H258" s="7" t="s">
        <v>311</v>
      </c>
      <c r="I258" s="7" t="s">
        <v>312</v>
      </c>
      <c r="J258" s="1209"/>
      <c r="K258" s="1214"/>
      <c r="L258" s="1216"/>
    </row>
    <row r="259" spans="1:13" ht="18" customHeight="1" x14ac:dyDescent="0.35">
      <c r="A259" s="596">
        <v>214</v>
      </c>
      <c r="B259" s="28" t="s">
        <v>580</v>
      </c>
      <c r="C259" s="10">
        <f>SUM(E259:I259)</f>
        <v>4.5</v>
      </c>
      <c r="D259" s="10">
        <f>'[23]road inventory 2018'!C318</f>
        <v>4.5</v>
      </c>
      <c r="E259" s="633">
        <v>0.7</v>
      </c>
      <c r="F259" s="633">
        <v>0</v>
      </c>
      <c r="G259" s="633">
        <v>0</v>
      </c>
      <c r="H259" s="10">
        <v>3.8</v>
      </c>
      <c r="I259" s="10">
        <v>0</v>
      </c>
      <c r="J259" s="103" t="s">
        <v>12</v>
      </c>
      <c r="K259" s="597" t="s">
        <v>581</v>
      </c>
      <c r="L259" s="28"/>
    </row>
    <row r="260" spans="1:13" ht="18" customHeight="1" x14ac:dyDescent="0.35">
      <c r="A260" s="596">
        <v>212</v>
      </c>
      <c r="B260" s="28" t="s">
        <v>582</v>
      </c>
      <c r="C260" s="10">
        <f>SUM(E260:I260)</f>
        <v>2.75</v>
      </c>
      <c r="D260" s="10">
        <f>'[23]road inventory 2018'!C319</f>
        <v>2.75</v>
      </c>
      <c r="E260" s="633">
        <v>2.6</v>
      </c>
      <c r="F260" s="633">
        <v>0</v>
      </c>
      <c r="G260" s="633">
        <v>0</v>
      </c>
      <c r="H260" s="10">
        <v>0.15</v>
      </c>
      <c r="I260" s="10">
        <v>0</v>
      </c>
      <c r="J260" s="103" t="s">
        <v>12</v>
      </c>
      <c r="K260" s="597" t="s">
        <v>528</v>
      </c>
      <c r="L260" s="28"/>
    </row>
    <row r="261" spans="1:13" s="16" customFormat="1" ht="18" hidden="1" customHeight="1" x14ac:dyDescent="0.35">
      <c r="A261" s="626"/>
      <c r="B261" s="60"/>
      <c r="C261" s="61">
        <f>SUM(C259:C260)</f>
        <v>7.25</v>
      </c>
      <c r="D261" s="61">
        <f t="shared" ref="D261:I261" si="25">SUM(D259:D260)</f>
        <v>7.25</v>
      </c>
      <c r="E261" s="61">
        <f t="shared" si="25"/>
        <v>3.3</v>
      </c>
      <c r="F261" s="61">
        <f t="shared" si="25"/>
        <v>0</v>
      </c>
      <c r="G261" s="61">
        <f t="shared" si="25"/>
        <v>0</v>
      </c>
      <c r="H261" s="61">
        <f t="shared" si="25"/>
        <v>3.9499999999999997</v>
      </c>
      <c r="I261" s="61">
        <f t="shared" si="25"/>
        <v>0</v>
      </c>
      <c r="J261" s="628"/>
      <c r="K261" s="629"/>
      <c r="L261" s="24"/>
    </row>
    <row r="262" spans="1:13" ht="18" customHeight="1" thickBot="1" x14ac:dyDescent="0.4">
      <c r="A262" s="53" t="s">
        <v>341</v>
      </c>
      <c r="B262" s="69"/>
      <c r="C262" s="31">
        <f>SUM(E262:I262)</f>
        <v>7.25</v>
      </c>
      <c r="D262" s="630"/>
      <c r="E262" s="31">
        <f>SUM(E259:E260)</f>
        <v>3.3</v>
      </c>
      <c r="F262" s="31">
        <f>SUM(F259:F260)</f>
        <v>0</v>
      </c>
      <c r="G262" s="31">
        <f>SUM(G259:G260)</f>
        <v>0</v>
      </c>
      <c r="H262" s="31">
        <f>SUM(H259:H260)</f>
        <v>3.9499999999999997</v>
      </c>
      <c r="I262" s="31">
        <f>SUM(I259:I260)</f>
        <v>0</v>
      </c>
      <c r="J262" s="608"/>
      <c r="K262" s="609"/>
      <c r="L262" s="653"/>
    </row>
    <row r="263" spans="1:13" ht="18" customHeight="1" x14ac:dyDescent="0.35">
      <c r="L263" s="28"/>
    </row>
    <row r="264" spans="1:13" s="1" customFormat="1" x14ac:dyDescent="0.35">
      <c r="A264" s="1203" t="s">
        <v>583</v>
      </c>
      <c r="B264" s="1204"/>
      <c r="C264" s="1204"/>
      <c r="D264" s="1204"/>
      <c r="E264" s="1204"/>
      <c r="F264" s="1204"/>
      <c r="G264" s="1204"/>
      <c r="H264" s="1204"/>
      <c r="I264" s="1204"/>
      <c r="J264" s="1204"/>
      <c r="K264" s="1204"/>
      <c r="L264" s="1205"/>
    </row>
    <row r="265" spans="1:13" s="1" customFormat="1" ht="16" thickBot="1" x14ac:dyDescent="0.4">
      <c r="A265" s="585"/>
      <c r="B265" s="2"/>
      <c r="C265" s="5"/>
      <c r="D265" s="586"/>
      <c r="E265" s="5"/>
      <c r="F265" s="5"/>
      <c r="G265" s="5"/>
      <c r="H265" s="5"/>
      <c r="I265" s="5"/>
      <c r="J265" s="3"/>
      <c r="K265" s="21"/>
      <c r="L265" s="653"/>
    </row>
    <row r="266" spans="1:13" s="1" customFormat="1" x14ac:dyDescent="0.35">
      <c r="A266" s="1206" t="s">
        <v>302</v>
      </c>
      <c r="B266" s="1208" t="s">
        <v>28</v>
      </c>
      <c r="C266" s="1210" t="s">
        <v>343</v>
      </c>
      <c r="D266" s="613"/>
      <c r="E266" s="1212" t="s">
        <v>305</v>
      </c>
      <c r="F266" s="1212"/>
      <c r="G266" s="1212"/>
      <c r="H266" s="1212"/>
      <c r="I266" s="1212"/>
      <c r="J266" s="1208" t="s">
        <v>29</v>
      </c>
      <c r="K266" s="1213" t="s">
        <v>306</v>
      </c>
      <c r="L266" s="1215" t="str">
        <f>L257</f>
        <v>REMARKS</v>
      </c>
    </row>
    <row r="267" spans="1:13" s="1" customFormat="1" ht="21" customHeight="1" thickBot="1" x14ac:dyDescent="0.4">
      <c r="A267" s="1207"/>
      <c r="B267" s="1209"/>
      <c r="C267" s="1211"/>
      <c r="D267" s="614"/>
      <c r="E267" s="7" t="s">
        <v>308</v>
      </c>
      <c r="F267" s="7" t="s">
        <v>309</v>
      </c>
      <c r="G267" s="7" t="s">
        <v>310</v>
      </c>
      <c r="H267" s="7" t="s">
        <v>311</v>
      </c>
      <c r="I267" s="7" t="s">
        <v>312</v>
      </c>
      <c r="J267" s="1209"/>
      <c r="K267" s="1214"/>
      <c r="L267" s="1216"/>
    </row>
    <row r="268" spans="1:13" s="697" customFormat="1" ht="18" customHeight="1" x14ac:dyDescent="0.35">
      <c r="A268" s="689">
        <v>173</v>
      </c>
      <c r="B268" s="690" t="s">
        <v>584</v>
      </c>
      <c r="C268" s="691">
        <f>SUM(E268:I268)</f>
        <v>1.04</v>
      </c>
      <c r="D268" s="692">
        <f>'[23]road inventory 2018'!C326</f>
        <v>1.5</v>
      </c>
      <c r="E268" s="691">
        <v>1.04</v>
      </c>
      <c r="F268" s="691">
        <v>0</v>
      </c>
      <c r="G268" s="691">
        <v>0</v>
      </c>
      <c r="H268" s="691">
        <v>0</v>
      </c>
      <c r="I268" s="691">
        <v>0</v>
      </c>
      <c r="J268" s="693" t="s">
        <v>839</v>
      </c>
      <c r="K268" s="694"/>
      <c r="L268" s="690"/>
    </row>
    <row r="269" spans="1:13" s="697" customFormat="1" ht="18" customHeight="1" x14ac:dyDescent="0.35">
      <c r="A269" s="689">
        <v>175</v>
      </c>
      <c r="B269" s="690" t="s">
        <v>586</v>
      </c>
      <c r="C269" s="691">
        <f t="shared" ref="C269:C276" si="26">SUM(E269:I269)</f>
        <v>3.31</v>
      </c>
      <c r="D269" s="692">
        <f>'[23]road inventory 2018'!C328</f>
        <v>3.6</v>
      </c>
      <c r="E269" s="691">
        <v>3.31</v>
      </c>
      <c r="F269" s="691">
        <v>0</v>
      </c>
      <c r="G269" s="691">
        <v>0</v>
      </c>
      <c r="H269" s="691">
        <v>0</v>
      </c>
      <c r="I269" s="691">
        <v>0</v>
      </c>
      <c r="J269" s="690" t="s">
        <v>12</v>
      </c>
      <c r="K269" s="694"/>
      <c r="L269" s="690"/>
    </row>
    <row r="270" spans="1:13" s="697" customFormat="1" ht="18" customHeight="1" x14ac:dyDescent="0.35">
      <c r="A270" s="689">
        <v>176</v>
      </c>
      <c r="B270" s="690" t="s">
        <v>587</v>
      </c>
      <c r="C270" s="691">
        <f t="shared" si="26"/>
        <v>22.21</v>
      </c>
      <c r="D270" s="692">
        <f>'[23]road inventory 2018'!C329</f>
        <v>20.5</v>
      </c>
      <c r="E270" s="691">
        <v>5.21</v>
      </c>
      <c r="F270" s="691">
        <v>0</v>
      </c>
      <c r="G270" s="691">
        <v>0</v>
      </c>
      <c r="H270" s="691">
        <v>17</v>
      </c>
      <c r="I270" s="691">
        <v>0</v>
      </c>
      <c r="J270" s="690" t="s">
        <v>12</v>
      </c>
      <c r="K270" s="694"/>
      <c r="L270" s="690"/>
    </row>
    <row r="271" spans="1:13" s="697" customFormat="1" ht="18" customHeight="1" x14ac:dyDescent="0.35">
      <c r="A271" s="689">
        <v>177</v>
      </c>
      <c r="B271" s="690" t="s">
        <v>588</v>
      </c>
      <c r="C271" s="691">
        <f t="shared" si="26"/>
        <v>13.55</v>
      </c>
      <c r="D271" s="692">
        <f>'[23]road inventory 2018'!C330</f>
        <v>13.5</v>
      </c>
      <c r="E271" s="691">
        <v>13.55</v>
      </c>
      <c r="F271" s="691">
        <v>0</v>
      </c>
      <c r="G271" s="691">
        <v>0</v>
      </c>
      <c r="H271" s="691">
        <v>0</v>
      </c>
      <c r="I271" s="691">
        <v>0</v>
      </c>
      <c r="J271" s="693" t="s">
        <v>10</v>
      </c>
      <c r="K271" s="694"/>
      <c r="L271" s="690"/>
    </row>
    <row r="272" spans="1:13" s="697" customFormat="1" ht="18" customHeight="1" x14ac:dyDescent="0.35">
      <c r="A272" s="689">
        <v>172</v>
      </c>
      <c r="B272" s="690" t="s">
        <v>589</v>
      </c>
      <c r="C272" s="691">
        <f t="shared" si="26"/>
        <v>4.4399999999999995</v>
      </c>
      <c r="D272" s="692">
        <f>'[23]road inventory 2018'!C331</f>
        <v>5.7</v>
      </c>
      <c r="E272" s="691">
        <v>1.02</v>
      </c>
      <c r="F272" s="691">
        <v>0</v>
      </c>
      <c r="G272" s="691">
        <v>0</v>
      </c>
      <c r="H272" s="691">
        <v>0</v>
      </c>
      <c r="I272" s="691">
        <v>3.42</v>
      </c>
      <c r="J272" s="693" t="str">
        <f>J237</f>
        <v>Fair</v>
      </c>
      <c r="K272" s="694"/>
      <c r="L272" s="690"/>
      <c r="M272" s="698" t="e">
        <f>C306+#REF!+D286+D287+#REF!+#REF!+D273+#REF!+#REF!+D250+#REF!+#REF!+#REF!+#REF!+#REF!+D234</f>
        <v>#REF!</v>
      </c>
    </row>
    <row r="273" spans="1:12" ht="18" customHeight="1" x14ac:dyDescent="0.35">
      <c r="A273" s="596">
        <v>180</v>
      </c>
      <c r="B273" s="28" t="s">
        <v>591</v>
      </c>
      <c r="C273" s="691">
        <f t="shared" si="26"/>
        <v>2.42</v>
      </c>
      <c r="D273" s="10">
        <f>'[23]road inventory 2018'!C334</f>
        <v>2.42</v>
      </c>
      <c r="E273" s="10">
        <v>0</v>
      </c>
      <c r="F273" s="10">
        <v>0</v>
      </c>
      <c r="G273" s="10">
        <v>0</v>
      </c>
      <c r="H273" s="10">
        <v>2.42</v>
      </c>
      <c r="I273" s="10">
        <v>0</v>
      </c>
      <c r="J273" s="28" t="s">
        <v>12</v>
      </c>
      <c r="K273" s="597"/>
      <c r="L273" s="28"/>
    </row>
    <row r="274" spans="1:12" ht="31" x14ac:dyDescent="0.35">
      <c r="A274" s="596">
        <v>181</v>
      </c>
      <c r="B274" s="28" t="s">
        <v>592</v>
      </c>
      <c r="C274" s="691">
        <f t="shared" si="26"/>
        <v>4.03</v>
      </c>
      <c r="D274" s="10">
        <f>'[23]road inventory 2018'!C335</f>
        <v>4.9000000000000004</v>
      </c>
      <c r="E274" s="10">
        <v>4.03</v>
      </c>
      <c r="F274" s="10">
        <v>0</v>
      </c>
      <c r="G274" s="10">
        <v>0</v>
      </c>
      <c r="H274" s="10">
        <v>0</v>
      </c>
      <c r="I274" s="10">
        <v>0</v>
      </c>
      <c r="J274" s="103" t="s">
        <v>10</v>
      </c>
      <c r="K274" s="597"/>
      <c r="L274" s="28"/>
    </row>
    <row r="275" spans="1:12" ht="31" x14ac:dyDescent="0.35">
      <c r="A275" s="596">
        <v>182</v>
      </c>
      <c r="B275" s="28" t="s">
        <v>593</v>
      </c>
      <c r="C275" s="691">
        <f t="shared" si="26"/>
        <v>16.57</v>
      </c>
      <c r="D275" s="10">
        <f>'[23]road inventory 2018'!C336</f>
        <v>16</v>
      </c>
      <c r="E275" s="10">
        <v>16.57</v>
      </c>
      <c r="F275" s="10">
        <v>0</v>
      </c>
      <c r="G275" s="10">
        <v>0</v>
      </c>
      <c r="H275" s="10">
        <v>0</v>
      </c>
      <c r="I275" s="10">
        <v>0</v>
      </c>
      <c r="J275" s="28" t="s">
        <v>10</v>
      </c>
      <c r="K275" s="597"/>
      <c r="L275" s="28"/>
    </row>
    <row r="276" spans="1:12" s="697" customFormat="1" ht="18" customHeight="1" x14ac:dyDescent="0.35">
      <c r="A276" s="689">
        <v>184</v>
      </c>
      <c r="B276" s="690" t="s">
        <v>595</v>
      </c>
      <c r="C276" s="691">
        <f t="shared" si="26"/>
        <v>12.03</v>
      </c>
      <c r="D276" s="692">
        <f>'[23]road inventory 2018'!C338</f>
        <v>12</v>
      </c>
      <c r="E276" s="691">
        <v>10.01</v>
      </c>
      <c r="F276" s="691">
        <v>0</v>
      </c>
      <c r="G276" s="691">
        <v>0</v>
      </c>
      <c r="H276" s="691">
        <v>2.02</v>
      </c>
      <c r="I276" s="691">
        <v>0</v>
      </c>
      <c r="J276" s="690" t="s">
        <v>10</v>
      </c>
      <c r="K276" s="694"/>
      <c r="L276" s="690"/>
    </row>
    <row r="277" spans="1:12" s="677" customFormat="1" ht="18" hidden="1" customHeight="1" x14ac:dyDescent="0.35">
      <c r="A277" s="699"/>
      <c r="B277" s="108"/>
      <c r="C277" s="700">
        <f t="shared" ref="C277:I277" si="27">SUM(C268:C276)</f>
        <v>79.599999999999994</v>
      </c>
      <c r="D277" s="700">
        <f t="shared" si="27"/>
        <v>80.12</v>
      </c>
      <c r="E277" s="700">
        <f t="shared" si="27"/>
        <v>54.74</v>
      </c>
      <c r="F277" s="700">
        <f t="shared" si="27"/>
        <v>0</v>
      </c>
      <c r="G277" s="700">
        <f t="shared" si="27"/>
        <v>0</v>
      </c>
      <c r="H277" s="700">
        <f t="shared" si="27"/>
        <v>21.44</v>
      </c>
      <c r="I277" s="700">
        <f t="shared" si="27"/>
        <v>3.42</v>
      </c>
      <c r="J277" s="108"/>
      <c r="K277" s="701"/>
      <c r="L277" s="107"/>
    </row>
    <row r="278" spans="1:12" ht="18" customHeight="1" thickBot="1" x14ac:dyDescent="0.4">
      <c r="A278" s="53" t="s">
        <v>341</v>
      </c>
      <c r="B278" s="34"/>
      <c r="C278" s="31">
        <f>SUM(E278:I278)</f>
        <v>79.600000000000009</v>
      </c>
      <c r="D278" s="630"/>
      <c r="E278" s="31">
        <f>SUM(E268:E276)</f>
        <v>54.74</v>
      </c>
      <c r="F278" s="31">
        <f>SUM(F268:F276)</f>
        <v>0</v>
      </c>
      <c r="G278" s="31">
        <f>SUM(G268:G276)</f>
        <v>0</v>
      </c>
      <c r="H278" s="31">
        <f>SUM(H268:H276)</f>
        <v>21.44</v>
      </c>
      <c r="I278" s="31">
        <f>SUM(I268:I276)</f>
        <v>3.42</v>
      </c>
      <c r="J278" s="608"/>
      <c r="K278" s="609"/>
      <c r="L278" s="653"/>
    </row>
    <row r="279" spans="1:12" ht="18" customHeight="1" x14ac:dyDescent="0.35">
      <c r="L279" s="28"/>
    </row>
    <row r="280" spans="1:12" s="1" customFormat="1" x14ac:dyDescent="0.35">
      <c r="A280" s="1203" t="s">
        <v>596</v>
      </c>
      <c r="B280" s="1204"/>
      <c r="C280" s="1204"/>
      <c r="D280" s="1204"/>
      <c r="E280" s="1204"/>
      <c r="F280" s="1204"/>
      <c r="G280" s="1204"/>
      <c r="H280" s="1204"/>
      <c r="I280" s="1204"/>
      <c r="J280" s="1204"/>
      <c r="K280" s="1204"/>
      <c r="L280" s="1205"/>
    </row>
    <row r="281" spans="1:12" s="1" customFormat="1" ht="16" thickBot="1" x14ac:dyDescent="0.4">
      <c r="A281" s="585"/>
      <c r="B281" s="2"/>
      <c r="C281" s="5"/>
      <c r="D281" s="586"/>
      <c r="E281" s="5"/>
      <c r="F281" s="5"/>
      <c r="G281" s="5"/>
      <c r="H281" s="5"/>
      <c r="I281" s="5"/>
      <c r="J281" s="3"/>
      <c r="K281" s="21"/>
      <c r="L281" s="653"/>
    </row>
    <row r="282" spans="1:12" s="1" customFormat="1" x14ac:dyDescent="0.35">
      <c r="A282" s="1206" t="s">
        <v>302</v>
      </c>
      <c r="B282" s="1208" t="s">
        <v>28</v>
      </c>
      <c r="C282" s="1210" t="s">
        <v>343</v>
      </c>
      <c r="D282" s="613"/>
      <c r="E282" s="1212" t="s">
        <v>305</v>
      </c>
      <c r="F282" s="1212"/>
      <c r="G282" s="1212"/>
      <c r="H282" s="1212"/>
      <c r="I282" s="1212"/>
      <c r="J282" s="1208" t="s">
        <v>29</v>
      </c>
      <c r="K282" s="1213" t="s">
        <v>306</v>
      </c>
      <c r="L282" s="1215" t="str">
        <f>L266</f>
        <v>REMARKS</v>
      </c>
    </row>
    <row r="283" spans="1:12" s="1" customFormat="1" ht="21" customHeight="1" thickBot="1" x14ac:dyDescent="0.4">
      <c r="A283" s="1207"/>
      <c r="B283" s="1209"/>
      <c r="C283" s="1211"/>
      <c r="D283" s="614"/>
      <c r="E283" s="7" t="s">
        <v>308</v>
      </c>
      <c r="F283" s="7" t="s">
        <v>309</v>
      </c>
      <c r="G283" s="7" t="s">
        <v>310</v>
      </c>
      <c r="H283" s="7" t="s">
        <v>311</v>
      </c>
      <c r="I283" s="7" t="s">
        <v>312</v>
      </c>
      <c r="J283" s="1209"/>
      <c r="K283" s="1214"/>
      <c r="L283" s="1216"/>
    </row>
    <row r="284" spans="1:12" s="16" customFormat="1" ht="18" customHeight="1" x14ac:dyDescent="0.35">
      <c r="A284" s="589">
        <v>189</v>
      </c>
      <c r="B284" s="24" t="s">
        <v>599</v>
      </c>
      <c r="C284" s="15">
        <f>SUM(E284:I284)</f>
        <v>0.998</v>
      </c>
      <c r="D284" s="702">
        <f>'[23]road inventory 2018'!C347</f>
        <v>0.74199999999999999</v>
      </c>
      <c r="E284" s="15">
        <v>0.998</v>
      </c>
      <c r="F284" s="15">
        <v>0</v>
      </c>
      <c r="G284" s="15">
        <v>0</v>
      </c>
      <c r="H284" s="15">
        <v>0</v>
      </c>
      <c r="I284" s="15">
        <v>0</v>
      </c>
      <c r="J284" s="24" t="s">
        <v>12</v>
      </c>
      <c r="K284" s="591"/>
      <c r="L284" s="24"/>
    </row>
    <row r="285" spans="1:12" s="677" customFormat="1" ht="31" x14ac:dyDescent="0.35">
      <c r="A285" s="669">
        <v>185</v>
      </c>
      <c r="B285" s="107" t="s">
        <v>840</v>
      </c>
      <c r="C285" s="15">
        <f>SUM(E285:I285)</f>
        <v>12.03</v>
      </c>
      <c r="D285" s="702">
        <f>'[23]road inventory 2018'!C348</f>
        <v>10.9</v>
      </c>
      <c r="E285" s="670">
        <v>10.01</v>
      </c>
      <c r="F285" s="670">
        <v>0</v>
      </c>
      <c r="G285" s="670">
        <v>0</v>
      </c>
      <c r="H285" s="670">
        <v>2.02</v>
      </c>
      <c r="I285" s="670">
        <v>0</v>
      </c>
      <c r="J285" s="107" t="s">
        <v>10</v>
      </c>
      <c r="K285" s="674"/>
      <c r="L285" s="107"/>
    </row>
    <row r="286" spans="1:12" ht="18" customHeight="1" x14ac:dyDescent="0.35">
      <c r="A286" s="596">
        <v>190</v>
      </c>
      <c r="B286" s="28" t="s">
        <v>602</v>
      </c>
      <c r="C286" s="15">
        <f>SUM(E286:I286)</f>
        <v>17.5</v>
      </c>
      <c r="D286" s="103">
        <f>'[23]road inventory 2018'!C350</f>
        <v>17.5</v>
      </c>
      <c r="E286" s="10">
        <v>0</v>
      </c>
      <c r="F286" s="10">
        <v>0</v>
      </c>
      <c r="G286" s="10">
        <v>0</v>
      </c>
      <c r="H286" s="10">
        <v>17.5</v>
      </c>
      <c r="I286" s="10">
        <v>0</v>
      </c>
      <c r="J286" s="28" t="s">
        <v>12</v>
      </c>
      <c r="K286" s="597"/>
      <c r="L286" s="28"/>
    </row>
    <row r="287" spans="1:12" ht="18" customHeight="1" x14ac:dyDescent="0.35">
      <c r="A287" s="596">
        <v>191</v>
      </c>
      <c r="B287" s="28" t="s">
        <v>603</v>
      </c>
      <c r="C287" s="15">
        <f>SUM(E287:I287)</f>
        <v>3.5</v>
      </c>
      <c r="D287" s="103">
        <f>'[23]road inventory 2018'!C351</f>
        <v>3.5</v>
      </c>
      <c r="E287" s="10">
        <v>0</v>
      </c>
      <c r="F287" s="10">
        <v>0</v>
      </c>
      <c r="G287" s="10">
        <v>0</v>
      </c>
      <c r="H287" s="10">
        <v>3.5</v>
      </c>
      <c r="I287" s="10">
        <v>0</v>
      </c>
      <c r="J287" s="28" t="s">
        <v>12</v>
      </c>
      <c r="K287" s="597"/>
      <c r="L287" s="28"/>
    </row>
    <row r="288" spans="1:12" ht="18" hidden="1" customHeight="1" x14ac:dyDescent="0.35">
      <c r="A288" s="635"/>
      <c r="B288" s="40"/>
      <c r="C288" s="703">
        <f t="shared" ref="C288:I288" si="28">SUM(C284:C287)</f>
        <v>34.027999999999999</v>
      </c>
      <c r="D288" s="703">
        <f t="shared" si="28"/>
        <v>32.641999999999996</v>
      </c>
      <c r="E288" s="703">
        <f t="shared" si="28"/>
        <v>11.007999999999999</v>
      </c>
      <c r="F288" s="703">
        <f t="shared" si="28"/>
        <v>0</v>
      </c>
      <c r="G288" s="703">
        <f t="shared" si="28"/>
        <v>0</v>
      </c>
      <c r="H288" s="703">
        <f t="shared" si="28"/>
        <v>23.02</v>
      </c>
      <c r="I288" s="703">
        <f t="shared" si="28"/>
        <v>0</v>
      </c>
      <c r="J288" s="40"/>
      <c r="K288" s="605"/>
      <c r="L288" s="28"/>
    </row>
    <row r="289" spans="1:12" ht="18" customHeight="1" thickBot="1" x14ac:dyDescent="0.4">
      <c r="A289" s="53" t="s">
        <v>341</v>
      </c>
      <c r="B289" s="34"/>
      <c r="C289" s="31">
        <f>SUM(E289:I289)</f>
        <v>34.027999999999999</v>
      </c>
      <c r="D289" s="630">
        <f t="shared" ref="D289:I289" si="29">SUM(D284:D287)</f>
        <v>32.641999999999996</v>
      </c>
      <c r="E289" s="31">
        <f t="shared" si="29"/>
        <v>11.007999999999999</v>
      </c>
      <c r="F289" s="31">
        <f t="shared" si="29"/>
        <v>0</v>
      </c>
      <c r="G289" s="31">
        <f t="shared" si="29"/>
        <v>0</v>
      </c>
      <c r="H289" s="31">
        <f t="shared" si="29"/>
        <v>23.02</v>
      </c>
      <c r="I289" s="31">
        <f t="shared" si="29"/>
        <v>0</v>
      </c>
      <c r="J289" s="608"/>
      <c r="K289" s="609"/>
      <c r="L289" s="653"/>
    </row>
    <row r="290" spans="1:12" ht="18" customHeight="1" x14ac:dyDescent="0.35">
      <c r="L290" s="28"/>
    </row>
    <row r="291" spans="1:12" s="1" customFormat="1" x14ac:dyDescent="0.35">
      <c r="A291" s="1203" t="s">
        <v>605</v>
      </c>
      <c r="B291" s="1204"/>
      <c r="C291" s="1204"/>
      <c r="D291" s="1204"/>
      <c r="E291" s="1204"/>
      <c r="F291" s="1204"/>
      <c r="G291" s="1204"/>
      <c r="H291" s="1204"/>
      <c r="I291" s="1204"/>
      <c r="J291" s="1204"/>
      <c r="K291" s="1204"/>
      <c r="L291" s="1205"/>
    </row>
    <row r="292" spans="1:12" s="1" customFormat="1" ht="16" thickBot="1" x14ac:dyDescent="0.4">
      <c r="A292" s="585"/>
      <c r="B292" s="2"/>
      <c r="C292" s="5"/>
      <c r="D292" s="586"/>
      <c r="E292" s="5"/>
      <c r="F292" s="5"/>
      <c r="G292" s="5"/>
      <c r="H292" s="5"/>
      <c r="I292" s="5"/>
      <c r="J292" s="3"/>
      <c r="K292" s="21"/>
      <c r="L292" s="653"/>
    </row>
    <row r="293" spans="1:12" s="1" customFormat="1" x14ac:dyDescent="0.35">
      <c r="A293" s="1206" t="s">
        <v>302</v>
      </c>
      <c r="B293" s="1208" t="s">
        <v>28</v>
      </c>
      <c r="C293" s="1210" t="s">
        <v>343</v>
      </c>
      <c r="D293" s="613"/>
      <c r="E293" s="1212" t="s">
        <v>305</v>
      </c>
      <c r="F293" s="1212"/>
      <c r="G293" s="1212"/>
      <c r="H293" s="1212"/>
      <c r="I293" s="1212"/>
      <c r="J293" s="1208" t="s">
        <v>29</v>
      </c>
      <c r="K293" s="1213" t="s">
        <v>306</v>
      </c>
      <c r="L293" s="1215" t="str">
        <f>L282</f>
        <v>REMARKS</v>
      </c>
    </row>
    <row r="294" spans="1:12" s="1" customFormat="1" ht="21" customHeight="1" thickBot="1" x14ac:dyDescent="0.4">
      <c r="A294" s="1207"/>
      <c r="B294" s="1209"/>
      <c r="C294" s="1211"/>
      <c r="D294" s="614"/>
      <c r="E294" s="7" t="s">
        <v>308</v>
      </c>
      <c r="F294" s="7" t="s">
        <v>309</v>
      </c>
      <c r="G294" s="7" t="s">
        <v>310</v>
      </c>
      <c r="H294" s="7" t="s">
        <v>311</v>
      </c>
      <c r="I294" s="7" t="s">
        <v>312</v>
      </c>
      <c r="J294" s="1209"/>
      <c r="K294" s="1214"/>
      <c r="L294" s="1216"/>
    </row>
    <row r="295" spans="1:12" s="16" customFormat="1" x14ac:dyDescent="0.35">
      <c r="A295" s="589">
        <v>192</v>
      </c>
      <c r="B295" s="24" t="s">
        <v>606</v>
      </c>
      <c r="C295" s="73">
        <f>SUM(E295:I295)</f>
        <v>13.02</v>
      </c>
      <c r="D295" s="706">
        <f>'[23]road inventory 2018'!C359</f>
        <v>17</v>
      </c>
      <c r="E295" s="15">
        <v>10.11</v>
      </c>
      <c r="F295" s="15">
        <v>0</v>
      </c>
      <c r="G295" s="15">
        <v>0</v>
      </c>
      <c r="H295" s="15">
        <v>2.91</v>
      </c>
      <c r="I295" s="15">
        <v>0</v>
      </c>
      <c r="J295" s="24" t="s">
        <v>12</v>
      </c>
      <c r="K295" s="591"/>
      <c r="L295" s="24"/>
    </row>
    <row r="296" spans="1:12" s="16" customFormat="1" ht="31" x14ac:dyDescent="0.35">
      <c r="A296" s="589">
        <v>193</v>
      </c>
      <c r="B296" s="24" t="s">
        <v>607</v>
      </c>
      <c r="C296" s="73">
        <f>SUM(E296:I296)</f>
        <v>1.53</v>
      </c>
      <c r="D296" s="706">
        <f>'[23]road inventory 2018'!C360</f>
        <v>1.8</v>
      </c>
      <c r="E296" s="15">
        <v>1.53</v>
      </c>
      <c r="F296" s="15">
        <v>0</v>
      </c>
      <c r="G296" s="15">
        <v>0</v>
      </c>
      <c r="H296" s="15">
        <v>0</v>
      </c>
      <c r="I296" s="15">
        <v>0</v>
      </c>
      <c r="J296" s="24" t="s">
        <v>12</v>
      </c>
      <c r="K296" s="591"/>
      <c r="L296" s="24"/>
    </row>
    <row r="297" spans="1:12" s="16" customFormat="1" ht="31.5" thickBot="1" x14ac:dyDescent="0.4">
      <c r="A297" s="649">
        <v>194</v>
      </c>
      <c r="B297" s="64" t="s">
        <v>608</v>
      </c>
      <c r="C297" s="73">
        <f>SUM(E297:I297)</f>
        <v>5.12</v>
      </c>
      <c r="D297" s="707">
        <f>'[23]road inventory 2018'!C361</f>
        <v>5.3</v>
      </c>
      <c r="E297" s="65">
        <v>4.12</v>
      </c>
      <c r="F297" s="65">
        <v>0</v>
      </c>
      <c r="G297" s="65">
        <v>0</v>
      </c>
      <c r="H297" s="65">
        <v>1</v>
      </c>
      <c r="I297" s="65">
        <v>0</v>
      </c>
      <c r="J297" s="64" t="s">
        <v>12</v>
      </c>
      <c r="K297" s="652"/>
      <c r="L297" s="24"/>
    </row>
    <row r="298" spans="1:12" s="16" customFormat="1" ht="31" x14ac:dyDescent="0.35">
      <c r="A298" s="589">
        <v>195</v>
      </c>
      <c r="B298" s="24" t="s">
        <v>609</v>
      </c>
      <c r="C298" s="73">
        <f>SUM(E298:I298)</f>
        <v>5.01</v>
      </c>
      <c r="D298" s="706">
        <f>'[23]road inventory 2018'!C365</f>
        <v>3.9000000000000004</v>
      </c>
      <c r="E298" s="15">
        <v>1.06</v>
      </c>
      <c r="F298" s="15">
        <v>0</v>
      </c>
      <c r="G298" s="15">
        <v>0</v>
      </c>
      <c r="H298" s="15">
        <v>3.95</v>
      </c>
      <c r="I298" s="15">
        <v>0</v>
      </c>
      <c r="J298" s="24" t="s">
        <v>12</v>
      </c>
      <c r="K298" s="591"/>
      <c r="L298" s="24"/>
    </row>
    <row r="299" spans="1:12" s="16" customFormat="1" x14ac:dyDescent="0.35">
      <c r="A299" s="626"/>
      <c r="B299" s="60"/>
      <c r="C299" s="75">
        <f t="shared" ref="C299:I299" si="30">SUM(C295:C298)</f>
        <v>24.68</v>
      </c>
      <c r="D299" s="75">
        <f t="shared" si="30"/>
        <v>28</v>
      </c>
      <c r="E299" s="75">
        <f t="shared" si="30"/>
        <v>16.819999999999997</v>
      </c>
      <c r="F299" s="75">
        <f t="shared" si="30"/>
        <v>0</v>
      </c>
      <c r="G299" s="75">
        <f t="shared" si="30"/>
        <v>0</v>
      </c>
      <c r="H299" s="75">
        <f t="shared" si="30"/>
        <v>7.86</v>
      </c>
      <c r="I299" s="75">
        <f t="shared" si="30"/>
        <v>0</v>
      </c>
      <c r="J299" s="60"/>
      <c r="K299" s="629"/>
      <c r="L299" s="24"/>
    </row>
    <row r="300" spans="1:12" ht="18" customHeight="1" thickBot="1" x14ac:dyDescent="0.4">
      <c r="A300" s="53" t="s">
        <v>341</v>
      </c>
      <c r="B300" s="34"/>
      <c r="C300" s="31">
        <f>SUM(E300:I300)</f>
        <v>24.679999999999996</v>
      </c>
      <c r="D300" s="630">
        <f t="shared" ref="D300:I300" si="31">SUM(D295:D298)</f>
        <v>28</v>
      </c>
      <c r="E300" s="31">
        <f t="shared" si="31"/>
        <v>16.819999999999997</v>
      </c>
      <c r="F300" s="31">
        <f t="shared" si="31"/>
        <v>0</v>
      </c>
      <c r="G300" s="31">
        <f t="shared" si="31"/>
        <v>0</v>
      </c>
      <c r="H300" s="31">
        <f t="shared" si="31"/>
        <v>7.86</v>
      </c>
      <c r="I300" s="31">
        <f t="shared" si="31"/>
        <v>0</v>
      </c>
      <c r="J300" s="608"/>
      <c r="K300" s="609"/>
      <c r="L300" s="653"/>
    </row>
    <row r="301" spans="1:12" ht="18" customHeight="1" x14ac:dyDescent="0.35">
      <c r="A301" s="544"/>
      <c r="B301" s="35"/>
      <c r="C301" s="22"/>
      <c r="D301" s="610"/>
      <c r="E301" s="22"/>
      <c r="F301" s="22"/>
      <c r="G301" s="22"/>
      <c r="H301" s="22"/>
      <c r="I301" s="22"/>
      <c r="J301" s="1"/>
      <c r="K301" s="21"/>
      <c r="L301" s="653"/>
    </row>
    <row r="302" spans="1:12" s="1" customFormat="1" x14ac:dyDescent="0.35">
      <c r="A302" s="1203" t="s">
        <v>610</v>
      </c>
      <c r="B302" s="1204"/>
      <c r="C302" s="1204"/>
      <c r="D302" s="1204"/>
      <c r="E302" s="1204"/>
      <c r="F302" s="1204"/>
      <c r="G302" s="1204"/>
      <c r="H302" s="1204"/>
      <c r="I302" s="1204"/>
      <c r="J302" s="1204"/>
      <c r="K302" s="1204"/>
      <c r="L302" s="1205"/>
    </row>
    <row r="303" spans="1:12" s="1" customFormat="1" ht="16" thickBot="1" x14ac:dyDescent="0.4">
      <c r="A303" s="585"/>
      <c r="B303" s="2"/>
      <c r="C303" s="5"/>
      <c r="D303" s="586"/>
      <c r="E303" s="5"/>
      <c r="F303" s="5"/>
      <c r="G303" s="5"/>
      <c r="H303" s="5"/>
      <c r="I303" s="5"/>
      <c r="J303" s="3"/>
      <c r="K303" s="21"/>
      <c r="L303" s="653"/>
    </row>
    <row r="304" spans="1:12" s="1" customFormat="1" x14ac:dyDescent="0.35">
      <c r="A304" s="1206" t="s">
        <v>302</v>
      </c>
      <c r="B304" s="1208" t="s">
        <v>28</v>
      </c>
      <c r="C304" s="1210" t="s">
        <v>343</v>
      </c>
      <c r="D304" s="613"/>
      <c r="E304" s="1212" t="s">
        <v>305</v>
      </c>
      <c r="F304" s="1212"/>
      <c r="G304" s="1212"/>
      <c r="H304" s="1212"/>
      <c r="I304" s="1212"/>
      <c r="J304" s="1208" t="s">
        <v>29</v>
      </c>
      <c r="K304" s="1213" t="s">
        <v>306</v>
      </c>
      <c r="L304" s="1215" t="str">
        <f>L293</f>
        <v>REMARKS</v>
      </c>
    </row>
    <row r="305" spans="1:12" s="1" customFormat="1" ht="21" customHeight="1" thickBot="1" x14ac:dyDescent="0.4">
      <c r="A305" s="1207"/>
      <c r="B305" s="1209"/>
      <c r="C305" s="1211"/>
      <c r="D305" s="614"/>
      <c r="E305" s="7" t="s">
        <v>308</v>
      </c>
      <c r="F305" s="7" t="s">
        <v>309</v>
      </c>
      <c r="G305" s="7" t="s">
        <v>310</v>
      </c>
      <c r="H305" s="7" t="s">
        <v>311</v>
      </c>
      <c r="I305" s="7" t="s">
        <v>312</v>
      </c>
      <c r="J305" s="1209"/>
      <c r="K305" s="1214"/>
      <c r="L305" s="1216"/>
    </row>
    <row r="306" spans="1:12" ht="18" customHeight="1" x14ac:dyDescent="0.35">
      <c r="A306" s="596">
        <v>171</v>
      </c>
      <c r="B306" s="28" t="s">
        <v>611</v>
      </c>
      <c r="C306" s="10">
        <f>SUM(E306:I306)</f>
        <v>8.7409999999999997</v>
      </c>
      <c r="D306" s="10"/>
      <c r="E306" s="10">
        <v>1.18</v>
      </c>
      <c r="F306" s="10">
        <v>0</v>
      </c>
      <c r="G306" s="10">
        <v>0</v>
      </c>
      <c r="H306" s="10">
        <v>7.5609999999999999</v>
      </c>
      <c r="I306" s="10">
        <v>0</v>
      </c>
      <c r="J306" s="103" t="s">
        <v>12</v>
      </c>
      <c r="K306" s="597"/>
      <c r="L306" s="28"/>
    </row>
    <row r="307" spans="1:12" ht="18" customHeight="1" x14ac:dyDescent="0.35">
      <c r="A307" s="596"/>
      <c r="B307" s="28"/>
      <c r="C307" s="10"/>
      <c r="D307" s="615"/>
      <c r="E307" s="10"/>
      <c r="F307" s="10"/>
      <c r="G307" s="10"/>
      <c r="H307" s="10"/>
      <c r="I307" s="10"/>
      <c r="J307" s="102"/>
      <c r="K307" s="659"/>
      <c r="L307" s="653"/>
    </row>
    <row r="308" spans="1:12" x14ac:dyDescent="0.35">
      <c r="A308" s="658" t="s">
        <v>341</v>
      </c>
      <c r="B308" s="81"/>
      <c r="C308" s="82">
        <f t="shared" ref="C308:I308" si="32">+C306</f>
        <v>8.7409999999999997</v>
      </c>
      <c r="D308" s="708"/>
      <c r="E308" s="82">
        <f t="shared" si="32"/>
        <v>1.18</v>
      </c>
      <c r="F308" s="82">
        <f t="shared" si="32"/>
        <v>0</v>
      </c>
      <c r="G308" s="82">
        <f t="shared" si="32"/>
        <v>0</v>
      </c>
      <c r="H308" s="82">
        <f t="shared" si="32"/>
        <v>7.5609999999999999</v>
      </c>
      <c r="I308" s="82">
        <f t="shared" si="32"/>
        <v>0</v>
      </c>
      <c r="J308" s="102"/>
      <c r="K308" s="659"/>
      <c r="L308" s="653"/>
    </row>
    <row r="309" spans="1:12" ht="18" customHeight="1" x14ac:dyDescent="0.35">
      <c r="A309" s="596"/>
      <c r="B309" s="84"/>
      <c r="C309" s="11"/>
      <c r="D309" s="656"/>
      <c r="E309" s="11"/>
      <c r="F309" s="11"/>
      <c r="G309" s="11"/>
      <c r="H309" s="11"/>
      <c r="I309" s="11"/>
      <c r="J309" s="102"/>
      <c r="K309" s="709"/>
      <c r="L309" s="653"/>
    </row>
    <row r="310" spans="1:12" ht="18" customHeight="1" thickBot="1" x14ac:dyDescent="0.4">
      <c r="A310" s="1199" t="s">
        <v>612</v>
      </c>
      <c r="B310" s="1200"/>
      <c r="C310" s="19">
        <f>C308+C300+C289+C278+C262+C253+C240+C228+C218+C202+C193+C179+C166</f>
        <v>533.53599999999994</v>
      </c>
      <c r="D310" s="607"/>
      <c r="E310" s="19">
        <f>+E308+E300+E289+E278+E262+E253+E240+E228+E218+E202+E193+E179+E166</f>
        <v>210.23499999999996</v>
      </c>
      <c r="F310" s="19">
        <f>+F308+F300+F289+F278+F262+F253+F240+F228+F218+F202+F193+F179+F166</f>
        <v>2.19</v>
      </c>
      <c r="G310" s="19">
        <f>+G308+G300+G289+G278+G262+G253+G240+G228+G218+G202+G193+G179+G166</f>
        <v>1.72</v>
      </c>
      <c r="H310" s="19">
        <f>+H308+H300+H289+H278+H262+H253+H240+H228+H218+H202+H193+H179+H166</f>
        <v>313.96100000000007</v>
      </c>
      <c r="I310" s="19">
        <f>+I308+I300+I289+I278+I262+I253+I240+I228+I218+I202+I193+I179+I166</f>
        <v>5.43</v>
      </c>
      <c r="J310" s="608"/>
      <c r="K310" s="710"/>
      <c r="L310" s="653"/>
    </row>
    <row r="311" spans="1:12" ht="16" thickBot="1" x14ac:dyDescent="0.4">
      <c r="A311" s="1201" t="s">
        <v>204</v>
      </c>
      <c r="B311" s="1202"/>
      <c r="C311" s="87">
        <f>C310+C146</f>
        <v>883.58600000000001</v>
      </c>
      <c r="D311" s="711"/>
      <c r="E311" s="87">
        <f>+E310+E146</f>
        <v>346.95499999999993</v>
      </c>
      <c r="F311" s="87">
        <f>+F310+F146</f>
        <v>2.19</v>
      </c>
      <c r="G311" s="87">
        <f>+G310+G146</f>
        <v>1.72</v>
      </c>
      <c r="H311" s="87">
        <f>+H310+H146</f>
        <v>527.29100000000005</v>
      </c>
      <c r="I311" s="87">
        <f>+I310+I146</f>
        <v>5.43</v>
      </c>
      <c r="J311" s="712"/>
      <c r="K311" s="713"/>
      <c r="L311" s="714"/>
    </row>
    <row r="312" spans="1:12" ht="15" customHeight="1" x14ac:dyDescent="0.35">
      <c r="A312" s="716"/>
      <c r="B312" s="716"/>
      <c r="C312" s="22"/>
      <c r="D312" s="610"/>
      <c r="E312" s="22"/>
      <c r="F312" s="22"/>
      <c r="G312" s="22"/>
      <c r="H312" s="22"/>
      <c r="I312" s="22"/>
      <c r="J312" s="1"/>
      <c r="K312" s="21"/>
      <c r="L312" s="21"/>
    </row>
    <row r="313" spans="1:12" ht="15" customHeight="1" x14ac:dyDescent="0.35">
      <c r="A313" s="3"/>
      <c r="B313" s="716" t="s">
        <v>841</v>
      </c>
      <c r="C313" s="22"/>
      <c r="D313" s="610"/>
      <c r="E313" s="22"/>
      <c r="F313" s="22"/>
      <c r="G313" s="22"/>
      <c r="H313" s="22"/>
      <c r="I313" s="22"/>
      <c r="J313" s="1"/>
      <c r="K313" s="21"/>
      <c r="L313" s="21"/>
    </row>
    <row r="314" spans="1:12" ht="15" customHeight="1" x14ac:dyDescent="0.35">
      <c r="A314" s="3"/>
      <c r="B314" s="716"/>
      <c r="C314" s="22"/>
      <c r="D314" s="610"/>
      <c r="E314" s="22"/>
      <c r="F314" s="22"/>
      <c r="G314" s="22"/>
      <c r="H314" s="22"/>
      <c r="I314" s="22"/>
      <c r="J314" s="1"/>
      <c r="K314" s="21"/>
      <c r="L314" s="21"/>
    </row>
    <row r="315" spans="1:12" ht="15" customHeight="1" x14ac:dyDescent="0.35">
      <c r="A315" s="3"/>
      <c r="B315" s="716"/>
      <c r="C315" s="22"/>
      <c r="D315" s="610"/>
      <c r="E315" s="22"/>
      <c r="F315" s="22"/>
      <c r="G315" s="22"/>
      <c r="H315" s="22"/>
      <c r="I315" s="22"/>
      <c r="J315" s="1"/>
      <c r="K315" s="21"/>
      <c r="L315" s="21"/>
    </row>
    <row r="316" spans="1:12" ht="15" customHeight="1" x14ac:dyDescent="0.35">
      <c r="A316" s="3"/>
      <c r="B316" s="717" t="s">
        <v>154</v>
      </c>
      <c r="C316" s="22"/>
      <c r="D316" s="610"/>
      <c r="E316" s="22"/>
      <c r="F316" s="22"/>
      <c r="G316" s="22"/>
      <c r="H316" s="22"/>
      <c r="I316" s="22"/>
      <c r="J316" s="1"/>
      <c r="K316" s="21"/>
      <c r="L316" s="21"/>
    </row>
    <row r="317" spans="1:12" ht="15" customHeight="1" x14ac:dyDescent="0.35">
      <c r="A317" s="3"/>
      <c r="B317" s="583" t="s">
        <v>155</v>
      </c>
      <c r="C317" s="22"/>
      <c r="D317" s="610"/>
      <c r="E317" s="22"/>
      <c r="F317" s="22"/>
      <c r="G317" s="22"/>
      <c r="H317" s="22"/>
      <c r="I317" s="22"/>
      <c r="J317" s="1"/>
      <c r="K317" s="21"/>
      <c r="L317" s="21"/>
    </row>
    <row r="318" spans="1:12" ht="15" customHeight="1" x14ac:dyDescent="0.35">
      <c r="A318" s="3"/>
      <c r="B318" s="583" t="s">
        <v>842</v>
      </c>
      <c r="C318" s="22"/>
      <c r="D318" s="610"/>
      <c r="E318" s="22"/>
      <c r="F318" s="22"/>
      <c r="G318" s="22"/>
      <c r="H318" s="22"/>
      <c r="I318" s="22"/>
      <c r="J318" s="1"/>
      <c r="K318" s="21"/>
      <c r="L318" s="21"/>
    </row>
    <row r="319" spans="1:12" ht="18" customHeight="1" x14ac:dyDescent="0.35">
      <c r="C319" s="38"/>
      <c r="D319" s="645"/>
    </row>
    <row r="320" spans="1:12" s="95" customFormat="1" ht="18" customHeight="1" x14ac:dyDescent="0.35">
      <c r="B320" s="2"/>
      <c r="C320" s="3"/>
      <c r="D320" s="582"/>
      <c r="E320" s="3"/>
      <c r="F320" s="3"/>
      <c r="G320" s="3"/>
      <c r="H320" s="3"/>
      <c r="I320" s="3"/>
      <c r="J320" s="3"/>
      <c r="K320" s="2"/>
      <c r="L320" s="2"/>
    </row>
    <row r="321" spans="2:12" s="95" customFormat="1" ht="18" customHeight="1" x14ac:dyDescent="0.35">
      <c r="B321" s="2"/>
      <c r="C321" s="3"/>
      <c r="D321" s="582"/>
      <c r="E321" s="3"/>
      <c r="F321" s="3"/>
      <c r="G321" s="3"/>
      <c r="H321" s="3"/>
      <c r="I321" s="3"/>
      <c r="J321" s="3"/>
      <c r="K321" s="2"/>
      <c r="L321" s="2"/>
    </row>
    <row r="322" spans="2:12" s="95" customFormat="1" ht="18" customHeight="1" x14ac:dyDescent="0.35">
      <c r="B322" s="2"/>
      <c r="C322" s="3"/>
      <c r="D322" s="582"/>
      <c r="E322" s="3"/>
      <c r="F322" s="3"/>
      <c r="G322" s="3"/>
      <c r="H322" s="3"/>
      <c r="I322" s="3"/>
      <c r="J322" s="3"/>
      <c r="K322" s="2"/>
      <c r="L322" s="2"/>
    </row>
    <row r="323" spans="2:12" s="95" customFormat="1" ht="18" customHeight="1" x14ac:dyDescent="0.35">
      <c r="B323" s="2"/>
      <c r="C323" s="3"/>
      <c r="D323" s="582"/>
      <c r="E323" s="3"/>
      <c r="F323" s="3"/>
      <c r="G323" s="3"/>
      <c r="H323" s="3"/>
      <c r="I323" s="3"/>
      <c r="J323" s="3"/>
      <c r="K323" s="2"/>
      <c r="L323" s="2"/>
    </row>
    <row r="324" spans="2:12" s="95" customFormat="1" ht="18" customHeight="1" x14ac:dyDescent="0.35">
      <c r="B324" s="2"/>
      <c r="C324" s="3"/>
      <c r="D324" s="582"/>
      <c r="E324" s="3"/>
      <c r="F324" s="3"/>
      <c r="G324" s="3"/>
      <c r="H324" s="3"/>
      <c r="I324" s="3"/>
      <c r="J324" s="3"/>
      <c r="K324" s="2"/>
      <c r="L324" s="2"/>
    </row>
    <row r="325" spans="2:12" s="95" customFormat="1" ht="18" customHeight="1" x14ac:dyDescent="0.35">
      <c r="B325" s="2"/>
      <c r="C325" s="3"/>
      <c r="D325" s="582"/>
      <c r="E325" s="3"/>
      <c r="F325" s="3"/>
      <c r="G325" s="3"/>
      <c r="H325" s="3"/>
      <c r="I325" s="3"/>
      <c r="J325" s="3"/>
      <c r="K325" s="2"/>
      <c r="L325" s="2"/>
    </row>
    <row r="326" spans="2:12" s="95" customFormat="1" ht="18" customHeight="1" x14ac:dyDescent="0.35">
      <c r="B326" s="2"/>
      <c r="C326" s="3"/>
      <c r="D326" s="582"/>
      <c r="E326" s="3"/>
      <c r="F326" s="3"/>
      <c r="G326" s="3"/>
      <c r="H326" s="3"/>
      <c r="I326" s="3"/>
      <c r="J326" s="3"/>
      <c r="K326" s="2"/>
      <c r="L326" s="2"/>
    </row>
    <row r="327" spans="2:12" s="95" customFormat="1" ht="18" customHeight="1" x14ac:dyDescent="0.35">
      <c r="B327" s="2"/>
      <c r="C327" s="3"/>
      <c r="D327" s="582"/>
      <c r="E327" s="3"/>
      <c r="F327" s="3"/>
      <c r="G327" s="3"/>
      <c r="H327" s="3"/>
      <c r="I327" s="3"/>
      <c r="J327" s="3"/>
      <c r="K327" s="2"/>
      <c r="L327" s="2"/>
    </row>
    <row r="328" spans="2:12" s="95" customFormat="1" ht="18" customHeight="1" x14ac:dyDescent="0.35">
      <c r="B328" s="2"/>
      <c r="C328" s="3"/>
      <c r="D328" s="582"/>
      <c r="E328" s="3"/>
      <c r="F328" s="3"/>
      <c r="G328" s="3"/>
      <c r="H328" s="3"/>
      <c r="I328" s="3"/>
      <c r="J328" s="3"/>
      <c r="K328" s="2"/>
      <c r="L328" s="2"/>
    </row>
    <row r="329" spans="2:12" s="95" customFormat="1" ht="18" customHeight="1" x14ac:dyDescent="0.35">
      <c r="B329" s="2"/>
      <c r="C329" s="3"/>
      <c r="D329" s="582"/>
      <c r="E329" s="3"/>
      <c r="F329" s="3"/>
      <c r="G329" s="3"/>
      <c r="H329" s="3"/>
      <c r="I329" s="3"/>
      <c r="J329" s="3"/>
      <c r="K329" s="2"/>
      <c r="L329" s="2"/>
    </row>
    <row r="330" spans="2:12" s="95" customFormat="1" ht="18" customHeight="1" x14ac:dyDescent="0.35">
      <c r="B330" s="2"/>
      <c r="C330" s="3"/>
      <c r="D330" s="582"/>
      <c r="E330" s="3"/>
      <c r="F330" s="3"/>
      <c r="G330" s="3"/>
      <c r="H330" s="3"/>
      <c r="I330" s="3"/>
      <c r="J330" s="3"/>
      <c r="K330" s="2"/>
      <c r="L330" s="2"/>
    </row>
    <row r="331" spans="2:12" s="95" customFormat="1" ht="18" customHeight="1" x14ac:dyDescent="0.35">
      <c r="B331" s="2"/>
      <c r="C331" s="3"/>
      <c r="D331" s="582"/>
      <c r="E331" s="3"/>
      <c r="F331" s="3"/>
      <c r="G331" s="3"/>
      <c r="H331" s="3"/>
      <c r="I331" s="3"/>
      <c r="J331" s="3"/>
      <c r="K331" s="2"/>
      <c r="L331" s="2"/>
    </row>
    <row r="332" spans="2:12" s="95" customFormat="1" ht="18" customHeight="1" x14ac:dyDescent="0.35">
      <c r="B332" s="2"/>
      <c r="C332" s="3"/>
      <c r="D332" s="582"/>
      <c r="E332" s="3"/>
      <c r="F332" s="3"/>
      <c r="G332" s="3"/>
      <c r="H332" s="3"/>
      <c r="I332" s="3"/>
      <c r="J332" s="3"/>
      <c r="K332" s="2"/>
      <c r="L332" s="2"/>
    </row>
    <row r="333" spans="2:12" s="95" customFormat="1" ht="18" customHeight="1" x14ac:dyDescent="0.35">
      <c r="B333" s="2"/>
      <c r="C333" s="3"/>
      <c r="D333" s="582"/>
      <c r="E333" s="3"/>
      <c r="F333" s="3"/>
      <c r="G333" s="3"/>
      <c r="H333" s="3"/>
      <c r="I333" s="3"/>
      <c r="J333" s="3"/>
      <c r="K333" s="2"/>
      <c r="L333" s="2"/>
    </row>
    <row r="334" spans="2:12" s="95" customFormat="1" ht="18" customHeight="1" x14ac:dyDescent="0.35">
      <c r="B334" s="2"/>
      <c r="C334" s="3"/>
      <c r="D334" s="582"/>
      <c r="E334" s="3"/>
      <c r="F334" s="3"/>
      <c r="G334" s="3"/>
      <c r="H334" s="3"/>
      <c r="I334" s="3"/>
      <c r="J334" s="3"/>
      <c r="K334" s="2"/>
      <c r="L334" s="2"/>
    </row>
    <row r="335" spans="2:12" s="95" customFormat="1" ht="18" customHeight="1" x14ac:dyDescent="0.35">
      <c r="B335" s="2"/>
      <c r="C335" s="3"/>
      <c r="D335" s="582"/>
      <c r="E335" s="3"/>
      <c r="F335" s="3"/>
      <c r="G335" s="3"/>
      <c r="H335" s="3"/>
      <c r="I335" s="3"/>
      <c r="J335" s="3"/>
      <c r="K335" s="2"/>
      <c r="L335" s="2"/>
    </row>
    <row r="336" spans="2:12" s="95" customFormat="1" ht="18" customHeight="1" x14ac:dyDescent="0.35">
      <c r="B336" s="2"/>
      <c r="C336" s="3"/>
      <c r="D336" s="582"/>
      <c r="E336" s="3"/>
      <c r="F336" s="3"/>
      <c r="G336" s="3"/>
      <c r="H336" s="3"/>
      <c r="I336" s="3"/>
      <c r="J336" s="3"/>
      <c r="K336" s="2"/>
      <c r="L336" s="2"/>
    </row>
    <row r="337" spans="2:12" s="95" customFormat="1" ht="18" customHeight="1" x14ac:dyDescent="0.35">
      <c r="B337" s="2"/>
      <c r="C337" s="3"/>
      <c r="D337" s="582"/>
      <c r="E337" s="3"/>
      <c r="F337" s="3"/>
      <c r="G337" s="3"/>
      <c r="H337" s="3"/>
      <c r="I337" s="3"/>
      <c r="J337" s="3"/>
      <c r="K337" s="2"/>
      <c r="L337" s="2"/>
    </row>
    <row r="338" spans="2:12" s="95" customFormat="1" ht="18" customHeight="1" x14ac:dyDescent="0.35">
      <c r="B338" s="2"/>
      <c r="C338" s="3"/>
      <c r="D338" s="582"/>
      <c r="E338" s="3"/>
      <c r="F338" s="3"/>
      <c r="G338" s="3"/>
      <c r="H338" s="3"/>
      <c r="I338" s="3"/>
      <c r="J338" s="3"/>
      <c r="K338" s="2"/>
      <c r="L338" s="2"/>
    </row>
    <row r="339" spans="2:12" s="95" customFormat="1" ht="18" customHeight="1" x14ac:dyDescent="0.35">
      <c r="B339" s="2"/>
      <c r="C339" s="3"/>
      <c r="D339" s="582"/>
      <c r="E339" s="3"/>
      <c r="F339" s="3"/>
      <c r="G339" s="3"/>
      <c r="H339" s="3"/>
      <c r="I339" s="3"/>
      <c r="J339" s="3"/>
      <c r="K339" s="2"/>
      <c r="L339" s="2"/>
    </row>
    <row r="340" spans="2:12" s="95" customFormat="1" ht="18" customHeight="1" x14ac:dyDescent="0.35">
      <c r="B340" s="2"/>
      <c r="C340" s="3"/>
      <c r="D340" s="582"/>
      <c r="E340" s="3"/>
      <c r="F340" s="3"/>
      <c r="G340" s="3"/>
      <c r="H340" s="3"/>
      <c r="I340" s="3"/>
      <c r="J340" s="3"/>
      <c r="K340" s="2"/>
      <c r="L340" s="2"/>
    </row>
    <row r="341" spans="2:12" s="95" customFormat="1" ht="18" customHeight="1" x14ac:dyDescent="0.35">
      <c r="B341" s="2"/>
      <c r="C341" s="3"/>
      <c r="D341" s="582"/>
      <c r="E341" s="3"/>
      <c r="F341" s="3"/>
      <c r="G341" s="3"/>
      <c r="H341" s="3"/>
      <c r="I341" s="3"/>
      <c r="J341" s="3"/>
      <c r="K341" s="2"/>
      <c r="L341" s="2"/>
    </row>
    <row r="342" spans="2:12" s="95" customFormat="1" ht="18" customHeight="1" x14ac:dyDescent="0.35">
      <c r="B342" s="2"/>
      <c r="C342" s="3"/>
      <c r="D342" s="582"/>
      <c r="E342" s="3"/>
      <c r="F342" s="3"/>
      <c r="G342" s="3"/>
      <c r="H342" s="3"/>
      <c r="I342" s="3"/>
      <c r="J342" s="3"/>
      <c r="K342" s="2"/>
      <c r="L342" s="2"/>
    </row>
    <row r="343" spans="2:12" s="95" customFormat="1" ht="18" customHeight="1" x14ac:dyDescent="0.35">
      <c r="B343" s="2"/>
      <c r="C343" s="3"/>
      <c r="D343" s="582"/>
      <c r="E343" s="3"/>
      <c r="F343" s="3"/>
      <c r="G343" s="3"/>
      <c r="H343" s="3"/>
      <c r="I343" s="3"/>
      <c r="J343" s="3"/>
      <c r="K343" s="2"/>
      <c r="L343" s="2"/>
    </row>
    <row r="344" spans="2:12" s="95" customFormat="1" ht="18" customHeight="1" x14ac:dyDescent="0.35">
      <c r="B344" s="2"/>
      <c r="C344" s="3"/>
      <c r="D344" s="582"/>
      <c r="E344" s="3"/>
      <c r="F344" s="3"/>
      <c r="G344" s="3"/>
      <c r="H344" s="3"/>
      <c r="I344" s="3"/>
      <c r="J344" s="3"/>
      <c r="K344" s="2"/>
      <c r="L344" s="2"/>
    </row>
    <row r="345" spans="2:12" s="95" customFormat="1" ht="18" customHeight="1" x14ac:dyDescent="0.35">
      <c r="B345" s="2"/>
      <c r="C345" s="3"/>
      <c r="D345" s="582"/>
      <c r="E345" s="3"/>
      <c r="F345" s="3"/>
      <c r="G345" s="3"/>
      <c r="H345" s="3"/>
      <c r="I345" s="3"/>
      <c r="J345" s="3"/>
      <c r="K345" s="2"/>
      <c r="L345" s="2"/>
    </row>
    <row r="346" spans="2:12" s="95" customFormat="1" ht="18" customHeight="1" x14ac:dyDescent="0.35">
      <c r="B346" s="2"/>
      <c r="C346" s="3"/>
      <c r="D346" s="582"/>
      <c r="E346" s="3"/>
      <c r="F346" s="3"/>
      <c r="G346" s="3"/>
      <c r="H346" s="3"/>
      <c r="I346" s="3"/>
      <c r="J346" s="3"/>
      <c r="K346" s="2"/>
      <c r="L346" s="2"/>
    </row>
    <row r="347" spans="2:12" s="95" customFormat="1" ht="18" customHeight="1" x14ac:dyDescent="0.35">
      <c r="B347" s="2"/>
      <c r="C347" s="3"/>
      <c r="D347" s="582"/>
      <c r="E347" s="3"/>
      <c r="F347" s="3"/>
      <c r="G347" s="3"/>
      <c r="H347" s="3"/>
      <c r="I347" s="3"/>
      <c r="J347" s="3"/>
      <c r="K347" s="2"/>
      <c r="L347" s="2"/>
    </row>
    <row r="348" spans="2:12" s="95" customFormat="1" ht="18" customHeight="1" x14ac:dyDescent="0.35">
      <c r="B348" s="2"/>
      <c r="C348" s="3"/>
      <c r="D348" s="582"/>
      <c r="E348" s="3"/>
      <c r="F348" s="3"/>
      <c r="G348" s="3"/>
      <c r="H348" s="3"/>
      <c r="I348" s="3"/>
      <c r="J348" s="3"/>
      <c r="K348" s="2"/>
      <c r="L348" s="2"/>
    </row>
    <row r="349" spans="2:12" s="95" customFormat="1" ht="18" customHeight="1" x14ac:dyDescent="0.35">
      <c r="B349" s="2"/>
      <c r="C349" s="3"/>
      <c r="D349" s="582"/>
      <c r="E349" s="3"/>
      <c r="F349" s="3"/>
      <c r="G349" s="3"/>
      <c r="H349" s="3"/>
      <c r="I349" s="3"/>
      <c r="J349" s="3"/>
      <c r="K349" s="2"/>
      <c r="L349" s="2"/>
    </row>
    <row r="350" spans="2:12" s="95" customFormat="1" ht="18" customHeight="1" x14ac:dyDescent="0.35">
      <c r="B350" s="2"/>
      <c r="C350" s="3"/>
      <c r="D350" s="582"/>
      <c r="E350" s="3"/>
      <c r="F350" s="3"/>
      <c r="G350" s="3"/>
      <c r="H350" s="3"/>
      <c r="I350" s="3"/>
      <c r="J350" s="3"/>
      <c r="K350" s="2"/>
      <c r="L350" s="2"/>
    </row>
    <row r="351" spans="2:12" s="95" customFormat="1" ht="18" customHeight="1" x14ac:dyDescent="0.35">
      <c r="B351" s="2"/>
      <c r="C351" s="3"/>
      <c r="D351" s="582"/>
      <c r="E351" s="3"/>
      <c r="F351" s="3"/>
      <c r="G351" s="3"/>
      <c r="H351" s="3"/>
      <c r="I351" s="3"/>
      <c r="J351" s="3"/>
      <c r="K351" s="2"/>
      <c r="L351" s="2"/>
    </row>
    <row r="352" spans="2:12" s="95" customFormat="1" ht="18" customHeight="1" x14ac:dyDescent="0.35">
      <c r="B352" s="2"/>
      <c r="C352" s="3"/>
      <c r="D352" s="582"/>
      <c r="E352" s="3"/>
      <c r="F352" s="3"/>
      <c r="G352" s="3"/>
      <c r="H352" s="3"/>
      <c r="I352" s="3"/>
      <c r="J352" s="3"/>
      <c r="K352" s="2"/>
      <c r="L352" s="2"/>
    </row>
    <row r="353" spans="2:12" s="95" customFormat="1" ht="18" customHeight="1" x14ac:dyDescent="0.35">
      <c r="B353" s="2"/>
      <c r="C353" s="3"/>
      <c r="D353" s="582"/>
      <c r="E353" s="3"/>
      <c r="F353" s="3"/>
      <c r="G353" s="3"/>
      <c r="H353" s="3"/>
      <c r="I353" s="3"/>
      <c r="J353" s="3"/>
      <c r="K353" s="2"/>
      <c r="L353" s="2"/>
    </row>
    <row r="354" spans="2:12" s="95" customFormat="1" ht="18" customHeight="1" x14ac:dyDescent="0.35">
      <c r="B354" s="2"/>
      <c r="C354" s="3"/>
      <c r="D354" s="582"/>
      <c r="E354" s="3"/>
      <c r="F354" s="3"/>
      <c r="G354" s="3"/>
      <c r="H354" s="3"/>
      <c r="I354" s="3"/>
      <c r="J354" s="3"/>
      <c r="K354" s="2"/>
      <c r="L354" s="2"/>
    </row>
    <row r="355" spans="2:12" s="95" customFormat="1" ht="18" customHeight="1" x14ac:dyDescent="0.35">
      <c r="B355" s="2"/>
      <c r="C355" s="3"/>
      <c r="D355" s="582"/>
      <c r="E355" s="3"/>
      <c r="F355" s="3"/>
      <c r="G355" s="3"/>
      <c r="H355" s="3"/>
      <c r="I355" s="3"/>
      <c r="J355" s="3"/>
      <c r="K355" s="2"/>
      <c r="L355" s="2"/>
    </row>
    <row r="356" spans="2:12" s="95" customFormat="1" ht="18" customHeight="1" x14ac:dyDescent="0.35">
      <c r="B356" s="2"/>
      <c r="C356" s="3"/>
      <c r="D356" s="582"/>
      <c r="E356" s="3"/>
      <c r="F356" s="3"/>
      <c r="G356" s="3"/>
      <c r="H356" s="3"/>
      <c r="I356" s="3"/>
      <c r="J356" s="3"/>
      <c r="K356" s="2"/>
      <c r="L356" s="2"/>
    </row>
    <row r="357" spans="2:12" s="95" customFormat="1" ht="18" customHeight="1" x14ac:dyDescent="0.35">
      <c r="B357" s="2"/>
      <c r="C357" s="3"/>
      <c r="D357" s="582"/>
      <c r="E357" s="3"/>
      <c r="F357" s="3"/>
      <c r="G357" s="3"/>
      <c r="H357" s="3"/>
      <c r="I357" s="3"/>
      <c r="J357" s="3"/>
      <c r="K357" s="2"/>
      <c r="L357" s="2"/>
    </row>
    <row r="358" spans="2:12" s="95" customFormat="1" ht="18" customHeight="1" x14ac:dyDescent="0.35">
      <c r="B358" s="2"/>
      <c r="C358" s="3"/>
      <c r="D358" s="582"/>
      <c r="E358" s="3"/>
      <c r="F358" s="3"/>
      <c r="G358" s="3"/>
      <c r="H358" s="3"/>
      <c r="I358" s="3"/>
      <c r="J358" s="3"/>
      <c r="K358" s="2"/>
      <c r="L358" s="2"/>
    </row>
    <row r="359" spans="2:12" s="95" customFormat="1" ht="18" customHeight="1" x14ac:dyDescent="0.35">
      <c r="B359" s="2"/>
      <c r="C359" s="3"/>
      <c r="D359" s="582"/>
      <c r="E359" s="3"/>
      <c r="F359" s="3"/>
      <c r="G359" s="3"/>
      <c r="H359" s="3"/>
      <c r="I359" s="3"/>
      <c r="J359" s="3"/>
      <c r="K359" s="2"/>
      <c r="L359" s="2"/>
    </row>
    <row r="360" spans="2:12" s="95" customFormat="1" ht="18" customHeight="1" x14ac:dyDescent="0.35">
      <c r="B360" s="2"/>
      <c r="C360" s="3"/>
      <c r="D360" s="582"/>
      <c r="E360" s="3"/>
      <c r="F360" s="3"/>
      <c r="G360" s="3"/>
      <c r="H360" s="3"/>
      <c r="I360" s="3"/>
      <c r="J360" s="3"/>
      <c r="K360" s="2"/>
      <c r="L360" s="2"/>
    </row>
    <row r="361" spans="2:12" s="95" customFormat="1" ht="18" customHeight="1" x14ac:dyDescent="0.35">
      <c r="B361" s="2"/>
      <c r="C361" s="3"/>
      <c r="D361" s="582"/>
      <c r="E361" s="3"/>
      <c r="F361" s="3"/>
      <c r="G361" s="3"/>
      <c r="H361" s="3"/>
      <c r="I361" s="3"/>
      <c r="J361" s="3"/>
      <c r="K361" s="2"/>
      <c r="L361" s="2"/>
    </row>
    <row r="362" spans="2:12" s="95" customFormat="1" ht="18" customHeight="1" x14ac:dyDescent="0.35">
      <c r="B362" s="2"/>
      <c r="C362" s="3"/>
      <c r="D362" s="582"/>
      <c r="E362" s="3"/>
      <c r="F362" s="3"/>
      <c r="G362" s="3"/>
      <c r="H362" s="3"/>
      <c r="I362" s="3"/>
      <c r="J362" s="3"/>
      <c r="K362" s="2"/>
      <c r="L362" s="2"/>
    </row>
    <row r="363" spans="2:12" s="95" customFormat="1" ht="18" customHeight="1" x14ac:dyDescent="0.35">
      <c r="B363" s="2"/>
      <c r="C363" s="3"/>
      <c r="D363" s="582"/>
      <c r="E363" s="3"/>
      <c r="F363" s="3"/>
      <c r="G363" s="3"/>
      <c r="H363" s="3"/>
      <c r="I363" s="3"/>
      <c r="J363" s="3"/>
      <c r="K363" s="2"/>
      <c r="L363" s="2"/>
    </row>
    <row r="364" spans="2:12" s="95" customFormat="1" ht="18" customHeight="1" x14ac:dyDescent="0.35">
      <c r="B364" s="2"/>
      <c r="C364" s="3"/>
      <c r="D364" s="582"/>
      <c r="E364" s="3"/>
      <c r="F364" s="3"/>
      <c r="G364" s="3"/>
      <c r="H364" s="3"/>
      <c r="I364" s="3"/>
      <c r="J364" s="3"/>
      <c r="K364" s="2"/>
      <c r="L364" s="2"/>
    </row>
    <row r="365" spans="2:12" s="95" customFormat="1" ht="18" customHeight="1" x14ac:dyDescent="0.35">
      <c r="B365" s="2"/>
      <c r="C365" s="3"/>
      <c r="D365" s="582"/>
      <c r="E365" s="3"/>
      <c r="F365" s="3"/>
      <c r="G365" s="3"/>
      <c r="H365" s="3"/>
      <c r="I365" s="3"/>
      <c r="J365" s="3"/>
      <c r="K365" s="2"/>
      <c r="L365" s="2"/>
    </row>
    <row r="366" spans="2:12" s="95" customFormat="1" ht="18" customHeight="1" x14ac:dyDescent="0.35">
      <c r="B366" s="2"/>
      <c r="C366" s="3"/>
      <c r="D366" s="582"/>
      <c r="E366" s="3"/>
      <c r="F366" s="3"/>
      <c r="G366" s="3"/>
      <c r="H366" s="3"/>
      <c r="I366" s="3"/>
      <c r="J366" s="3"/>
      <c r="K366" s="2"/>
      <c r="L366" s="2"/>
    </row>
    <row r="367" spans="2:12" s="95" customFormat="1" ht="18" customHeight="1" x14ac:dyDescent="0.35">
      <c r="B367" s="2"/>
      <c r="C367" s="3"/>
      <c r="D367" s="582"/>
      <c r="E367" s="3"/>
      <c r="F367" s="3"/>
      <c r="G367" s="3"/>
      <c r="H367" s="3"/>
      <c r="I367" s="3"/>
      <c r="J367" s="3"/>
      <c r="K367" s="2"/>
      <c r="L367" s="2"/>
    </row>
    <row r="368" spans="2:12" s="95" customFormat="1" ht="18" customHeight="1" x14ac:dyDescent="0.35">
      <c r="B368" s="2"/>
      <c r="C368" s="3"/>
      <c r="D368" s="582"/>
      <c r="E368" s="3"/>
      <c r="F368" s="3"/>
      <c r="G368" s="3"/>
      <c r="H368" s="3"/>
      <c r="I368" s="3"/>
      <c r="J368" s="3"/>
      <c r="K368" s="2"/>
      <c r="L368" s="2"/>
    </row>
    <row r="369" spans="2:12" s="95" customFormat="1" ht="18" customHeight="1" x14ac:dyDescent="0.35">
      <c r="B369" s="2"/>
      <c r="C369" s="3"/>
      <c r="D369" s="582"/>
      <c r="E369" s="3"/>
      <c r="F369" s="3"/>
      <c r="G369" s="3"/>
      <c r="H369" s="3"/>
      <c r="I369" s="3"/>
      <c r="J369" s="3"/>
      <c r="K369" s="2"/>
      <c r="L369" s="2"/>
    </row>
    <row r="370" spans="2:12" s="95" customFormat="1" ht="18" customHeight="1" x14ac:dyDescent="0.35">
      <c r="B370" s="2"/>
      <c r="C370" s="3"/>
      <c r="D370" s="582"/>
      <c r="E370" s="3"/>
      <c r="F370" s="3"/>
      <c r="G370" s="3"/>
      <c r="H370" s="3"/>
      <c r="I370" s="3"/>
      <c r="J370" s="3"/>
      <c r="K370" s="2"/>
      <c r="L370" s="2"/>
    </row>
    <row r="371" spans="2:12" s="95" customFormat="1" ht="18" customHeight="1" x14ac:dyDescent="0.35">
      <c r="B371" s="2"/>
      <c r="C371" s="3"/>
      <c r="D371" s="582"/>
      <c r="E371" s="3"/>
      <c r="F371" s="3"/>
      <c r="G371" s="3"/>
      <c r="H371" s="3"/>
      <c r="I371" s="3"/>
      <c r="J371" s="3"/>
      <c r="K371" s="2"/>
      <c r="L371" s="2"/>
    </row>
    <row r="372" spans="2:12" s="95" customFormat="1" ht="18" customHeight="1" x14ac:dyDescent="0.35">
      <c r="B372" s="2"/>
      <c r="C372" s="3"/>
      <c r="D372" s="582"/>
      <c r="E372" s="3"/>
      <c r="F372" s="3"/>
      <c r="G372" s="3"/>
      <c r="H372" s="3"/>
      <c r="I372" s="3"/>
      <c r="J372" s="3"/>
      <c r="K372" s="2"/>
      <c r="L372" s="2"/>
    </row>
    <row r="373" spans="2:12" s="95" customFormat="1" ht="18" customHeight="1" x14ac:dyDescent="0.35">
      <c r="B373" s="2"/>
      <c r="C373" s="3"/>
      <c r="D373" s="582"/>
      <c r="E373" s="3"/>
      <c r="F373" s="3"/>
      <c r="G373" s="3"/>
      <c r="H373" s="3"/>
      <c r="I373" s="3"/>
      <c r="J373" s="3"/>
      <c r="K373" s="2"/>
      <c r="L373" s="2"/>
    </row>
    <row r="374" spans="2:12" s="95" customFormat="1" ht="18" customHeight="1" x14ac:dyDescent="0.35">
      <c r="B374" s="2"/>
      <c r="C374" s="3"/>
      <c r="D374" s="582"/>
      <c r="E374" s="3"/>
      <c r="F374" s="3"/>
      <c r="G374" s="3"/>
      <c r="H374" s="3"/>
      <c r="I374" s="3"/>
      <c r="J374" s="3"/>
      <c r="K374" s="2"/>
      <c r="L374" s="2"/>
    </row>
    <row r="375" spans="2:12" s="95" customFormat="1" ht="18" customHeight="1" x14ac:dyDescent="0.35">
      <c r="B375" s="2"/>
      <c r="C375" s="3"/>
      <c r="D375" s="582"/>
      <c r="E375" s="3"/>
      <c r="F375" s="3"/>
      <c r="G375" s="3"/>
      <c r="H375" s="3"/>
      <c r="I375" s="3"/>
      <c r="J375" s="3"/>
      <c r="K375" s="2"/>
      <c r="L375" s="2"/>
    </row>
    <row r="376" spans="2:12" s="95" customFormat="1" ht="18" customHeight="1" x14ac:dyDescent="0.35">
      <c r="B376" s="2"/>
      <c r="C376" s="3"/>
      <c r="D376" s="582"/>
      <c r="E376" s="3"/>
      <c r="F376" s="3"/>
      <c r="G376" s="3"/>
      <c r="H376" s="3"/>
      <c r="I376" s="3"/>
      <c r="J376" s="3"/>
      <c r="K376" s="2"/>
      <c r="L376" s="2"/>
    </row>
    <row r="377" spans="2:12" s="95" customFormat="1" ht="18" customHeight="1" x14ac:dyDescent="0.35">
      <c r="B377" s="2"/>
      <c r="C377" s="3"/>
      <c r="D377" s="582"/>
      <c r="E377" s="3"/>
      <c r="F377" s="3"/>
      <c r="G377" s="3"/>
      <c r="H377" s="3"/>
      <c r="I377" s="3"/>
      <c r="J377" s="3"/>
      <c r="K377" s="2"/>
      <c r="L377" s="2"/>
    </row>
    <row r="378" spans="2:12" s="95" customFormat="1" ht="18" customHeight="1" x14ac:dyDescent="0.35">
      <c r="B378" s="2"/>
      <c r="C378" s="3"/>
      <c r="D378" s="582"/>
      <c r="E378" s="3"/>
      <c r="F378" s="3"/>
      <c r="G378" s="3"/>
      <c r="H378" s="3"/>
      <c r="I378" s="3"/>
      <c r="J378" s="3"/>
      <c r="K378" s="2"/>
      <c r="L378" s="2"/>
    </row>
    <row r="379" spans="2:12" s="95" customFormat="1" ht="18" customHeight="1" x14ac:dyDescent="0.35">
      <c r="B379" s="2"/>
      <c r="C379" s="3"/>
      <c r="D379" s="582"/>
      <c r="E379" s="3"/>
      <c r="F379" s="3"/>
      <c r="G379" s="3"/>
      <c r="H379" s="3"/>
      <c r="I379" s="3"/>
      <c r="J379" s="3"/>
      <c r="K379" s="2"/>
      <c r="L379" s="2"/>
    </row>
    <row r="380" spans="2:12" s="95" customFormat="1" ht="18" customHeight="1" x14ac:dyDescent="0.35">
      <c r="B380" s="2"/>
      <c r="C380" s="3"/>
      <c r="D380" s="582"/>
      <c r="E380" s="3"/>
      <c r="F380" s="3"/>
      <c r="G380" s="3"/>
      <c r="H380" s="3"/>
      <c r="I380" s="3"/>
      <c r="J380" s="3"/>
      <c r="K380" s="2"/>
      <c r="L380" s="2"/>
    </row>
    <row r="381" spans="2:12" s="95" customFormat="1" ht="18" customHeight="1" x14ac:dyDescent="0.35">
      <c r="B381" s="2"/>
      <c r="C381" s="3"/>
      <c r="D381" s="582"/>
      <c r="E381" s="3"/>
      <c r="F381" s="3"/>
      <c r="G381" s="3"/>
      <c r="H381" s="3"/>
      <c r="I381" s="3"/>
      <c r="J381" s="3"/>
      <c r="K381" s="2"/>
      <c r="L381" s="2"/>
    </row>
    <row r="382" spans="2:12" s="95" customFormat="1" ht="18" customHeight="1" x14ac:dyDescent="0.35">
      <c r="B382" s="2"/>
      <c r="C382" s="3"/>
      <c r="D382" s="582"/>
      <c r="E382" s="3"/>
      <c r="F382" s="3"/>
      <c r="G382" s="3"/>
      <c r="H382" s="3"/>
      <c r="I382" s="3"/>
      <c r="J382" s="3"/>
      <c r="K382" s="2"/>
      <c r="L382" s="2"/>
    </row>
    <row r="383" spans="2:12" s="95" customFormat="1" ht="18" customHeight="1" x14ac:dyDescent="0.35">
      <c r="B383" s="2"/>
      <c r="C383" s="3"/>
      <c r="D383" s="582"/>
      <c r="E383" s="3"/>
      <c r="F383" s="3"/>
      <c r="G383" s="3"/>
      <c r="H383" s="3"/>
      <c r="I383" s="3"/>
      <c r="J383" s="3"/>
      <c r="K383" s="2"/>
      <c r="L383" s="2"/>
    </row>
    <row r="384" spans="2:12" ht="18" customHeight="1" x14ac:dyDescent="0.35"/>
    <row r="385" spans="1:12" ht="18" customHeight="1" x14ac:dyDescent="0.35"/>
    <row r="386" spans="1:12" ht="18" customHeight="1" x14ac:dyDescent="0.35"/>
    <row r="387" spans="1:12" ht="18" customHeight="1" x14ac:dyDescent="0.35"/>
    <row r="388" spans="1:12" ht="18" customHeight="1" x14ac:dyDescent="0.35"/>
    <row r="389" spans="1:12" ht="18" customHeight="1" x14ac:dyDescent="0.35"/>
    <row r="390" spans="1:12" ht="18" customHeight="1" x14ac:dyDescent="0.35">
      <c r="A390" s="95" t="s">
        <v>614</v>
      </c>
      <c r="B390" s="37"/>
      <c r="C390" s="38"/>
      <c r="D390" s="645"/>
      <c r="E390" s="38"/>
      <c r="F390" s="38"/>
      <c r="G390" s="38"/>
      <c r="H390" s="38"/>
      <c r="I390" s="38"/>
    </row>
    <row r="391" spans="1:12" ht="18" customHeight="1" x14ac:dyDescent="0.35">
      <c r="A391" s="544"/>
      <c r="B391" s="35"/>
      <c r="C391" s="22"/>
      <c r="D391" s="610"/>
      <c r="E391" s="22"/>
      <c r="F391" s="22"/>
      <c r="G391" s="22"/>
      <c r="H391" s="22"/>
      <c r="I391" s="22"/>
      <c r="J391" s="1"/>
      <c r="K391" s="21"/>
      <c r="L391" s="21"/>
    </row>
    <row r="392" spans="1:12" ht="18" customHeight="1" x14ac:dyDescent="0.35">
      <c r="A392" s="544"/>
      <c r="B392" s="21" t="s">
        <v>157</v>
      </c>
      <c r="C392" s="22"/>
      <c r="D392" s="610"/>
      <c r="E392" s="22"/>
      <c r="F392" s="22"/>
      <c r="G392" s="22"/>
      <c r="H392" s="22"/>
      <c r="I392" s="22"/>
      <c r="J392" s="1"/>
      <c r="K392" s="21"/>
      <c r="L392" s="21"/>
    </row>
    <row r="393" spans="1:12" ht="18" customHeight="1" x14ac:dyDescent="0.35">
      <c r="A393" s="544"/>
      <c r="B393" s="2" t="s">
        <v>158</v>
      </c>
      <c r="C393" s="22"/>
      <c r="D393" s="610"/>
      <c r="E393" s="22"/>
      <c r="F393" s="22"/>
      <c r="G393" s="22"/>
      <c r="H393" s="22"/>
      <c r="I393" s="22"/>
      <c r="J393" s="1"/>
    </row>
    <row r="394" spans="1:12" ht="18" customHeight="1" x14ac:dyDescent="0.35">
      <c r="A394" s="544"/>
      <c r="B394" s="35"/>
      <c r="C394" s="22"/>
      <c r="D394" s="610"/>
      <c r="E394" s="22"/>
      <c r="F394" s="22"/>
      <c r="G394" s="22"/>
      <c r="H394" s="22"/>
      <c r="I394" s="22"/>
      <c r="J394" s="1"/>
      <c r="K394" s="21"/>
      <c r="L394" s="21"/>
    </row>
    <row r="395" spans="1:12" ht="18" customHeight="1" x14ac:dyDescent="0.35">
      <c r="A395" s="544"/>
      <c r="B395" s="35"/>
      <c r="C395" s="22"/>
      <c r="D395" s="610"/>
      <c r="E395" s="22"/>
      <c r="F395" s="22"/>
      <c r="G395" s="22"/>
      <c r="H395" s="22"/>
      <c r="I395" s="22"/>
      <c r="J395" s="1"/>
      <c r="K395" s="21"/>
      <c r="L395" s="21"/>
    </row>
    <row r="396" spans="1:12" x14ac:dyDescent="0.35">
      <c r="E396" s="38"/>
    </row>
    <row r="397" spans="1:12" x14ac:dyDescent="0.35">
      <c r="A397" s="544" t="s">
        <v>615</v>
      </c>
      <c r="E397" s="38"/>
    </row>
    <row r="398" spans="1:12" x14ac:dyDescent="0.35">
      <c r="A398" s="95" t="s">
        <v>616</v>
      </c>
      <c r="B398" s="2" t="s">
        <v>159</v>
      </c>
      <c r="E398" s="38"/>
    </row>
    <row r="399" spans="1:12" ht="31" x14ac:dyDescent="0.35">
      <c r="A399" s="95" t="s">
        <v>617</v>
      </c>
      <c r="B399" s="2" t="s">
        <v>160</v>
      </c>
      <c r="E399" s="38"/>
    </row>
    <row r="400" spans="1:12" ht="31" x14ac:dyDescent="0.35">
      <c r="A400" s="95" t="s">
        <v>618</v>
      </c>
      <c r="B400" s="2" t="s">
        <v>161</v>
      </c>
      <c r="E400" s="38"/>
    </row>
    <row r="401" spans="1:5" x14ac:dyDescent="0.35">
      <c r="A401" s="95" t="s">
        <v>619</v>
      </c>
      <c r="B401" s="2" t="s">
        <v>162</v>
      </c>
      <c r="E401" s="38"/>
    </row>
    <row r="402" spans="1:5" x14ac:dyDescent="0.35">
      <c r="E402" s="38"/>
    </row>
    <row r="403" spans="1:5" x14ac:dyDescent="0.35">
      <c r="A403" s="95" t="s">
        <v>620</v>
      </c>
      <c r="E403" s="38"/>
    </row>
    <row r="404" spans="1:5" x14ac:dyDescent="0.35">
      <c r="A404" s="95" t="s">
        <v>621</v>
      </c>
      <c r="E404" s="38"/>
    </row>
    <row r="405" spans="1:5" x14ac:dyDescent="0.35">
      <c r="E405" s="38"/>
    </row>
    <row r="406" spans="1:5" x14ac:dyDescent="0.35">
      <c r="A406" s="544" t="s">
        <v>622</v>
      </c>
      <c r="B406" s="21"/>
      <c r="E406" s="38"/>
    </row>
    <row r="407" spans="1:5" ht="46.5" x14ac:dyDescent="0.35">
      <c r="A407" s="95" t="s">
        <v>10</v>
      </c>
      <c r="B407" s="2" t="s">
        <v>163</v>
      </c>
      <c r="E407" s="38"/>
    </row>
    <row r="408" spans="1:5" ht="46.5" x14ac:dyDescent="0.35">
      <c r="A408" s="95" t="s">
        <v>12</v>
      </c>
      <c r="B408" s="2" t="s">
        <v>164</v>
      </c>
      <c r="E408" s="38"/>
    </row>
    <row r="409" spans="1:5" ht="31" x14ac:dyDescent="0.35">
      <c r="A409" s="95" t="s">
        <v>33</v>
      </c>
      <c r="B409" s="2" t="s">
        <v>165</v>
      </c>
      <c r="E409" s="38"/>
    </row>
    <row r="410" spans="1:5" ht="46.5" x14ac:dyDescent="0.35">
      <c r="A410" s="95" t="s">
        <v>41</v>
      </c>
      <c r="B410" s="2" t="s">
        <v>166</v>
      </c>
      <c r="E410" s="38"/>
    </row>
    <row r="411" spans="1:5" x14ac:dyDescent="0.35">
      <c r="E411" s="38"/>
    </row>
    <row r="412" spans="1:5" x14ac:dyDescent="0.35">
      <c r="A412" s="544" t="s">
        <v>623</v>
      </c>
      <c r="B412" s="21"/>
      <c r="E412" s="38"/>
    </row>
    <row r="413" spans="1:5" ht="46.5" x14ac:dyDescent="0.35">
      <c r="A413" s="95" t="s">
        <v>10</v>
      </c>
      <c r="B413" s="2" t="s">
        <v>167</v>
      </c>
      <c r="E413" s="38"/>
    </row>
    <row r="414" spans="1:5" ht="46.5" x14ac:dyDescent="0.35">
      <c r="A414" s="95" t="s">
        <v>12</v>
      </c>
      <c r="B414" s="2" t="s">
        <v>168</v>
      </c>
      <c r="E414" s="38"/>
    </row>
    <row r="415" spans="1:5" ht="31" x14ac:dyDescent="0.35">
      <c r="A415" s="95" t="s">
        <v>33</v>
      </c>
      <c r="B415" s="2" t="s">
        <v>169</v>
      </c>
      <c r="E415" s="38"/>
    </row>
    <row r="416" spans="1:5" x14ac:dyDescent="0.35">
      <c r="A416" s="95" t="s">
        <v>41</v>
      </c>
      <c r="B416" s="2" t="s">
        <v>170</v>
      </c>
      <c r="E416" s="38"/>
    </row>
    <row r="417" spans="1:7" x14ac:dyDescent="0.35">
      <c r="E417" s="38"/>
    </row>
    <row r="418" spans="1:7" x14ac:dyDescent="0.35">
      <c r="A418" s="544" t="s">
        <v>624</v>
      </c>
      <c r="B418" s="21"/>
      <c r="E418" s="1" t="s">
        <v>625</v>
      </c>
      <c r="F418" s="1"/>
    </row>
    <row r="419" spans="1:7" x14ac:dyDescent="0.35">
      <c r="A419" s="95" t="s">
        <v>10</v>
      </c>
      <c r="B419" s="2" t="s">
        <v>171</v>
      </c>
      <c r="E419" s="3" t="s">
        <v>10</v>
      </c>
      <c r="F419" s="3" t="s">
        <v>626</v>
      </c>
    </row>
    <row r="420" spans="1:7" x14ac:dyDescent="0.35">
      <c r="A420" s="95" t="s">
        <v>12</v>
      </c>
      <c r="B420" s="2" t="s">
        <v>172</v>
      </c>
      <c r="E420" s="3" t="s">
        <v>12</v>
      </c>
      <c r="F420" s="3" t="s">
        <v>627</v>
      </c>
    </row>
    <row r="421" spans="1:7" ht="31" x14ac:dyDescent="0.35">
      <c r="A421" s="95" t="s">
        <v>33</v>
      </c>
      <c r="B421" s="2" t="s">
        <v>173</v>
      </c>
      <c r="E421" s="3" t="s">
        <v>33</v>
      </c>
      <c r="F421" s="3" t="s">
        <v>628</v>
      </c>
    </row>
    <row r="422" spans="1:7" x14ac:dyDescent="0.35">
      <c r="A422" s="95" t="s">
        <v>629</v>
      </c>
      <c r="B422" s="2" t="s">
        <v>174</v>
      </c>
      <c r="E422" s="3" t="s">
        <v>41</v>
      </c>
      <c r="F422" s="3" t="s">
        <v>630</v>
      </c>
    </row>
    <row r="423" spans="1:7" x14ac:dyDescent="0.35">
      <c r="F423" s="38"/>
    </row>
    <row r="424" spans="1:7" x14ac:dyDescent="0.35">
      <c r="A424" s="544" t="s">
        <v>631</v>
      </c>
      <c r="B424" s="21"/>
      <c r="E424" s="1" t="s">
        <v>632</v>
      </c>
      <c r="F424" s="38"/>
    </row>
    <row r="425" spans="1:7" x14ac:dyDescent="0.35">
      <c r="A425" s="95" t="s">
        <v>10</v>
      </c>
      <c r="B425" s="2" t="s">
        <v>175</v>
      </c>
      <c r="E425" s="3" t="s">
        <v>633</v>
      </c>
      <c r="F425" s="3" t="s">
        <v>634</v>
      </c>
    </row>
    <row r="426" spans="1:7" x14ac:dyDescent="0.35">
      <c r="A426" s="95" t="s">
        <v>635</v>
      </c>
      <c r="B426" s="2" t="s">
        <v>176</v>
      </c>
      <c r="E426" s="3" t="s">
        <v>636</v>
      </c>
      <c r="F426" s="3" t="s">
        <v>637</v>
      </c>
    </row>
    <row r="427" spans="1:7" ht="31" x14ac:dyDescent="0.35">
      <c r="A427" s="95" t="s">
        <v>638</v>
      </c>
      <c r="B427" s="2" t="s">
        <v>177</v>
      </c>
      <c r="E427" s="3" t="s">
        <v>639</v>
      </c>
    </row>
    <row r="428" spans="1:7" ht="31" x14ac:dyDescent="0.35">
      <c r="A428" s="95" t="s">
        <v>640</v>
      </c>
      <c r="B428" s="2" t="s">
        <v>178</v>
      </c>
      <c r="E428" s="38"/>
    </row>
    <row r="429" spans="1:7" x14ac:dyDescent="0.35">
      <c r="C429" s="96"/>
      <c r="D429" s="746"/>
      <c r="G429" s="3" t="s">
        <v>641</v>
      </c>
    </row>
    <row r="436" spans="1:12" s="1" customFormat="1" ht="18" customHeight="1" x14ac:dyDescent="0.35">
      <c r="A436" s="747"/>
      <c r="B436" s="97" t="s">
        <v>179</v>
      </c>
      <c r="C436" s="98" t="s">
        <v>180</v>
      </c>
      <c r="D436" s="748"/>
      <c r="E436" s="98" t="s">
        <v>642</v>
      </c>
      <c r="F436" s="98" t="s">
        <v>643</v>
      </c>
      <c r="G436" s="98" t="s">
        <v>644</v>
      </c>
      <c r="H436" s="98" t="s">
        <v>645</v>
      </c>
      <c r="I436" s="98"/>
      <c r="J436" s="98"/>
      <c r="K436" s="97"/>
      <c r="L436" s="21"/>
    </row>
    <row r="437" spans="1:12" s="1" customFormat="1" ht="18" customHeight="1" x14ac:dyDescent="0.35">
      <c r="A437" s="749"/>
      <c r="B437" s="99"/>
      <c r="C437" s="100" t="s">
        <v>181</v>
      </c>
      <c r="D437" s="750"/>
      <c r="E437" s="100" t="s">
        <v>646</v>
      </c>
      <c r="F437" s="100" t="s">
        <v>646</v>
      </c>
      <c r="G437" s="100" t="s">
        <v>646</v>
      </c>
      <c r="H437" s="100" t="s">
        <v>646</v>
      </c>
      <c r="I437" s="100"/>
      <c r="J437" s="101"/>
      <c r="K437" s="751"/>
      <c r="L437" s="21"/>
    </row>
    <row r="438" spans="1:12" ht="18" customHeight="1" x14ac:dyDescent="0.35">
      <c r="A438" s="752"/>
      <c r="B438" s="28" t="s">
        <v>182</v>
      </c>
      <c r="C438" s="10">
        <f t="shared" ref="C438:C461" si="33">SUM(E438:H438)</f>
        <v>81.36</v>
      </c>
      <c r="D438" s="615"/>
      <c r="E438" s="10">
        <f>+E30</f>
        <v>45.32</v>
      </c>
      <c r="F438" s="10"/>
      <c r="G438" s="10">
        <f>+G30</f>
        <v>0</v>
      </c>
      <c r="H438" s="10">
        <f>+H30</f>
        <v>36.04</v>
      </c>
      <c r="I438" s="10"/>
      <c r="J438" s="102"/>
      <c r="K438" s="653"/>
      <c r="L438" s="21"/>
    </row>
    <row r="439" spans="1:12" ht="18" customHeight="1" x14ac:dyDescent="0.35">
      <c r="A439" s="752"/>
      <c r="B439" s="28" t="s">
        <v>183</v>
      </c>
      <c r="C439" s="10">
        <f t="shared" si="33"/>
        <v>74.349999999999994</v>
      </c>
      <c r="D439" s="615"/>
      <c r="E439" s="10">
        <f>+E58</f>
        <v>25.93</v>
      </c>
      <c r="F439" s="10"/>
      <c r="G439" s="10"/>
      <c r="H439" s="10">
        <f>+H58</f>
        <v>48.42</v>
      </c>
      <c r="I439" s="10"/>
      <c r="J439" s="103"/>
      <c r="K439" s="28"/>
    </row>
    <row r="440" spans="1:12" ht="18" customHeight="1" x14ac:dyDescent="0.35">
      <c r="A440" s="752"/>
      <c r="B440" s="28" t="s">
        <v>184</v>
      </c>
      <c r="C440" s="10">
        <f t="shared" si="33"/>
        <v>28.02</v>
      </c>
      <c r="D440" s="615"/>
      <c r="E440" s="10">
        <f>+E70</f>
        <v>1.34</v>
      </c>
      <c r="F440" s="10"/>
      <c r="G440" s="10"/>
      <c r="H440" s="10">
        <f>+H70</f>
        <v>26.68</v>
      </c>
      <c r="I440" s="10"/>
      <c r="J440" s="102"/>
      <c r="K440" s="653"/>
      <c r="L440" s="21"/>
    </row>
    <row r="441" spans="1:12" ht="18" customHeight="1" x14ac:dyDescent="0.35">
      <c r="A441" s="753"/>
      <c r="B441" s="104" t="s">
        <v>185</v>
      </c>
      <c r="C441" s="10">
        <f t="shared" si="33"/>
        <v>3.28</v>
      </c>
      <c r="D441" s="656"/>
      <c r="E441" s="11">
        <f>+E77</f>
        <v>0.48</v>
      </c>
      <c r="F441" s="11"/>
      <c r="G441" s="11"/>
      <c r="H441" s="11">
        <f>+H77</f>
        <v>2.8</v>
      </c>
      <c r="I441" s="11"/>
      <c r="J441" s="102"/>
      <c r="K441" s="653"/>
      <c r="L441" s="21"/>
    </row>
    <row r="442" spans="1:12" ht="18" customHeight="1" x14ac:dyDescent="0.35">
      <c r="A442" s="753"/>
      <c r="B442" s="104" t="s">
        <v>186</v>
      </c>
      <c r="C442" s="10">
        <f t="shared" si="33"/>
        <v>26.35</v>
      </c>
      <c r="D442" s="656"/>
      <c r="E442" s="11">
        <f>+E90</f>
        <v>10.99</v>
      </c>
      <c r="F442" s="11"/>
      <c r="G442" s="11"/>
      <c r="H442" s="11">
        <f>+H90</f>
        <v>15.36</v>
      </c>
      <c r="I442" s="11"/>
      <c r="J442" s="102"/>
      <c r="K442" s="653"/>
      <c r="L442" s="21"/>
    </row>
    <row r="443" spans="1:12" ht="18" customHeight="1" x14ac:dyDescent="0.35">
      <c r="A443" s="753"/>
      <c r="B443" s="104" t="s">
        <v>187</v>
      </c>
      <c r="C443" s="10">
        <f t="shared" si="33"/>
        <v>107.35999999999999</v>
      </c>
      <c r="D443" s="656"/>
      <c r="E443" s="11">
        <f>+E124</f>
        <v>37.04</v>
      </c>
      <c r="F443" s="11"/>
      <c r="G443" s="11"/>
      <c r="H443" s="11">
        <f>+H124</f>
        <v>70.319999999999993</v>
      </c>
      <c r="I443" s="11"/>
      <c r="J443" s="102"/>
      <c r="K443" s="653"/>
      <c r="L443" s="21"/>
    </row>
    <row r="444" spans="1:12" ht="18" customHeight="1" x14ac:dyDescent="0.35">
      <c r="A444" s="753"/>
      <c r="B444" s="104" t="s">
        <v>188</v>
      </c>
      <c r="C444" s="10">
        <f t="shared" si="33"/>
        <v>10.66</v>
      </c>
      <c r="D444" s="656"/>
      <c r="E444" s="11">
        <f>+E136</f>
        <v>2.62</v>
      </c>
      <c r="F444" s="11"/>
      <c r="G444" s="11"/>
      <c r="H444" s="11">
        <f>+H136</f>
        <v>8.0399999999999991</v>
      </c>
      <c r="I444" s="11"/>
      <c r="J444" s="102"/>
      <c r="K444" s="653"/>
      <c r="L444" s="21"/>
    </row>
    <row r="445" spans="1:12" ht="18" customHeight="1" x14ac:dyDescent="0.35">
      <c r="A445" s="753"/>
      <c r="B445" s="104" t="s">
        <v>189</v>
      </c>
      <c r="C445" s="10">
        <f t="shared" si="33"/>
        <v>18.670000000000002</v>
      </c>
      <c r="D445" s="656"/>
      <c r="E445" s="11">
        <f>+E144</f>
        <v>13</v>
      </c>
      <c r="F445" s="11"/>
      <c r="G445" s="11"/>
      <c r="H445" s="11">
        <f>+H144</f>
        <v>5.67</v>
      </c>
      <c r="I445" s="11"/>
      <c r="J445" s="102"/>
      <c r="K445" s="653"/>
      <c r="L445" s="21"/>
    </row>
    <row r="446" spans="1:12" s="1" customFormat="1" ht="18" customHeight="1" x14ac:dyDescent="0.35">
      <c r="A446" s="753"/>
      <c r="B446" s="81" t="s">
        <v>190</v>
      </c>
      <c r="C446" s="51">
        <f t="shared" si="33"/>
        <v>350.04999999999995</v>
      </c>
      <c r="D446" s="708"/>
      <c r="E446" s="82">
        <f>SUM(E438:E445)</f>
        <v>136.72</v>
      </c>
      <c r="F446" s="82">
        <f>SUM(F438:F445)</f>
        <v>0</v>
      </c>
      <c r="G446" s="82">
        <f>SUM(G438:G445)</f>
        <v>0</v>
      </c>
      <c r="H446" s="82">
        <f>SUM(H438:H445)</f>
        <v>213.32999999999998</v>
      </c>
      <c r="I446" s="82"/>
      <c r="J446" s="102"/>
      <c r="K446" s="653"/>
      <c r="L446" s="21"/>
    </row>
    <row r="447" spans="1:12" ht="18" customHeight="1" x14ac:dyDescent="0.35">
      <c r="A447" s="753"/>
      <c r="B447" s="104" t="s">
        <v>191</v>
      </c>
      <c r="C447" s="10">
        <f t="shared" si="33"/>
        <v>108.1</v>
      </c>
      <c r="D447" s="656"/>
      <c r="E447" s="11">
        <f>+E166</f>
        <v>31.946999999999996</v>
      </c>
      <c r="F447" s="11">
        <f>+F166</f>
        <v>0</v>
      </c>
      <c r="G447" s="11"/>
      <c r="H447" s="11">
        <f>+H166</f>
        <v>76.153000000000006</v>
      </c>
      <c r="I447" s="11"/>
      <c r="J447" s="102"/>
      <c r="K447" s="653"/>
      <c r="L447" s="21"/>
    </row>
    <row r="448" spans="1:12" ht="18" customHeight="1" x14ac:dyDescent="0.35">
      <c r="A448" s="753"/>
      <c r="B448" s="104" t="s">
        <v>192</v>
      </c>
      <c r="C448" s="10">
        <f t="shared" si="33"/>
        <v>71.400000000000006</v>
      </c>
      <c r="D448" s="656"/>
      <c r="E448" s="11">
        <f>+E179</f>
        <v>33.61</v>
      </c>
      <c r="F448" s="11"/>
      <c r="G448" s="11"/>
      <c r="H448" s="11">
        <f>+H179</f>
        <v>37.790000000000006</v>
      </c>
      <c r="I448" s="11"/>
      <c r="J448" s="102"/>
      <c r="K448" s="653"/>
      <c r="L448" s="21"/>
    </row>
    <row r="449" spans="1:12" ht="18" customHeight="1" x14ac:dyDescent="0.35">
      <c r="A449" s="753"/>
      <c r="B449" s="104" t="s">
        <v>193</v>
      </c>
      <c r="C449" s="10">
        <f t="shared" si="33"/>
        <v>86.897000000000006</v>
      </c>
      <c r="D449" s="656"/>
      <c r="E449" s="11">
        <f>+E193</f>
        <v>12.41</v>
      </c>
      <c r="F449" s="11"/>
      <c r="G449" s="11"/>
      <c r="H449" s="11">
        <f>+H193</f>
        <v>74.487000000000009</v>
      </c>
      <c r="I449" s="11"/>
      <c r="J449" s="102"/>
      <c r="K449" s="653"/>
      <c r="L449" s="21"/>
    </row>
    <row r="450" spans="1:12" ht="18" customHeight="1" x14ac:dyDescent="0.35">
      <c r="A450" s="753"/>
      <c r="B450" s="104" t="s">
        <v>194</v>
      </c>
      <c r="C450" s="10">
        <f t="shared" si="33"/>
        <v>9</v>
      </c>
      <c r="D450" s="656"/>
      <c r="E450" s="11">
        <f>+E202</f>
        <v>0.79</v>
      </c>
      <c r="F450" s="11"/>
      <c r="G450" s="11"/>
      <c r="H450" s="11">
        <f>+H202</f>
        <v>8.2100000000000009</v>
      </c>
      <c r="I450" s="11"/>
      <c r="J450" s="102"/>
      <c r="K450" s="653"/>
      <c r="L450" s="21"/>
    </row>
    <row r="451" spans="1:12" ht="18" customHeight="1" x14ac:dyDescent="0.35">
      <c r="A451" s="753"/>
      <c r="B451" s="104" t="s">
        <v>195</v>
      </c>
      <c r="C451" s="10">
        <f t="shared" si="33"/>
        <v>55.499999999999993</v>
      </c>
      <c r="D451" s="656"/>
      <c r="E451" s="11">
        <f>+E218</f>
        <v>14.799999999999999</v>
      </c>
      <c r="F451" s="11"/>
      <c r="G451" s="11"/>
      <c r="H451" s="11">
        <f>+H218</f>
        <v>40.699999999999996</v>
      </c>
      <c r="I451" s="11"/>
      <c r="J451" s="102"/>
      <c r="K451" s="653"/>
      <c r="L451" s="21"/>
    </row>
    <row r="452" spans="1:12" ht="18" customHeight="1" x14ac:dyDescent="0.35">
      <c r="A452" s="753"/>
      <c r="B452" s="104" t="s">
        <v>196</v>
      </c>
      <c r="C452" s="10">
        <f t="shared" si="33"/>
        <v>10.100000000000001</v>
      </c>
      <c r="D452" s="656"/>
      <c r="E452" s="11">
        <f>+E228</f>
        <v>1.8</v>
      </c>
      <c r="F452" s="11">
        <f>+F228</f>
        <v>0</v>
      </c>
      <c r="G452" s="11"/>
      <c r="H452" s="11">
        <f>+H228</f>
        <v>8.3000000000000007</v>
      </c>
      <c r="I452" s="11"/>
      <c r="J452" s="102"/>
      <c r="K452" s="653"/>
      <c r="L452" s="21"/>
    </row>
    <row r="453" spans="1:12" ht="18" customHeight="1" x14ac:dyDescent="0.35">
      <c r="A453" s="753"/>
      <c r="B453" s="104" t="s">
        <v>197</v>
      </c>
      <c r="C453" s="10">
        <f t="shared" si="33"/>
        <v>27.700000000000003</v>
      </c>
      <c r="D453" s="656"/>
      <c r="E453" s="11">
        <f>+E240</f>
        <v>21.76</v>
      </c>
      <c r="F453" s="11">
        <f>+F240</f>
        <v>1.45</v>
      </c>
      <c r="G453" s="11"/>
      <c r="H453" s="11">
        <f>+H240</f>
        <v>4.49</v>
      </c>
      <c r="I453" s="11"/>
      <c r="J453" s="102"/>
      <c r="K453" s="653"/>
      <c r="L453" s="21"/>
    </row>
    <row r="454" spans="1:12" ht="18" customHeight="1" x14ac:dyDescent="0.35">
      <c r="A454" s="753"/>
      <c r="B454" s="104" t="s">
        <v>198</v>
      </c>
      <c r="C454" s="10">
        <f t="shared" si="33"/>
        <v>6.81</v>
      </c>
      <c r="D454" s="656"/>
      <c r="E454" s="11">
        <f>+E253</f>
        <v>6.0699999999999994</v>
      </c>
      <c r="F454" s="11">
        <f>+F253</f>
        <v>0.74</v>
      </c>
      <c r="G454" s="11"/>
      <c r="H454" s="11">
        <f>+H253</f>
        <v>0</v>
      </c>
      <c r="I454" s="11"/>
      <c r="J454" s="102"/>
      <c r="K454" s="653"/>
      <c r="L454" s="21"/>
    </row>
    <row r="455" spans="1:12" ht="18" customHeight="1" x14ac:dyDescent="0.35">
      <c r="A455" s="753"/>
      <c r="B455" s="104" t="s">
        <v>199</v>
      </c>
      <c r="C455" s="10">
        <f t="shared" si="33"/>
        <v>7.25</v>
      </c>
      <c r="D455" s="656"/>
      <c r="E455" s="11">
        <f>+E262</f>
        <v>3.3</v>
      </c>
      <c r="F455" s="11"/>
      <c r="G455" s="11"/>
      <c r="H455" s="11">
        <f>+H262</f>
        <v>3.9499999999999997</v>
      </c>
      <c r="I455" s="11"/>
      <c r="J455" s="102"/>
      <c r="K455" s="653"/>
      <c r="L455" s="21"/>
    </row>
    <row r="456" spans="1:12" ht="18" customHeight="1" x14ac:dyDescent="0.35">
      <c r="A456" s="753"/>
      <c r="B456" s="104" t="s">
        <v>200</v>
      </c>
      <c r="C456" s="10">
        <f t="shared" si="33"/>
        <v>76.180000000000007</v>
      </c>
      <c r="D456" s="656"/>
      <c r="E456" s="11">
        <f>+E278</f>
        <v>54.74</v>
      </c>
      <c r="F456" s="11"/>
      <c r="G456" s="11"/>
      <c r="H456" s="11">
        <f>+H278</f>
        <v>21.44</v>
      </c>
      <c r="I456" s="11"/>
      <c r="J456" s="102"/>
      <c r="K456" s="653"/>
      <c r="L456" s="21"/>
    </row>
    <row r="457" spans="1:12" ht="18" customHeight="1" x14ac:dyDescent="0.35">
      <c r="A457" s="753"/>
      <c r="B457" s="104" t="s">
        <v>201</v>
      </c>
      <c r="C457" s="10">
        <f t="shared" si="33"/>
        <v>34.027999999999999</v>
      </c>
      <c r="D457" s="656"/>
      <c r="E457" s="11">
        <f>+E289</f>
        <v>11.007999999999999</v>
      </c>
      <c r="F457" s="11"/>
      <c r="G457" s="11"/>
      <c r="H457" s="11">
        <f>+H289</f>
        <v>23.02</v>
      </c>
      <c r="I457" s="11"/>
      <c r="J457" s="102"/>
      <c r="K457" s="653"/>
      <c r="L457" s="21"/>
    </row>
    <row r="458" spans="1:12" ht="18" customHeight="1" x14ac:dyDescent="0.35">
      <c r="A458" s="753"/>
      <c r="B458" s="104" t="s">
        <v>202</v>
      </c>
      <c r="C458" s="10">
        <f t="shared" si="33"/>
        <v>24.679999999999996</v>
      </c>
      <c r="D458" s="656"/>
      <c r="E458" s="11">
        <f>+E300</f>
        <v>16.819999999999997</v>
      </c>
      <c r="F458" s="11"/>
      <c r="G458" s="11"/>
      <c r="H458" s="11">
        <f>+H300</f>
        <v>7.86</v>
      </c>
      <c r="I458" s="11"/>
      <c r="J458" s="102"/>
      <c r="K458" s="653"/>
      <c r="L458" s="21"/>
    </row>
    <row r="459" spans="1:12" ht="18" customHeight="1" x14ac:dyDescent="0.35">
      <c r="A459" s="753"/>
      <c r="B459" s="104" t="s">
        <v>203</v>
      </c>
      <c r="C459" s="10">
        <f t="shared" si="33"/>
        <v>8.7409999999999997</v>
      </c>
      <c r="D459" s="656"/>
      <c r="E459" s="11">
        <f>+E308</f>
        <v>1.18</v>
      </c>
      <c r="F459" s="11"/>
      <c r="G459" s="11"/>
      <c r="H459" s="11">
        <f>+H308</f>
        <v>7.5609999999999999</v>
      </c>
      <c r="I459" s="11"/>
      <c r="J459" s="102"/>
      <c r="K459" s="653"/>
      <c r="L459" s="21"/>
    </row>
    <row r="460" spans="1:12" s="1" customFormat="1" ht="18" customHeight="1" x14ac:dyDescent="0.35">
      <c r="A460" s="753"/>
      <c r="B460" s="81" t="s">
        <v>190</v>
      </c>
      <c r="C460" s="51">
        <f t="shared" si="33"/>
        <v>526.38599999999997</v>
      </c>
      <c r="D460" s="708"/>
      <c r="E460" s="82">
        <f>SUM(E447:E459)</f>
        <v>210.23499999999999</v>
      </c>
      <c r="F460" s="82">
        <f>SUM(F447:F459)</f>
        <v>2.19</v>
      </c>
      <c r="G460" s="82"/>
      <c r="H460" s="82">
        <f>SUM(H447:H459)</f>
        <v>313.96100000000001</v>
      </c>
      <c r="I460" s="82"/>
      <c r="J460" s="102"/>
      <c r="K460" s="653"/>
      <c r="L460" s="21"/>
    </row>
    <row r="461" spans="1:12" ht="18" customHeight="1" x14ac:dyDescent="0.35">
      <c r="A461" s="752"/>
      <c r="B461" s="105" t="s">
        <v>204</v>
      </c>
      <c r="C461" s="51">
        <f t="shared" si="33"/>
        <v>876.43599999999992</v>
      </c>
      <c r="D461" s="708"/>
      <c r="E461" s="82">
        <f>+E460+E446</f>
        <v>346.95499999999998</v>
      </c>
      <c r="F461" s="82">
        <f>+F460+F446</f>
        <v>2.19</v>
      </c>
      <c r="G461" s="82">
        <f>+G460+G446</f>
        <v>0</v>
      </c>
      <c r="H461" s="82">
        <f>+H460+H446</f>
        <v>527.29099999999994</v>
      </c>
      <c r="I461" s="82"/>
      <c r="J461" s="102"/>
      <c r="K461" s="105"/>
      <c r="L461" s="21"/>
    </row>
    <row r="463" spans="1:12" ht="31" x14ac:dyDescent="0.35">
      <c r="C463" s="96">
        <v>1149.9349999999999</v>
      </c>
      <c r="D463" s="746"/>
      <c r="K463" s="2" t="s">
        <v>647</v>
      </c>
    </row>
  </sheetData>
  <mergeCells count="175">
    <mergeCell ref="A1:K1"/>
    <mergeCell ref="A2:K2"/>
    <mergeCell ref="A3:K3"/>
    <mergeCell ref="A6:L6"/>
    <mergeCell ref="A8:A9"/>
    <mergeCell ref="B8:B9"/>
    <mergeCell ref="C8:C9"/>
    <mergeCell ref="D8:D9"/>
    <mergeCell ref="E8:I8"/>
    <mergeCell ref="J8:J9"/>
    <mergeCell ref="K8:K9"/>
    <mergeCell ref="L8:L9"/>
    <mergeCell ref="A32:L32"/>
    <mergeCell ref="A34:A35"/>
    <mergeCell ref="B34:B35"/>
    <mergeCell ref="C34:C35"/>
    <mergeCell ref="E34:I34"/>
    <mergeCell ref="J34:J35"/>
    <mergeCell ref="K34:K35"/>
    <mergeCell ref="L34:L35"/>
    <mergeCell ref="A72:L72"/>
    <mergeCell ref="A74:A75"/>
    <mergeCell ref="B74:B75"/>
    <mergeCell ref="C74:C75"/>
    <mergeCell ref="E74:I74"/>
    <mergeCell ref="J74:J75"/>
    <mergeCell ref="K74:K75"/>
    <mergeCell ref="L74:L75"/>
    <mergeCell ref="A59:L59"/>
    <mergeCell ref="A61:A62"/>
    <mergeCell ref="B61:B62"/>
    <mergeCell ref="C61:C62"/>
    <mergeCell ref="E61:I61"/>
    <mergeCell ref="J61:J62"/>
    <mergeCell ref="K61:K62"/>
    <mergeCell ref="L61:L62"/>
    <mergeCell ref="A92:L92"/>
    <mergeCell ref="A94:A95"/>
    <mergeCell ref="B94:B95"/>
    <mergeCell ref="C94:C95"/>
    <mergeCell ref="E94:I94"/>
    <mergeCell ref="J94:J95"/>
    <mergeCell ref="K94:K95"/>
    <mergeCell ref="L94:L95"/>
    <mergeCell ref="A79:L79"/>
    <mergeCell ref="A81:A82"/>
    <mergeCell ref="B81:B82"/>
    <mergeCell ref="C81:C82"/>
    <mergeCell ref="E81:I81"/>
    <mergeCell ref="J81:J82"/>
    <mergeCell ref="K81:K82"/>
    <mergeCell ref="L81:L82"/>
    <mergeCell ref="A138:L138"/>
    <mergeCell ref="A140:A141"/>
    <mergeCell ref="B140:B141"/>
    <mergeCell ref="C140:C141"/>
    <mergeCell ref="E140:I140"/>
    <mergeCell ref="J140:J141"/>
    <mergeCell ref="K140:K141"/>
    <mergeCell ref="L140:L141"/>
    <mergeCell ref="A126:L126"/>
    <mergeCell ref="A128:A129"/>
    <mergeCell ref="B128:B129"/>
    <mergeCell ref="C128:C129"/>
    <mergeCell ref="E128:I128"/>
    <mergeCell ref="J128:J129"/>
    <mergeCell ref="K128:K129"/>
    <mergeCell ref="L128:L129"/>
    <mergeCell ref="A168:K168"/>
    <mergeCell ref="A170:A171"/>
    <mergeCell ref="B170:B171"/>
    <mergeCell ref="C170:C171"/>
    <mergeCell ref="E170:I170"/>
    <mergeCell ref="J170:J171"/>
    <mergeCell ref="K170:K171"/>
    <mergeCell ref="A146:B146"/>
    <mergeCell ref="A148:L148"/>
    <mergeCell ref="A150:A151"/>
    <mergeCell ref="B150:B151"/>
    <mergeCell ref="C150:C151"/>
    <mergeCell ref="E150:I150"/>
    <mergeCell ref="J150:J151"/>
    <mergeCell ref="K150:K151"/>
    <mergeCell ref="L150:L151"/>
    <mergeCell ref="A195:K195"/>
    <mergeCell ref="A197:A198"/>
    <mergeCell ref="B197:B198"/>
    <mergeCell ref="C197:C198"/>
    <mergeCell ref="E197:I197"/>
    <mergeCell ref="J197:J198"/>
    <mergeCell ref="K197:K198"/>
    <mergeCell ref="L170:L171"/>
    <mergeCell ref="A181:K181"/>
    <mergeCell ref="A183:A184"/>
    <mergeCell ref="B183:B184"/>
    <mergeCell ref="C183:C184"/>
    <mergeCell ref="E183:I183"/>
    <mergeCell ref="J183:J184"/>
    <mergeCell ref="K183:K184"/>
    <mergeCell ref="L183:L184"/>
    <mergeCell ref="L197:L198"/>
    <mergeCell ref="A204:K204"/>
    <mergeCell ref="A206:A207"/>
    <mergeCell ref="B206:B207"/>
    <mergeCell ref="C206:C207"/>
    <mergeCell ref="E206:I206"/>
    <mergeCell ref="J206:J207"/>
    <mergeCell ref="K206:K207"/>
    <mergeCell ref="L206:L207"/>
    <mergeCell ref="A230:K230"/>
    <mergeCell ref="A232:A233"/>
    <mergeCell ref="B232:B233"/>
    <mergeCell ref="C232:C233"/>
    <mergeCell ref="E232:I232"/>
    <mergeCell ref="J232:J233"/>
    <mergeCell ref="K232:K233"/>
    <mergeCell ref="A220:L220"/>
    <mergeCell ref="A222:A223"/>
    <mergeCell ref="B222:B223"/>
    <mergeCell ref="C222:C223"/>
    <mergeCell ref="E222:I222"/>
    <mergeCell ref="J222:J223"/>
    <mergeCell ref="K222:K223"/>
    <mergeCell ref="L222:L223"/>
    <mergeCell ref="L232:L233"/>
    <mergeCell ref="A242:L242"/>
    <mergeCell ref="A244:A245"/>
    <mergeCell ref="B244:B245"/>
    <mergeCell ref="C244:C245"/>
    <mergeCell ref="E244:I244"/>
    <mergeCell ref="J244:J245"/>
    <mergeCell ref="K244:K245"/>
    <mergeCell ref="L244:L245"/>
    <mergeCell ref="A264:L264"/>
    <mergeCell ref="A266:A267"/>
    <mergeCell ref="B266:B267"/>
    <mergeCell ref="C266:C267"/>
    <mergeCell ref="E266:I266"/>
    <mergeCell ref="J266:J267"/>
    <mergeCell ref="K266:K267"/>
    <mergeCell ref="L266:L267"/>
    <mergeCell ref="A255:L255"/>
    <mergeCell ref="A257:A258"/>
    <mergeCell ref="B257:B258"/>
    <mergeCell ref="C257:C258"/>
    <mergeCell ref="E257:I257"/>
    <mergeCell ref="J257:J258"/>
    <mergeCell ref="K257:K258"/>
    <mergeCell ref="L257:L258"/>
    <mergeCell ref="A291:L291"/>
    <mergeCell ref="A293:A294"/>
    <mergeCell ref="B293:B294"/>
    <mergeCell ref="C293:C294"/>
    <mergeCell ref="E293:I293"/>
    <mergeCell ref="J293:J294"/>
    <mergeCell ref="K293:K294"/>
    <mergeCell ref="L293:L294"/>
    <mergeCell ref="A280:L280"/>
    <mergeCell ref="A282:A283"/>
    <mergeCell ref="B282:B283"/>
    <mergeCell ref="C282:C283"/>
    <mergeCell ref="E282:I282"/>
    <mergeCell ref="J282:J283"/>
    <mergeCell ref="K282:K283"/>
    <mergeCell ref="L282:L283"/>
    <mergeCell ref="A310:B310"/>
    <mergeCell ref="A311:B311"/>
    <mergeCell ref="A302:L302"/>
    <mergeCell ref="A304:A305"/>
    <mergeCell ref="B304:B305"/>
    <mergeCell ref="C304:C305"/>
    <mergeCell ref="E304:I304"/>
    <mergeCell ref="J304:J305"/>
    <mergeCell ref="K304:K305"/>
    <mergeCell ref="L304:L305"/>
  </mergeCells>
  <pageMargins left="0.7" right="0.7" top="0.75" bottom="0.75" header="0.3" footer="0.3"/>
  <pageSetup paperSize="9" scale="72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S544"/>
  <sheetViews>
    <sheetView view="pageBreakPreview" zoomScale="80" zoomScaleNormal="100" zoomScaleSheetLayoutView="80" workbookViewId="0">
      <pane ySplit="3" topLeftCell="A66" activePane="bottomLeft" state="frozen"/>
      <selection activeCell="R66" sqref="R66"/>
      <selection pane="bottomLeft" activeCell="R66" sqref="R66"/>
    </sheetView>
  </sheetViews>
  <sheetFormatPr defaultRowHeight="15.5" x14ac:dyDescent="0.35"/>
  <cols>
    <col min="1" max="1" width="22.81640625" style="95" customWidth="1"/>
    <col min="2" max="2" width="27.453125" style="2" customWidth="1"/>
    <col min="3" max="3" width="11.26953125" style="3" customWidth="1"/>
    <col min="4" max="4" width="10" style="582" hidden="1" customWidth="1"/>
    <col min="5" max="5" width="10.54296875" style="3" customWidth="1"/>
    <col min="6" max="6" width="9.7265625" style="3" customWidth="1"/>
    <col min="7" max="7" width="9.54296875" style="3" customWidth="1"/>
    <col min="8" max="9" width="12.54296875" style="3" customWidth="1"/>
    <col min="10" max="10" width="11.54296875" style="3" customWidth="1"/>
    <col min="11" max="13" width="27.1796875" style="2" customWidth="1"/>
    <col min="14" max="14" width="52.26953125" style="583" customWidth="1"/>
    <col min="15" max="15" width="15.81640625" style="3" customWidth="1"/>
    <col min="16" max="257" width="8.81640625" style="3"/>
    <col min="258" max="258" width="13.26953125" style="3" customWidth="1"/>
    <col min="259" max="259" width="27.453125" style="3" customWidth="1"/>
    <col min="260" max="261" width="9.54296875" style="3" customWidth="1"/>
    <col min="262" max="262" width="9.7265625" style="3" customWidth="1"/>
    <col min="263" max="263" width="9.54296875" style="3" customWidth="1"/>
    <col min="264" max="264" width="12.54296875" style="3" customWidth="1"/>
    <col min="265" max="265" width="10" style="3" customWidth="1"/>
    <col min="266" max="266" width="9.7265625" style="3" customWidth="1"/>
    <col min="267" max="269" width="0" style="3" hidden="1" customWidth="1"/>
    <col min="270" max="513" width="8.81640625" style="3"/>
    <col min="514" max="514" width="13.26953125" style="3" customWidth="1"/>
    <col min="515" max="515" width="27.453125" style="3" customWidth="1"/>
    <col min="516" max="517" width="9.54296875" style="3" customWidth="1"/>
    <col min="518" max="518" width="9.7265625" style="3" customWidth="1"/>
    <col min="519" max="519" width="9.54296875" style="3" customWidth="1"/>
    <col min="520" max="520" width="12.54296875" style="3" customWidth="1"/>
    <col min="521" max="521" width="10" style="3" customWidth="1"/>
    <col min="522" max="522" width="9.7265625" style="3" customWidth="1"/>
    <col min="523" max="525" width="0" style="3" hidden="1" customWidth="1"/>
    <col min="526" max="769" width="8.81640625" style="3"/>
    <col min="770" max="770" width="13.26953125" style="3" customWidth="1"/>
    <col min="771" max="771" width="27.453125" style="3" customWidth="1"/>
    <col min="772" max="773" width="9.54296875" style="3" customWidth="1"/>
    <col min="774" max="774" width="9.7265625" style="3" customWidth="1"/>
    <col min="775" max="775" width="9.54296875" style="3" customWidth="1"/>
    <col min="776" max="776" width="12.54296875" style="3" customWidth="1"/>
    <col min="777" max="777" width="10" style="3" customWidth="1"/>
    <col min="778" max="778" width="9.7265625" style="3" customWidth="1"/>
    <col min="779" max="781" width="0" style="3" hidden="1" customWidth="1"/>
    <col min="782" max="1025" width="8.81640625" style="3"/>
    <col min="1026" max="1026" width="13.26953125" style="3" customWidth="1"/>
    <col min="1027" max="1027" width="27.453125" style="3" customWidth="1"/>
    <col min="1028" max="1029" width="9.54296875" style="3" customWidth="1"/>
    <col min="1030" max="1030" width="9.7265625" style="3" customWidth="1"/>
    <col min="1031" max="1031" width="9.54296875" style="3" customWidth="1"/>
    <col min="1032" max="1032" width="12.54296875" style="3" customWidth="1"/>
    <col min="1033" max="1033" width="10" style="3" customWidth="1"/>
    <col min="1034" max="1034" width="9.7265625" style="3" customWidth="1"/>
    <col min="1035" max="1037" width="0" style="3" hidden="1" customWidth="1"/>
    <col min="1038" max="1281" width="8.81640625" style="3"/>
    <col min="1282" max="1282" width="13.26953125" style="3" customWidth="1"/>
    <col min="1283" max="1283" width="27.453125" style="3" customWidth="1"/>
    <col min="1284" max="1285" width="9.54296875" style="3" customWidth="1"/>
    <col min="1286" max="1286" width="9.7265625" style="3" customWidth="1"/>
    <col min="1287" max="1287" width="9.54296875" style="3" customWidth="1"/>
    <col min="1288" max="1288" width="12.54296875" style="3" customWidth="1"/>
    <col min="1289" max="1289" width="10" style="3" customWidth="1"/>
    <col min="1290" max="1290" width="9.7265625" style="3" customWidth="1"/>
    <col min="1291" max="1293" width="0" style="3" hidden="1" customWidth="1"/>
    <col min="1294" max="1537" width="8.81640625" style="3"/>
    <col min="1538" max="1538" width="13.26953125" style="3" customWidth="1"/>
    <col min="1539" max="1539" width="27.453125" style="3" customWidth="1"/>
    <col min="1540" max="1541" width="9.54296875" style="3" customWidth="1"/>
    <col min="1542" max="1542" width="9.7265625" style="3" customWidth="1"/>
    <col min="1543" max="1543" width="9.54296875" style="3" customWidth="1"/>
    <col min="1544" max="1544" width="12.54296875" style="3" customWidth="1"/>
    <col min="1545" max="1545" width="10" style="3" customWidth="1"/>
    <col min="1546" max="1546" width="9.7265625" style="3" customWidth="1"/>
    <col min="1547" max="1549" width="0" style="3" hidden="1" customWidth="1"/>
    <col min="1550" max="1793" width="8.81640625" style="3"/>
    <col min="1794" max="1794" width="13.26953125" style="3" customWidth="1"/>
    <col min="1795" max="1795" width="27.453125" style="3" customWidth="1"/>
    <col min="1796" max="1797" width="9.54296875" style="3" customWidth="1"/>
    <col min="1798" max="1798" width="9.7265625" style="3" customWidth="1"/>
    <col min="1799" max="1799" width="9.54296875" style="3" customWidth="1"/>
    <col min="1800" max="1800" width="12.54296875" style="3" customWidth="1"/>
    <col min="1801" max="1801" width="10" style="3" customWidth="1"/>
    <col min="1802" max="1802" width="9.7265625" style="3" customWidth="1"/>
    <col min="1803" max="1805" width="0" style="3" hidden="1" customWidth="1"/>
    <col min="1806" max="2049" width="8.81640625" style="3"/>
    <col min="2050" max="2050" width="13.26953125" style="3" customWidth="1"/>
    <col min="2051" max="2051" width="27.453125" style="3" customWidth="1"/>
    <col min="2052" max="2053" width="9.54296875" style="3" customWidth="1"/>
    <col min="2054" max="2054" width="9.7265625" style="3" customWidth="1"/>
    <col min="2055" max="2055" width="9.54296875" style="3" customWidth="1"/>
    <col min="2056" max="2056" width="12.54296875" style="3" customWidth="1"/>
    <col min="2057" max="2057" width="10" style="3" customWidth="1"/>
    <col min="2058" max="2058" width="9.7265625" style="3" customWidth="1"/>
    <col min="2059" max="2061" width="0" style="3" hidden="1" customWidth="1"/>
    <col min="2062" max="2305" width="8.81640625" style="3"/>
    <col min="2306" max="2306" width="13.26953125" style="3" customWidth="1"/>
    <col min="2307" max="2307" width="27.453125" style="3" customWidth="1"/>
    <col min="2308" max="2309" width="9.54296875" style="3" customWidth="1"/>
    <col min="2310" max="2310" width="9.7265625" style="3" customWidth="1"/>
    <col min="2311" max="2311" width="9.54296875" style="3" customWidth="1"/>
    <col min="2312" max="2312" width="12.54296875" style="3" customWidth="1"/>
    <col min="2313" max="2313" width="10" style="3" customWidth="1"/>
    <col min="2314" max="2314" width="9.7265625" style="3" customWidth="1"/>
    <col min="2315" max="2317" width="0" style="3" hidden="1" customWidth="1"/>
    <col min="2318" max="2561" width="8.81640625" style="3"/>
    <col min="2562" max="2562" width="13.26953125" style="3" customWidth="1"/>
    <col min="2563" max="2563" width="27.453125" style="3" customWidth="1"/>
    <col min="2564" max="2565" width="9.54296875" style="3" customWidth="1"/>
    <col min="2566" max="2566" width="9.7265625" style="3" customWidth="1"/>
    <col min="2567" max="2567" width="9.54296875" style="3" customWidth="1"/>
    <col min="2568" max="2568" width="12.54296875" style="3" customWidth="1"/>
    <col min="2569" max="2569" width="10" style="3" customWidth="1"/>
    <col min="2570" max="2570" width="9.7265625" style="3" customWidth="1"/>
    <col min="2571" max="2573" width="0" style="3" hidden="1" customWidth="1"/>
    <col min="2574" max="2817" width="8.81640625" style="3"/>
    <col min="2818" max="2818" width="13.26953125" style="3" customWidth="1"/>
    <col min="2819" max="2819" width="27.453125" style="3" customWidth="1"/>
    <col min="2820" max="2821" width="9.54296875" style="3" customWidth="1"/>
    <col min="2822" max="2822" width="9.7265625" style="3" customWidth="1"/>
    <col min="2823" max="2823" width="9.54296875" style="3" customWidth="1"/>
    <col min="2824" max="2824" width="12.54296875" style="3" customWidth="1"/>
    <col min="2825" max="2825" width="10" style="3" customWidth="1"/>
    <col min="2826" max="2826" width="9.7265625" style="3" customWidth="1"/>
    <col min="2827" max="2829" width="0" style="3" hidden="1" customWidth="1"/>
    <col min="2830" max="3073" width="8.81640625" style="3"/>
    <col min="3074" max="3074" width="13.26953125" style="3" customWidth="1"/>
    <col min="3075" max="3075" width="27.453125" style="3" customWidth="1"/>
    <col min="3076" max="3077" width="9.54296875" style="3" customWidth="1"/>
    <col min="3078" max="3078" width="9.7265625" style="3" customWidth="1"/>
    <col min="3079" max="3079" width="9.54296875" style="3" customWidth="1"/>
    <col min="3080" max="3080" width="12.54296875" style="3" customWidth="1"/>
    <col min="3081" max="3081" width="10" style="3" customWidth="1"/>
    <col min="3082" max="3082" width="9.7265625" style="3" customWidth="1"/>
    <col min="3083" max="3085" width="0" style="3" hidden="1" customWidth="1"/>
    <col min="3086" max="3329" width="8.81640625" style="3"/>
    <col min="3330" max="3330" width="13.26953125" style="3" customWidth="1"/>
    <col min="3331" max="3331" width="27.453125" style="3" customWidth="1"/>
    <col min="3332" max="3333" width="9.54296875" style="3" customWidth="1"/>
    <col min="3334" max="3334" width="9.7265625" style="3" customWidth="1"/>
    <col min="3335" max="3335" width="9.54296875" style="3" customWidth="1"/>
    <col min="3336" max="3336" width="12.54296875" style="3" customWidth="1"/>
    <col min="3337" max="3337" width="10" style="3" customWidth="1"/>
    <col min="3338" max="3338" width="9.7265625" style="3" customWidth="1"/>
    <col min="3339" max="3341" width="0" style="3" hidden="1" customWidth="1"/>
    <col min="3342" max="3585" width="8.81640625" style="3"/>
    <col min="3586" max="3586" width="13.26953125" style="3" customWidth="1"/>
    <col min="3587" max="3587" width="27.453125" style="3" customWidth="1"/>
    <col min="3588" max="3589" width="9.54296875" style="3" customWidth="1"/>
    <col min="3590" max="3590" width="9.7265625" style="3" customWidth="1"/>
    <col min="3591" max="3591" width="9.54296875" style="3" customWidth="1"/>
    <col min="3592" max="3592" width="12.54296875" style="3" customWidth="1"/>
    <col min="3593" max="3593" width="10" style="3" customWidth="1"/>
    <col min="3594" max="3594" width="9.7265625" style="3" customWidth="1"/>
    <col min="3595" max="3597" width="0" style="3" hidden="1" customWidth="1"/>
    <col min="3598" max="3841" width="8.81640625" style="3"/>
    <col min="3842" max="3842" width="13.26953125" style="3" customWidth="1"/>
    <col min="3843" max="3843" width="27.453125" style="3" customWidth="1"/>
    <col min="3844" max="3845" width="9.54296875" style="3" customWidth="1"/>
    <col min="3846" max="3846" width="9.7265625" style="3" customWidth="1"/>
    <col min="3847" max="3847" width="9.54296875" style="3" customWidth="1"/>
    <col min="3848" max="3848" width="12.54296875" style="3" customWidth="1"/>
    <col min="3849" max="3849" width="10" style="3" customWidth="1"/>
    <col min="3850" max="3850" width="9.7265625" style="3" customWidth="1"/>
    <col min="3851" max="3853" width="0" style="3" hidden="1" customWidth="1"/>
    <col min="3854" max="4097" width="8.81640625" style="3"/>
    <col min="4098" max="4098" width="13.26953125" style="3" customWidth="1"/>
    <col min="4099" max="4099" width="27.453125" style="3" customWidth="1"/>
    <col min="4100" max="4101" width="9.54296875" style="3" customWidth="1"/>
    <col min="4102" max="4102" width="9.7265625" style="3" customWidth="1"/>
    <col min="4103" max="4103" width="9.54296875" style="3" customWidth="1"/>
    <col min="4104" max="4104" width="12.54296875" style="3" customWidth="1"/>
    <col min="4105" max="4105" width="10" style="3" customWidth="1"/>
    <col min="4106" max="4106" width="9.7265625" style="3" customWidth="1"/>
    <col min="4107" max="4109" width="0" style="3" hidden="1" customWidth="1"/>
    <col min="4110" max="4353" width="8.81640625" style="3"/>
    <col min="4354" max="4354" width="13.26953125" style="3" customWidth="1"/>
    <col min="4355" max="4355" width="27.453125" style="3" customWidth="1"/>
    <col min="4356" max="4357" width="9.54296875" style="3" customWidth="1"/>
    <col min="4358" max="4358" width="9.7265625" style="3" customWidth="1"/>
    <col min="4359" max="4359" width="9.54296875" style="3" customWidth="1"/>
    <col min="4360" max="4360" width="12.54296875" style="3" customWidth="1"/>
    <col min="4361" max="4361" width="10" style="3" customWidth="1"/>
    <col min="4362" max="4362" width="9.7265625" style="3" customWidth="1"/>
    <col min="4363" max="4365" width="0" style="3" hidden="1" customWidth="1"/>
    <col min="4366" max="4609" width="8.81640625" style="3"/>
    <col min="4610" max="4610" width="13.26953125" style="3" customWidth="1"/>
    <col min="4611" max="4611" width="27.453125" style="3" customWidth="1"/>
    <col min="4612" max="4613" width="9.54296875" style="3" customWidth="1"/>
    <col min="4614" max="4614" width="9.7265625" style="3" customWidth="1"/>
    <col min="4615" max="4615" width="9.54296875" style="3" customWidth="1"/>
    <col min="4616" max="4616" width="12.54296875" style="3" customWidth="1"/>
    <col min="4617" max="4617" width="10" style="3" customWidth="1"/>
    <col min="4618" max="4618" width="9.7265625" style="3" customWidth="1"/>
    <col min="4619" max="4621" width="0" style="3" hidden="1" customWidth="1"/>
    <col min="4622" max="4865" width="8.81640625" style="3"/>
    <col min="4866" max="4866" width="13.26953125" style="3" customWidth="1"/>
    <col min="4867" max="4867" width="27.453125" style="3" customWidth="1"/>
    <col min="4868" max="4869" width="9.54296875" style="3" customWidth="1"/>
    <col min="4870" max="4870" width="9.7265625" style="3" customWidth="1"/>
    <col min="4871" max="4871" width="9.54296875" style="3" customWidth="1"/>
    <col min="4872" max="4872" width="12.54296875" style="3" customWidth="1"/>
    <col min="4873" max="4873" width="10" style="3" customWidth="1"/>
    <col min="4874" max="4874" width="9.7265625" style="3" customWidth="1"/>
    <col min="4875" max="4877" width="0" style="3" hidden="1" customWidth="1"/>
    <col min="4878" max="5121" width="8.81640625" style="3"/>
    <col min="5122" max="5122" width="13.26953125" style="3" customWidth="1"/>
    <col min="5123" max="5123" width="27.453125" style="3" customWidth="1"/>
    <col min="5124" max="5125" width="9.54296875" style="3" customWidth="1"/>
    <col min="5126" max="5126" width="9.7265625" style="3" customWidth="1"/>
    <col min="5127" max="5127" width="9.54296875" style="3" customWidth="1"/>
    <col min="5128" max="5128" width="12.54296875" style="3" customWidth="1"/>
    <col min="5129" max="5129" width="10" style="3" customWidth="1"/>
    <col min="5130" max="5130" width="9.7265625" style="3" customWidth="1"/>
    <col min="5131" max="5133" width="0" style="3" hidden="1" customWidth="1"/>
    <col min="5134" max="5377" width="8.81640625" style="3"/>
    <col min="5378" max="5378" width="13.26953125" style="3" customWidth="1"/>
    <col min="5379" max="5379" width="27.453125" style="3" customWidth="1"/>
    <col min="5380" max="5381" width="9.54296875" style="3" customWidth="1"/>
    <col min="5382" max="5382" width="9.7265625" style="3" customWidth="1"/>
    <col min="5383" max="5383" width="9.54296875" style="3" customWidth="1"/>
    <col min="5384" max="5384" width="12.54296875" style="3" customWidth="1"/>
    <col min="5385" max="5385" width="10" style="3" customWidth="1"/>
    <col min="5386" max="5386" width="9.7265625" style="3" customWidth="1"/>
    <col min="5387" max="5389" width="0" style="3" hidden="1" customWidth="1"/>
    <col min="5390" max="5633" width="8.81640625" style="3"/>
    <col min="5634" max="5634" width="13.26953125" style="3" customWidth="1"/>
    <col min="5635" max="5635" width="27.453125" style="3" customWidth="1"/>
    <col min="5636" max="5637" width="9.54296875" style="3" customWidth="1"/>
    <col min="5638" max="5638" width="9.7265625" style="3" customWidth="1"/>
    <col min="5639" max="5639" width="9.54296875" style="3" customWidth="1"/>
    <col min="5640" max="5640" width="12.54296875" style="3" customWidth="1"/>
    <col min="5641" max="5641" width="10" style="3" customWidth="1"/>
    <col min="5642" max="5642" width="9.7265625" style="3" customWidth="1"/>
    <col min="5643" max="5645" width="0" style="3" hidden="1" customWidth="1"/>
    <col min="5646" max="5889" width="8.81640625" style="3"/>
    <col min="5890" max="5890" width="13.26953125" style="3" customWidth="1"/>
    <col min="5891" max="5891" width="27.453125" style="3" customWidth="1"/>
    <col min="5892" max="5893" width="9.54296875" style="3" customWidth="1"/>
    <col min="5894" max="5894" width="9.7265625" style="3" customWidth="1"/>
    <col min="5895" max="5895" width="9.54296875" style="3" customWidth="1"/>
    <col min="5896" max="5896" width="12.54296875" style="3" customWidth="1"/>
    <col min="5897" max="5897" width="10" style="3" customWidth="1"/>
    <col min="5898" max="5898" width="9.7265625" style="3" customWidth="1"/>
    <col min="5899" max="5901" width="0" style="3" hidden="1" customWidth="1"/>
    <col min="5902" max="6145" width="8.81640625" style="3"/>
    <col min="6146" max="6146" width="13.26953125" style="3" customWidth="1"/>
    <col min="6147" max="6147" width="27.453125" style="3" customWidth="1"/>
    <col min="6148" max="6149" width="9.54296875" style="3" customWidth="1"/>
    <col min="6150" max="6150" width="9.7265625" style="3" customWidth="1"/>
    <col min="6151" max="6151" width="9.54296875" style="3" customWidth="1"/>
    <col min="6152" max="6152" width="12.54296875" style="3" customWidth="1"/>
    <col min="6153" max="6153" width="10" style="3" customWidth="1"/>
    <col min="6154" max="6154" width="9.7265625" style="3" customWidth="1"/>
    <col min="6155" max="6157" width="0" style="3" hidden="1" customWidth="1"/>
    <col min="6158" max="6401" width="8.81640625" style="3"/>
    <col min="6402" max="6402" width="13.26953125" style="3" customWidth="1"/>
    <col min="6403" max="6403" width="27.453125" style="3" customWidth="1"/>
    <col min="6404" max="6405" width="9.54296875" style="3" customWidth="1"/>
    <col min="6406" max="6406" width="9.7265625" style="3" customWidth="1"/>
    <col min="6407" max="6407" width="9.54296875" style="3" customWidth="1"/>
    <col min="6408" max="6408" width="12.54296875" style="3" customWidth="1"/>
    <col min="6409" max="6409" width="10" style="3" customWidth="1"/>
    <col min="6410" max="6410" width="9.7265625" style="3" customWidth="1"/>
    <col min="6411" max="6413" width="0" style="3" hidden="1" customWidth="1"/>
    <col min="6414" max="6657" width="8.81640625" style="3"/>
    <col min="6658" max="6658" width="13.26953125" style="3" customWidth="1"/>
    <col min="6659" max="6659" width="27.453125" style="3" customWidth="1"/>
    <col min="6660" max="6661" width="9.54296875" style="3" customWidth="1"/>
    <col min="6662" max="6662" width="9.7265625" style="3" customWidth="1"/>
    <col min="6663" max="6663" width="9.54296875" style="3" customWidth="1"/>
    <col min="6664" max="6664" width="12.54296875" style="3" customWidth="1"/>
    <col min="6665" max="6665" width="10" style="3" customWidth="1"/>
    <col min="6666" max="6666" width="9.7265625" style="3" customWidth="1"/>
    <col min="6667" max="6669" width="0" style="3" hidden="1" customWidth="1"/>
    <col min="6670" max="6913" width="8.81640625" style="3"/>
    <col min="6914" max="6914" width="13.26953125" style="3" customWidth="1"/>
    <col min="6915" max="6915" width="27.453125" style="3" customWidth="1"/>
    <col min="6916" max="6917" width="9.54296875" style="3" customWidth="1"/>
    <col min="6918" max="6918" width="9.7265625" style="3" customWidth="1"/>
    <col min="6919" max="6919" width="9.54296875" style="3" customWidth="1"/>
    <col min="6920" max="6920" width="12.54296875" style="3" customWidth="1"/>
    <col min="6921" max="6921" width="10" style="3" customWidth="1"/>
    <col min="6922" max="6922" width="9.7265625" style="3" customWidth="1"/>
    <col min="6923" max="6925" width="0" style="3" hidden="1" customWidth="1"/>
    <col min="6926" max="7169" width="8.81640625" style="3"/>
    <col min="7170" max="7170" width="13.26953125" style="3" customWidth="1"/>
    <col min="7171" max="7171" width="27.453125" style="3" customWidth="1"/>
    <col min="7172" max="7173" width="9.54296875" style="3" customWidth="1"/>
    <col min="7174" max="7174" width="9.7265625" style="3" customWidth="1"/>
    <col min="7175" max="7175" width="9.54296875" style="3" customWidth="1"/>
    <col min="7176" max="7176" width="12.54296875" style="3" customWidth="1"/>
    <col min="7177" max="7177" width="10" style="3" customWidth="1"/>
    <col min="7178" max="7178" width="9.7265625" style="3" customWidth="1"/>
    <col min="7179" max="7181" width="0" style="3" hidden="1" customWidth="1"/>
    <col min="7182" max="7425" width="8.81640625" style="3"/>
    <col min="7426" max="7426" width="13.26953125" style="3" customWidth="1"/>
    <col min="7427" max="7427" width="27.453125" style="3" customWidth="1"/>
    <col min="7428" max="7429" width="9.54296875" style="3" customWidth="1"/>
    <col min="7430" max="7430" width="9.7265625" style="3" customWidth="1"/>
    <col min="7431" max="7431" width="9.54296875" style="3" customWidth="1"/>
    <col min="7432" max="7432" width="12.54296875" style="3" customWidth="1"/>
    <col min="7433" max="7433" width="10" style="3" customWidth="1"/>
    <col min="7434" max="7434" width="9.7265625" style="3" customWidth="1"/>
    <col min="7435" max="7437" width="0" style="3" hidden="1" customWidth="1"/>
    <col min="7438" max="7681" width="8.81640625" style="3"/>
    <col min="7682" max="7682" width="13.26953125" style="3" customWidth="1"/>
    <col min="7683" max="7683" width="27.453125" style="3" customWidth="1"/>
    <col min="7684" max="7685" width="9.54296875" style="3" customWidth="1"/>
    <col min="7686" max="7686" width="9.7265625" style="3" customWidth="1"/>
    <col min="7687" max="7687" width="9.54296875" style="3" customWidth="1"/>
    <col min="7688" max="7688" width="12.54296875" style="3" customWidth="1"/>
    <col min="7689" max="7689" width="10" style="3" customWidth="1"/>
    <col min="7690" max="7690" width="9.7265625" style="3" customWidth="1"/>
    <col min="7691" max="7693" width="0" style="3" hidden="1" customWidth="1"/>
    <col min="7694" max="7937" width="8.81640625" style="3"/>
    <col min="7938" max="7938" width="13.26953125" style="3" customWidth="1"/>
    <col min="7939" max="7939" width="27.453125" style="3" customWidth="1"/>
    <col min="7940" max="7941" width="9.54296875" style="3" customWidth="1"/>
    <col min="7942" max="7942" width="9.7265625" style="3" customWidth="1"/>
    <col min="7943" max="7943" width="9.54296875" style="3" customWidth="1"/>
    <col min="7944" max="7944" width="12.54296875" style="3" customWidth="1"/>
    <col min="7945" max="7945" width="10" style="3" customWidth="1"/>
    <col min="7946" max="7946" width="9.7265625" style="3" customWidth="1"/>
    <col min="7947" max="7949" width="0" style="3" hidden="1" customWidth="1"/>
    <col min="7950" max="8193" width="8.81640625" style="3"/>
    <col min="8194" max="8194" width="13.26953125" style="3" customWidth="1"/>
    <col min="8195" max="8195" width="27.453125" style="3" customWidth="1"/>
    <col min="8196" max="8197" width="9.54296875" style="3" customWidth="1"/>
    <col min="8198" max="8198" width="9.7265625" style="3" customWidth="1"/>
    <col min="8199" max="8199" width="9.54296875" style="3" customWidth="1"/>
    <col min="8200" max="8200" width="12.54296875" style="3" customWidth="1"/>
    <col min="8201" max="8201" width="10" style="3" customWidth="1"/>
    <col min="8202" max="8202" width="9.7265625" style="3" customWidth="1"/>
    <col min="8203" max="8205" width="0" style="3" hidden="1" customWidth="1"/>
    <col min="8206" max="8449" width="8.81640625" style="3"/>
    <col min="8450" max="8450" width="13.26953125" style="3" customWidth="1"/>
    <col min="8451" max="8451" width="27.453125" style="3" customWidth="1"/>
    <col min="8452" max="8453" width="9.54296875" style="3" customWidth="1"/>
    <col min="8454" max="8454" width="9.7265625" style="3" customWidth="1"/>
    <col min="8455" max="8455" width="9.54296875" style="3" customWidth="1"/>
    <col min="8456" max="8456" width="12.54296875" style="3" customWidth="1"/>
    <col min="8457" max="8457" width="10" style="3" customWidth="1"/>
    <col min="8458" max="8458" width="9.7265625" style="3" customWidth="1"/>
    <col min="8459" max="8461" width="0" style="3" hidden="1" customWidth="1"/>
    <col min="8462" max="8705" width="8.81640625" style="3"/>
    <col min="8706" max="8706" width="13.26953125" style="3" customWidth="1"/>
    <col min="8707" max="8707" width="27.453125" style="3" customWidth="1"/>
    <col min="8708" max="8709" width="9.54296875" style="3" customWidth="1"/>
    <col min="8710" max="8710" width="9.7265625" style="3" customWidth="1"/>
    <col min="8711" max="8711" width="9.54296875" style="3" customWidth="1"/>
    <col min="8712" max="8712" width="12.54296875" style="3" customWidth="1"/>
    <col min="8713" max="8713" width="10" style="3" customWidth="1"/>
    <col min="8714" max="8714" width="9.7265625" style="3" customWidth="1"/>
    <col min="8715" max="8717" width="0" style="3" hidden="1" customWidth="1"/>
    <col min="8718" max="8961" width="8.81640625" style="3"/>
    <col min="8962" max="8962" width="13.26953125" style="3" customWidth="1"/>
    <col min="8963" max="8963" width="27.453125" style="3" customWidth="1"/>
    <col min="8964" max="8965" width="9.54296875" style="3" customWidth="1"/>
    <col min="8966" max="8966" width="9.7265625" style="3" customWidth="1"/>
    <col min="8967" max="8967" width="9.54296875" style="3" customWidth="1"/>
    <col min="8968" max="8968" width="12.54296875" style="3" customWidth="1"/>
    <col min="8969" max="8969" width="10" style="3" customWidth="1"/>
    <col min="8970" max="8970" width="9.7265625" style="3" customWidth="1"/>
    <col min="8971" max="8973" width="0" style="3" hidden="1" customWidth="1"/>
    <col min="8974" max="9217" width="8.81640625" style="3"/>
    <col min="9218" max="9218" width="13.26953125" style="3" customWidth="1"/>
    <col min="9219" max="9219" width="27.453125" style="3" customWidth="1"/>
    <col min="9220" max="9221" width="9.54296875" style="3" customWidth="1"/>
    <col min="9222" max="9222" width="9.7265625" style="3" customWidth="1"/>
    <col min="9223" max="9223" width="9.54296875" style="3" customWidth="1"/>
    <col min="9224" max="9224" width="12.54296875" style="3" customWidth="1"/>
    <col min="9225" max="9225" width="10" style="3" customWidth="1"/>
    <col min="9226" max="9226" width="9.7265625" style="3" customWidth="1"/>
    <col min="9227" max="9229" width="0" style="3" hidden="1" customWidth="1"/>
    <col min="9230" max="9473" width="8.81640625" style="3"/>
    <col min="9474" max="9474" width="13.26953125" style="3" customWidth="1"/>
    <col min="9475" max="9475" width="27.453125" style="3" customWidth="1"/>
    <col min="9476" max="9477" width="9.54296875" style="3" customWidth="1"/>
    <col min="9478" max="9478" width="9.7265625" style="3" customWidth="1"/>
    <col min="9479" max="9479" width="9.54296875" style="3" customWidth="1"/>
    <col min="9480" max="9480" width="12.54296875" style="3" customWidth="1"/>
    <col min="9481" max="9481" width="10" style="3" customWidth="1"/>
    <col min="9482" max="9482" width="9.7265625" style="3" customWidth="1"/>
    <col min="9483" max="9485" width="0" style="3" hidden="1" customWidth="1"/>
    <col min="9486" max="9729" width="8.81640625" style="3"/>
    <col min="9730" max="9730" width="13.26953125" style="3" customWidth="1"/>
    <col min="9731" max="9731" width="27.453125" style="3" customWidth="1"/>
    <col min="9732" max="9733" width="9.54296875" style="3" customWidth="1"/>
    <col min="9734" max="9734" width="9.7265625" style="3" customWidth="1"/>
    <col min="9735" max="9735" width="9.54296875" style="3" customWidth="1"/>
    <col min="9736" max="9736" width="12.54296875" style="3" customWidth="1"/>
    <col min="9737" max="9737" width="10" style="3" customWidth="1"/>
    <col min="9738" max="9738" width="9.7265625" style="3" customWidth="1"/>
    <col min="9739" max="9741" width="0" style="3" hidden="1" customWidth="1"/>
    <col min="9742" max="9985" width="8.81640625" style="3"/>
    <col min="9986" max="9986" width="13.26953125" style="3" customWidth="1"/>
    <col min="9987" max="9987" width="27.453125" style="3" customWidth="1"/>
    <col min="9988" max="9989" width="9.54296875" style="3" customWidth="1"/>
    <col min="9990" max="9990" width="9.7265625" style="3" customWidth="1"/>
    <col min="9991" max="9991" width="9.54296875" style="3" customWidth="1"/>
    <col min="9992" max="9992" width="12.54296875" style="3" customWidth="1"/>
    <col min="9993" max="9993" width="10" style="3" customWidth="1"/>
    <col min="9994" max="9994" width="9.7265625" style="3" customWidth="1"/>
    <col min="9995" max="9997" width="0" style="3" hidden="1" customWidth="1"/>
    <col min="9998" max="10241" width="8.81640625" style="3"/>
    <col min="10242" max="10242" width="13.26953125" style="3" customWidth="1"/>
    <col min="10243" max="10243" width="27.453125" style="3" customWidth="1"/>
    <col min="10244" max="10245" width="9.54296875" style="3" customWidth="1"/>
    <col min="10246" max="10246" width="9.7265625" style="3" customWidth="1"/>
    <col min="10247" max="10247" width="9.54296875" style="3" customWidth="1"/>
    <col min="10248" max="10248" width="12.54296875" style="3" customWidth="1"/>
    <col min="10249" max="10249" width="10" style="3" customWidth="1"/>
    <col min="10250" max="10250" width="9.7265625" style="3" customWidth="1"/>
    <col min="10251" max="10253" width="0" style="3" hidden="1" customWidth="1"/>
    <col min="10254" max="10497" width="8.81640625" style="3"/>
    <col min="10498" max="10498" width="13.26953125" style="3" customWidth="1"/>
    <col min="10499" max="10499" width="27.453125" style="3" customWidth="1"/>
    <col min="10500" max="10501" width="9.54296875" style="3" customWidth="1"/>
    <col min="10502" max="10502" width="9.7265625" style="3" customWidth="1"/>
    <col min="10503" max="10503" width="9.54296875" style="3" customWidth="1"/>
    <col min="10504" max="10504" width="12.54296875" style="3" customWidth="1"/>
    <col min="10505" max="10505" width="10" style="3" customWidth="1"/>
    <col min="10506" max="10506" width="9.7265625" style="3" customWidth="1"/>
    <col min="10507" max="10509" width="0" style="3" hidden="1" customWidth="1"/>
    <col min="10510" max="10753" width="8.81640625" style="3"/>
    <col min="10754" max="10754" width="13.26953125" style="3" customWidth="1"/>
    <col min="10755" max="10755" width="27.453125" style="3" customWidth="1"/>
    <col min="10756" max="10757" width="9.54296875" style="3" customWidth="1"/>
    <col min="10758" max="10758" width="9.7265625" style="3" customWidth="1"/>
    <col min="10759" max="10759" width="9.54296875" style="3" customWidth="1"/>
    <col min="10760" max="10760" width="12.54296875" style="3" customWidth="1"/>
    <col min="10761" max="10761" width="10" style="3" customWidth="1"/>
    <col min="10762" max="10762" width="9.7265625" style="3" customWidth="1"/>
    <col min="10763" max="10765" width="0" style="3" hidden="1" customWidth="1"/>
    <col min="10766" max="11009" width="8.81640625" style="3"/>
    <col min="11010" max="11010" width="13.26953125" style="3" customWidth="1"/>
    <col min="11011" max="11011" width="27.453125" style="3" customWidth="1"/>
    <col min="11012" max="11013" width="9.54296875" style="3" customWidth="1"/>
    <col min="11014" max="11014" width="9.7265625" style="3" customWidth="1"/>
    <col min="11015" max="11015" width="9.54296875" style="3" customWidth="1"/>
    <col min="11016" max="11016" width="12.54296875" style="3" customWidth="1"/>
    <col min="11017" max="11017" width="10" style="3" customWidth="1"/>
    <col min="11018" max="11018" width="9.7265625" style="3" customWidth="1"/>
    <col min="11019" max="11021" width="0" style="3" hidden="1" customWidth="1"/>
    <col min="11022" max="11265" width="8.81640625" style="3"/>
    <col min="11266" max="11266" width="13.26953125" style="3" customWidth="1"/>
    <col min="11267" max="11267" width="27.453125" style="3" customWidth="1"/>
    <col min="11268" max="11269" width="9.54296875" style="3" customWidth="1"/>
    <col min="11270" max="11270" width="9.7265625" style="3" customWidth="1"/>
    <col min="11271" max="11271" width="9.54296875" style="3" customWidth="1"/>
    <col min="11272" max="11272" width="12.54296875" style="3" customWidth="1"/>
    <col min="11273" max="11273" width="10" style="3" customWidth="1"/>
    <col min="11274" max="11274" width="9.7265625" style="3" customWidth="1"/>
    <col min="11275" max="11277" width="0" style="3" hidden="1" customWidth="1"/>
    <col min="11278" max="11521" width="8.81640625" style="3"/>
    <col min="11522" max="11522" width="13.26953125" style="3" customWidth="1"/>
    <col min="11523" max="11523" width="27.453125" style="3" customWidth="1"/>
    <col min="11524" max="11525" width="9.54296875" style="3" customWidth="1"/>
    <col min="11526" max="11526" width="9.7265625" style="3" customWidth="1"/>
    <col min="11527" max="11527" width="9.54296875" style="3" customWidth="1"/>
    <col min="11528" max="11528" width="12.54296875" style="3" customWidth="1"/>
    <col min="11529" max="11529" width="10" style="3" customWidth="1"/>
    <col min="11530" max="11530" width="9.7265625" style="3" customWidth="1"/>
    <col min="11531" max="11533" width="0" style="3" hidden="1" customWidth="1"/>
    <col min="11534" max="11777" width="8.81640625" style="3"/>
    <col min="11778" max="11778" width="13.26953125" style="3" customWidth="1"/>
    <col min="11779" max="11779" width="27.453125" style="3" customWidth="1"/>
    <col min="11780" max="11781" width="9.54296875" style="3" customWidth="1"/>
    <col min="11782" max="11782" width="9.7265625" style="3" customWidth="1"/>
    <col min="11783" max="11783" width="9.54296875" style="3" customWidth="1"/>
    <col min="11784" max="11784" width="12.54296875" style="3" customWidth="1"/>
    <col min="11785" max="11785" width="10" style="3" customWidth="1"/>
    <col min="11786" max="11786" width="9.7265625" style="3" customWidth="1"/>
    <col min="11787" max="11789" width="0" style="3" hidden="1" customWidth="1"/>
    <col min="11790" max="12033" width="8.81640625" style="3"/>
    <col min="12034" max="12034" width="13.26953125" style="3" customWidth="1"/>
    <col min="12035" max="12035" width="27.453125" style="3" customWidth="1"/>
    <col min="12036" max="12037" width="9.54296875" style="3" customWidth="1"/>
    <col min="12038" max="12038" width="9.7265625" style="3" customWidth="1"/>
    <col min="12039" max="12039" width="9.54296875" style="3" customWidth="1"/>
    <col min="12040" max="12040" width="12.54296875" style="3" customWidth="1"/>
    <col min="12041" max="12041" width="10" style="3" customWidth="1"/>
    <col min="12042" max="12042" width="9.7265625" style="3" customWidth="1"/>
    <col min="12043" max="12045" width="0" style="3" hidden="1" customWidth="1"/>
    <col min="12046" max="12289" width="8.81640625" style="3"/>
    <col min="12290" max="12290" width="13.26953125" style="3" customWidth="1"/>
    <col min="12291" max="12291" width="27.453125" style="3" customWidth="1"/>
    <col min="12292" max="12293" width="9.54296875" style="3" customWidth="1"/>
    <col min="12294" max="12294" width="9.7265625" style="3" customWidth="1"/>
    <col min="12295" max="12295" width="9.54296875" style="3" customWidth="1"/>
    <col min="12296" max="12296" width="12.54296875" style="3" customWidth="1"/>
    <col min="12297" max="12297" width="10" style="3" customWidth="1"/>
    <col min="12298" max="12298" width="9.7265625" style="3" customWidth="1"/>
    <col min="12299" max="12301" width="0" style="3" hidden="1" customWidth="1"/>
    <col min="12302" max="12545" width="8.81640625" style="3"/>
    <col min="12546" max="12546" width="13.26953125" style="3" customWidth="1"/>
    <col min="12547" max="12547" width="27.453125" style="3" customWidth="1"/>
    <col min="12548" max="12549" width="9.54296875" style="3" customWidth="1"/>
    <col min="12550" max="12550" width="9.7265625" style="3" customWidth="1"/>
    <col min="12551" max="12551" width="9.54296875" style="3" customWidth="1"/>
    <col min="12552" max="12552" width="12.54296875" style="3" customWidth="1"/>
    <col min="12553" max="12553" width="10" style="3" customWidth="1"/>
    <col min="12554" max="12554" width="9.7265625" style="3" customWidth="1"/>
    <col min="12555" max="12557" width="0" style="3" hidden="1" customWidth="1"/>
    <col min="12558" max="12801" width="8.81640625" style="3"/>
    <col min="12802" max="12802" width="13.26953125" style="3" customWidth="1"/>
    <col min="12803" max="12803" width="27.453125" style="3" customWidth="1"/>
    <col min="12804" max="12805" width="9.54296875" style="3" customWidth="1"/>
    <col min="12806" max="12806" width="9.7265625" style="3" customWidth="1"/>
    <col min="12807" max="12807" width="9.54296875" style="3" customWidth="1"/>
    <col min="12808" max="12808" width="12.54296875" style="3" customWidth="1"/>
    <col min="12809" max="12809" width="10" style="3" customWidth="1"/>
    <col min="12810" max="12810" width="9.7265625" style="3" customWidth="1"/>
    <col min="12811" max="12813" width="0" style="3" hidden="1" customWidth="1"/>
    <col min="12814" max="13057" width="8.81640625" style="3"/>
    <col min="13058" max="13058" width="13.26953125" style="3" customWidth="1"/>
    <col min="13059" max="13059" width="27.453125" style="3" customWidth="1"/>
    <col min="13060" max="13061" width="9.54296875" style="3" customWidth="1"/>
    <col min="13062" max="13062" width="9.7265625" style="3" customWidth="1"/>
    <col min="13063" max="13063" width="9.54296875" style="3" customWidth="1"/>
    <col min="13064" max="13064" width="12.54296875" style="3" customWidth="1"/>
    <col min="13065" max="13065" width="10" style="3" customWidth="1"/>
    <col min="13066" max="13066" width="9.7265625" style="3" customWidth="1"/>
    <col min="13067" max="13069" width="0" style="3" hidden="1" customWidth="1"/>
    <col min="13070" max="13313" width="8.81640625" style="3"/>
    <col min="13314" max="13314" width="13.26953125" style="3" customWidth="1"/>
    <col min="13315" max="13315" width="27.453125" style="3" customWidth="1"/>
    <col min="13316" max="13317" width="9.54296875" style="3" customWidth="1"/>
    <col min="13318" max="13318" width="9.7265625" style="3" customWidth="1"/>
    <col min="13319" max="13319" width="9.54296875" style="3" customWidth="1"/>
    <col min="13320" max="13320" width="12.54296875" style="3" customWidth="1"/>
    <col min="13321" max="13321" width="10" style="3" customWidth="1"/>
    <col min="13322" max="13322" width="9.7265625" style="3" customWidth="1"/>
    <col min="13323" max="13325" width="0" style="3" hidden="1" customWidth="1"/>
    <col min="13326" max="13569" width="8.81640625" style="3"/>
    <col min="13570" max="13570" width="13.26953125" style="3" customWidth="1"/>
    <col min="13571" max="13571" width="27.453125" style="3" customWidth="1"/>
    <col min="13572" max="13573" width="9.54296875" style="3" customWidth="1"/>
    <col min="13574" max="13574" width="9.7265625" style="3" customWidth="1"/>
    <col min="13575" max="13575" width="9.54296875" style="3" customWidth="1"/>
    <col min="13576" max="13576" width="12.54296875" style="3" customWidth="1"/>
    <col min="13577" max="13577" width="10" style="3" customWidth="1"/>
    <col min="13578" max="13578" width="9.7265625" style="3" customWidth="1"/>
    <col min="13579" max="13581" width="0" style="3" hidden="1" customWidth="1"/>
    <col min="13582" max="13825" width="8.81640625" style="3"/>
    <col min="13826" max="13826" width="13.26953125" style="3" customWidth="1"/>
    <col min="13827" max="13827" width="27.453125" style="3" customWidth="1"/>
    <col min="13828" max="13829" width="9.54296875" style="3" customWidth="1"/>
    <col min="13830" max="13830" width="9.7265625" style="3" customWidth="1"/>
    <col min="13831" max="13831" width="9.54296875" style="3" customWidth="1"/>
    <col min="13832" max="13832" width="12.54296875" style="3" customWidth="1"/>
    <col min="13833" max="13833" width="10" style="3" customWidth="1"/>
    <col min="13834" max="13834" width="9.7265625" style="3" customWidth="1"/>
    <col min="13835" max="13837" width="0" style="3" hidden="1" customWidth="1"/>
    <col min="13838" max="14081" width="8.81640625" style="3"/>
    <col min="14082" max="14082" width="13.26953125" style="3" customWidth="1"/>
    <col min="14083" max="14083" width="27.453125" style="3" customWidth="1"/>
    <col min="14084" max="14085" width="9.54296875" style="3" customWidth="1"/>
    <col min="14086" max="14086" width="9.7265625" style="3" customWidth="1"/>
    <col min="14087" max="14087" width="9.54296875" style="3" customWidth="1"/>
    <col min="14088" max="14088" width="12.54296875" style="3" customWidth="1"/>
    <col min="14089" max="14089" width="10" style="3" customWidth="1"/>
    <col min="14090" max="14090" width="9.7265625" style="3" customWidth="1"/>
    <col min="14091" max="14093" width="0" style="3" hidden="1" customWidth="1"/>
    <col min="14094" max="14337" width="8.81640625" style="3"/>
    <col min="14338" max="14338" width="13.26953125" style="3" customWidth="1"/>
    <col min="14339" max="14339" width="27.453125" style="3" customWidth="1"/>
    <col min="14340" max="14341" width="9.54296875" style="3" customWidth="1"/>
    <col min="14342" max="14342" width="9.7265625" style="3" customWidth="1"/>
    <col min="14343" max="14343" width="9.54296875" style="3" customWidth="1"/>
    <col min="14344" max="14344" width="12.54296875" style="3" customWidth="1"/>
    <col min="14345" max="14345" width="10" style="3" customWidth="1"/>
    <col min="14346" max="14346" width="9.7265625" style="3" customWidth="1"/>
    <col min="14347" max="14349" width="0" style="3" hidden="1" customWidth="1"/>
    <col min="14350" max="14593" width="8.81640625" style="3"/>
    <col min="14594" max="14594" width="13.26953125" style="3" customWidth="1"/>
    <col min="14595" max="14595" width="27.453125" style="3" customWidth="1"/>
    <col min="14596" max="14597" width="9.54296875" style="3" customWidth="1"/>
    <col min="14598" max="14598" width="9.7265625" style="3" customWidth="1"/>
    <col min="14599" max="14599" width="9.54296875" style="3" customWidth="1"/>
    <col min="14600" max="14600" width="12.54296875" style="3" customWidth="1"/>
    <col min="14601" max="14601" width="10" style="3" customWidth="1"/>
    <col min="14602" max="14602" width="9.7265625" style="3" customWidth="1"/>
    <col min="14603" max="14605" width="0" style="3" hidden="1" customWidth="1"/>
    <col min="14606" max="14849" width="8.81640625" style="3"/>
    <col min="14850" max="14850" width="13.26953125" style="3" customWidth="1"/>
    <col min="14851" max="14851" width="27.453125" style="3" customWidth="1"/>
    <col min="14852" max="14853" width="9.54296875" style="3" customWidth="1"/>
    <col min="14854" max="14854" width="9.7265625" style="3" customWidth="1"/>
    <col min="14855" max="14855" width="9.54296875" style="3" customWidth="1"/>
    <col min="14856" max="14856" width="12.54296875" style="3" customWidth="1"/>
    <col min="14857" max="14857" width="10" style="3" customWidth="1"/>
    <col min="14858" max="14858" width="9.7265625" style="3" customWidth="1"/>
    <col min="14859" max="14861" width="0" style="3" hidden="1" customWidth="1"/>
    <col min="14862" max="15105" width="8.81640625" style="3"/>
    <col min="15106" max="15106" width="13.26953125" style="3" customWidth="1"/>
    <col min="15107" max="15107" width="27.453125" style="3" customWidth="1"/>
    <col min="15108" max="15109" width="9.54296875" style="3" customWidth="1"/>
    <col min="15110" max="15110" width="9.7265625" style="3" customWidth="1"/>
    <col min="15111" max="15111" width="9.54296875" style="3" customWidth="1"/>
    <col min="15112" max="15112" width="12.54296875" style="3" customWidth="1"/>
    <col min="15113" max="15113" width="10" style="3" customWidth="1"/>
    <col min="15114" max="15114" width="9.7265625" style="3" customWidth="1"/>
    <col min="15115" max="15117" width="0" style="3" hidden="1" customWidth="1"/>
    <col min="15118" max="15361" width="8.81640625" style="3"/>
    <col min="15362" max="15362" width="13.26953125" style="3" customWidth="1"/>
    <col min="15363" max="15363" width="27.453125" style="3" customWidth="1"/>
    <col min="15364" max="15365" width="9.54296875" style="3" customWidth="1"/>
    <col min="15366" max="15366" width="9.7265625" style="3" customWidth="1"/>
    <col min="15367" max="15367" width="9.54296875" style="3" customWidth="1"/>
    <col min="15368" max="15368" width="12.54296875" style="3" customWidth="1"/>
    <col min="15369" max="15369" width="10" style="3" customWidth="1"/>
    <col min="15370" max="15370" width="9.7265625" style="3" customWidth="1"/>
    <col min="15371" max="15373" width="0" style="3" hidden="1" customWidth="1"/>
    <col min="15374" max="15617" width="8.81640625" style="3"/>
    <col min="15618" max="15618" width="13.26953125" style="3" customWidth="1"/>
    <col min="15619" max="15619" width="27.453125" style="3" customWidth="1"/>
    <col min="15620" max="15621" width="9.54296875" style="3" customWidth="1"/>
    <col min="15622" max="15622" width="9.7265625" style="3" customWidth="1"/>
    <col min="15623" max="15623" width="9.54296875" style="3" customWidth="1"/>
    <col min="15624" max="15624" width="12.54296875" style="3" customWidth="1"/>
    <col min="15625" max="15625" width="10" style="3" customWidth="1"/>
    <col min="15626" max="15626" width="9.7265625" style="3" customWidth="1"/>
    <col min="15627" max="15629" width="0" style="3" hidden="1" customWidth="1"/>
    <col min="15630" max="15873" width="8.81640625" style="3"/>
    <col min="15874" max="15874" width="13.26953125" style="3" customWidth="1"/>
    <col min="15875" max="15875" width="27.453125" style="3" customWidth="1"/>
    <col min="15876" max="15877" width="9.54296875" style="3" customWidth="1"/>
    <col min="15878" max="15878" width="9.7265625" style="3" customWidth="1"/>
    <col min="15879" max="15879" width="9.54296875" style="3" customWidth="1"/>
    <col min="15880" max="15880" width="12.54296875" style="3" customWidth="1"/>
    <col min="15881" max="15881" width="10" style="3" customWidth="1"/>
    <col min="15882" max="15882" width="9.7265625" style="3" customWidth="1"/>
    <col min="15883" max="15885" width="0" style="3" hidden="1" customWidth="1"/>
    <col min="15886" max="16129" width="8.81640625" style="3"/>
    <col min="16130" max="16130" width="13.26953125" style="3" customWidth="1"/>
    <col min="16131" max="16131" width="27.453125" style="3" customWidth="1"/>
    <col min="16132" max="16133" width="9.54296875" style="3" customWidth="1"/>
    <col min="16134" max="16134" width="9.7265625" style="3" customWidth="1"/>
    <col min="16135" max="16135" width="9.54296875" style="3" customWidth="1"/>
    <col min="16136" max="16136" width="12.54296875" style="3" customWidth="1"/>
    <col min="16137" max="16137" width="10" style="3" customWidth="1"/>
    <col min="16138" max="16138" width="9.7265625" style="3" customWidth="1"/>
    <col min="16139" max="16141" width="0" style="3" hidden="1" customWidth="1"/>
    <col min="16142" max="16384" width="8.81640625" style="3"/>
  </cols>
  <sheetData>
    <row r="1" spans="1:19" s="1" customFormat="1" x14ac:dyDescent="0.35">
      <c r="A1" s="1228" t="s">
        <v>0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279"/>
      <c r="M1" s="279"/>
      <c r="N1" s="581"/>
    </row>
    <row r="2" spans="1:19" s="1" customFormat="1" x14ac:dyDescent="0.35">
      <c r="A2" s="1228" t="s">
        <v>297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279"/>
      <c r="M2" s="279"/>
      <c r="N2" s="581"/>
    </row>
    <row r="3" spans="1:19" s="1" customFormat="1" x14ac:dyDescent="0.35">
      <c r="A3" s="1229">
        <v>2020</v>
      </c>
      <c r="B3" s="1229"/>
      <c r="C3" s="1229"/>
      <c r="D3" s="1229"/>
      <c r="E3" s="1229"/>
      <c r="F3" s="1229"/>
      <c r="G3" s="1229"/>
      <c r="H3" s="1229"/>
      <c r="I3" s="1229"/>
      <c r="J3" s="1229"/>
      <c r="K3" s="1229"/>
      <c r="L3" s="544"/>
      <c r="M3" s="544"/>
      <c r="N3" s="581"/>
    </row>
    <row r="5" spans="1:19" ht="9" customHeight="1" thickBot="1" x14ac:dyDescent="0.4"/>
    <row r="6" spans="1:19" s="1" customFormat="1" x14ac:dyDescent="0.35">
      <c r="A6" s="1217" t="s">
        <v>3</v>
      </c>
      <c r="B6" s="1218"/>
      <c r="C6" s="1218"/>
      <c r="D6" s="1218"/>
      <c r="E6" s="1218"/>
      <c r="F6" s="1218"/>
      <c r="G6" s="1218"/>
      <c r="H6" s="1218"/>
      <c r="I6" s="1218"/>
      <c r="J6" s="1218"/>
      <c r="K6" s="1218"/>
      <c r="L6" s="1230"/>
      <c r="M6" s="584"/>
      <c r="N6" s="581"/>
      <c r="O6" s="1" t="s">
        <v>299</v>
      </c>
      <c r="Q6" s="1" t="s">
        <v>300</v>
      </c>
      <c r="S6" s="1" t="s">
        <v>301</v>
      </c>
    </row>
    <row r="7" spans="1:19" s="1" customFormat="1" ht="16" thickBot="1" x14ac:dyDescent="0.4">
      <c r="A7" s="585"/>
      <c r="B7" s="2"/>
      <c r="C7" s="5"/>
      <c r="D7" s="586"/>
      <c r="E7" s="5"/>
      <c r="F7" s="5"/>
      <c r="G7" s="5"/>
      <c r="H7" s="5"/>
      <c r="I7" s="5"/>
      <c r="J7" s="3"/>
      <c r="K7" s="21"/>
      <c r="L7" s="587"/>
      <c r="M7" s="21"/>
      <c r="N7" s="581"/>
      <c r="O7" s="22">
        <f>C34+C68+C81+C89+C105+C144+C165</f>
        <v>449.95</v>
      </c>
      <c r="Q7" s="22">
        <f>C199+C229+C241+C262</f>
        <v>326.49700000000001</v>
      </c>
      <c r="S7" s="22">
        <f>C174+C295+C313+C342+C358+C369</f>
        <v>286.85199999999998</v>
      </c>
    </row>
    <row r="8" spans="1:19" s="1" customFormat="1" ht="21" customHeight="1" x14ac:dyDescent="0.35">
      <c r="A8" s="1206" t="s">
        <v>302</v>
      </c>
      <c r="B8" s="1208" t="s">
        <v>28</v>
      </c>
      <c r="C8" s="1210" t="s">
        <v>303</v>
      </c>
      <c r="D8" s="1231" t="s">
        <v>304</v>
      </c>
      <c r="E8" s="1212" t="s">
        <v>305</v>
      </c>
      <c r="F8" s="1212"/>
      <c r="G8" s="1212"/>
      <c r="H8" s="1212"/>
      <c r="I8" s="1212"/>
      <c r="J8" s="1208" t="s">
        <v>29</v>
      </c>
      <c r="K8" s="1213" t="s">
        <v>306</v>
      </c>
      <c r="L8" s="1222" t="s">
        <v>307</v>
      </c>
      <c r="M8" s="588"/>
      <c r="N8" s="581"/>
    </row>
    <row r="9" spans="1:19" s="1" customFormat="1" ht="31.5" customHeight="1" thickBot="1" x14ac:dyDescent="0.4">
      <c r="A9" s="1207"/>
      <c r="B9" s="1209"/>
      <c r="C9" s="1211"/>
      <c r="D9" s="1232"/>
      <c r="E9" s="7" t="s">
        <v>308</v>
      </c>
      <c r="F9" s="7" t="s">
        <v>309</v>
      </c>
      <c r="G9" s="7" t="s">
        <v>310</v>
      </c>
      <c r="H9" s="7" t="s">
        <v>311</v>
      </c>
      <c r="I9" s="7" t="s">
        <v>312</v>
      </c>
      <c r="J9" s="1209"/>
      <c r="K9" s="1214"/>
      <c r="L9" s="1223"/>
      <c r="M9" s="588"/>
      <c r="N9" s="1" t="s">
        <v>143</v>
      </c>
      <c r="O9" s="22">
        <f>O7+Q7+S7</f>
        <v>1063.299</v>
      </c>
      <c r="Q9" s="22">
        <f>O13-O9</f>
        <v>176.36599999999999</v>
      </c>
      <c r="S9" s="1">
        <f>(O9/O13)*100</f>
        <v>85.773091924027867</v>
      </c>
    </row>
    <row r="10" spans="1:19" s="16" customFormat="1" ht="17.149999999999999" customHeight="1" x14ac:dyDescent="0.35">
      <c r="A10" s="589">
        <v>219</v>
      </c>
      <c r="B10" s="110" t="s">
        <v>214</v>
      </c>
      <c r="C10" s="15">
        <f>SUM(E10:I10)</f>
        <v>0.4</v>
      </c>
      <c r="D10" s="590">
        <f>'[23]road inventory 2018'!C10</f>
        <v>0.65</v>
      </c>
      <c r="E10" s="15">
        <v>0</v>
      </c>
      <c r="F10" s="15">
        <v>0</v>
      </c>
      <c r="G10" s="15">
        <v>0</v>
      </c>
      <c r="H10" s="15">
        <v>0.4</v>
      </c>
      <c r="I10" s="15">
        <v>0</v>
      </c>
      <c r="J10" s="106" t="s">
        <v>12</v>
      </c>
      <c r="K10" s="591" t="s">
        <v>313</v>
      </c>
      <c r="L10" s="592"/>
      <c r="M10" s="593"/>
      <c r="N10" s="16" t="s">
        <v>4</v>
      </c>
    </row>
    <row r="11" spans="1:19" s="16" customFormat="1" ht="16.5" customHeight="1" x14ac:dyDescent="0.35">
      <c r="A11" s="589">
        <v>1</v>
      </c>
      <c r="B11" s="14" t="s">
        <v>314</v>
      </c>
      <c r="C11" s="15">
        <f t="shared" ref="C11:C33" si="0">SUM(E11:I11)</f>
        <v>5.48</v>
      </c>
      <c r="D11" s="590">
        <f>'[23]road inventory 2018'!C11</f>
        <v>5.5</v>
      </c>
      <c r="E11" s="594">
        <v>2.87</v>
      </c>
      <c r="F11" s="594">
        <v>0</v>
      </c>
      <c r="G11" s="15">
        <v>0</v>
      </c>
      <c r="H11" s="594">
        <v>2.61</v>
      </c>
      <c r="I11" s="594">
        <v>0</v>
      </c>
      <c r="J11" s="24" t="s">
        <v>12</v>
      </c>
      <c r="K11" s="591" t="s">
        <v>315</v>
      </c>
      <c r="L11" s="24"/>
      <c r="M11" s="593"/>
      <c r="N11" s="16" t="s">
        <v>10</v>
      </c>
      <c r="O11" s="595">
        <f>D34+D68+D81+D88+D105+D144+D165</f>
        <v>457.45</v>
      </c>
      <c r="Q11" s="595">
        <f>D199+D214+D229+D241+D262</f>
        <v>417.85</v>
      </c>
      <c r="S11" s="595">
        <f>D174+D280+D295+D313+D342+D358+D369+C375</f>
        <v>364.36500000000001</v>
      </c>
    </row>
    <row r="12" spans="1:19" ht="16.5" customHeight="1" x14ac:dyDescent="0.35">
      <c r="A12" s="596">
        <v>2</v>
      </c>
      <c r="B12" s="9" t="s">
        <v>212</v>
      </c>
      <c r="C12" s="15">
        <f t="shared" si="0"/>
        <v>0.91999999999999993</v>
      </c>
      <c r="D12" s="590">
        <f>'[23]road inventory 2018'!C12</f>
        <v>0.8</v>
      </c>
      <c r="E12" s="11">
        <v>7.0000000000000007E-2</v>
      </c>
      <c r="F12" s="11">
        <v>0</v>
      </c>
      <c r="G12" s="11">
        <v>0</v>
      </c>
      <c r="H12" s="11">
        <v>0.85</v>
      </c>
      <c r="I12" s="11">
        <v>0</v>
      </c>
      <c r="J12" s="28" t="s">
        <v>10</v>
      </c>
      <c r="K12" s="597" t="s">
        <v>316</v>
      </c>
      <c r="L12" s="28"/>
      <c r="N12" s="3" t="s">
        <v>317</v>
      </c>
    </row>
    <row r="13" spans="1:19" s="16" customFormat="1" ht="17.149999999999999" customHeight="1" x14ac:dyDescent="0.35">
      <c r="A13" s="589">
        <v>3</v>
      </c>
      <c r="B13" s="14" t="s">
        <v>217</v>
      </c>
      <c r="C13" s="15">
        <f t="shared" si="0"/>
        <v>4.97</v>
      </c>
      <c r="D13" s="590">
        <f>'[23]road inventory 2018'!C13</f>
        <v>4.9000000000000004</v>
      </c>
      <c r="E13" s="594">
        <v>0</v>
      </c>
      <c r="F13" s="594">
        <v>0</v>
      </c>
      <c r="G13" s="594">
        <v>0</v>
      </c>
      <c r="H13" s="594">
        <v>4.97</v>
      </c>
      <c r="I13" s="594">
        <v>0</v>
      </c>
      <c r="J13" s="106" t="s">
        <v>12</v>
      </c>
      <c r="K13" s="591" t="s">
        <v>318</v>
      </c>
      <c r="L13" s="24"/>
      <c r="M13" s="593"/>
      <c r="N13" s="16" t="s">
        <v>33</v>
      </c>
      <c r="O13" s="595">
        <f>O11+Q11+S11</f>
        <v>1239.665</v>
      </c>
    </row>
    <row r="14" spans="1:19" ht="17.149999999999999" customHeight="1" x14ac:dyDescent="0.35">
      <c r="A14" s="596">
        <v>4</v>
      </c>
      <c r="B14" s="9" t="s">
        <v>211</v>
      </c>
      <c r="C14" s="15">
        <f t="shared" si="0"/>
        <v>2.67</v>
      </c>
      <c r="D14" s="590">
        <f>'[23]road inventory 2018'!C14</f>
        <v>2.7</v>
      </c>
      <c r="E14" s="11">
        <v>0.11</v>
      </c>
      <c r="F14" s="11">
        <v>0</v>
      </c>
      <c r="G14" s="11">
        <v>0</v>
      </c>
      <c r="H14" s="11">
        <v>2.56</v>
      </c>
      <c r="I14" s="11">
        <v>0</v>
      </c>
      <c r="J14" s="103" t="s">
        <v>33</v>
      </c>
      <c r="K14" s="597" t="s">
        <v>320</v>
      </c>
      <c r="L14" s="28"/>
      <c r="N14" s="3" t="s">
        <v>41</v>
      </c>
    </row>
    <row r="15" spans="1:19" ht="17.149999999999999" customHeight="1" x14ac:dyDescent="0.35">
      <c r="A15" s="596">
        <v>93</v>
      </c>
      <c r="B15" s="9" t="s">
        <v>13</v>
      </c>
      <c r="C15" s="15">
        <f t="shared" si="0"/>
        <v>3.9</v>
      </c>
      <c r="D15" s="590">
        <f>'[23]road inventory 2018'!C15</f>
        <v>3.9</v>
      </c>
      <c r="E15" s="11">
        <v>3.9</v>
      </c>
      <c r="F15" s="11">
        <v>0</v>
      </c>
      <c r="G15" s="11">
        <v>0</v>
      </c>
      <c r="H15" s="11">
        <v>0</v>
      </c>
      <c r="I15" s="11">
        <v>0</v>
      </c>
      <c r="J15" s="103" t="str">
        <f>N11</f>
        <v>Good</v>
      </c>
      <c r="K15" s="597" t="s">
        <v>320</v>
      </c>
      <c r="L15" s="28"/>
      <c r="O15" s="38">
        <f>D280+D287+D292+D302+D307+D308+D309+D311+D322+D330+D335+D337+D340+D353+D354+D355+D356</f>
        <v>175.05999999999997</v>
      </c>
      <c r="Q15" s="38">
        <f>Q9-O15</f>
        <v>1.3060000000000116</v>
      </c>
    </row>
    <row r="16" spans="1:19" s="16" customFormat="1" ht="17.149999999999999" customHeight="1" x14ac:dyDescent="0.35">
      <c r="A16" s="589">
        <v>218</v>
      </c>
      <c r="B16" s="14" t="s">
        <v>213</v>
      </c>
      <c r="C16" s="15">
        <f t="shared" si="0"/>
        <v>5.61</v>
      </c>
      <c r="D16" s="590">
        <f>'[23]road inventory 2018'!C16</f>
        <v>5.8</v>
      </c>
      <c r="E16" s="594">
        <v>0</v>
      </c>
      <c r="F16" s="594">
        <v>0</v>
      </c>
      <c r="G16" s="594">
        <v>0</v>
      </c>
      <c r="H16" s="594">
        <v>5.61</v>
      </c>
      <c r="I16" s="594">
        <v>0</v>
      </c>
      <c r="J16" s="106" t="s">
        <v>12</v>
      </c>
      <c r="K16" s="591" t="s">
        <v>316</v>
      </c>
      <c r="L16" s="24"/>
      <c r="M16" s="593"/>
      <c r="N16" s="598"/>
    </row>
    <row r="17" spans="1:17" s="16" customFormat="1" ht="17.149999999999999" customHeight="1" x14ac:dyDescent="0.35">
      <c r="A17" s="589">
        <v>5</v>
      </c>
      <c r="B17" s="14" t="s">
        <v>16</v>
      </c>
      <c r="C17" s="15">
        <f t="shared" si="0"/>
        <v>2.85</v>
      </c>
      <c r="D17" s="590">
        <f>'[23]road inventory 2018'!C17</f>
        <v>2.8</v>
      </c>
      <c r="E17" s="594">
        <v>2.85</v>
      </c>
      <c r="F17" s="594">
        <v>0</v>
      </c>
      <c r="G17" s="594">
        <v>0</v>
      </c>
      <c r="H17" s="594">
        <v>0</v>
      </c>
      <c r="I17" s="594">
        <v>0</v>
      </c>
      <c r="J17" s="106" t="s">
        <v>10</v>
      </c>
      <c r="K17" s="591" t="s">
        <v>320</v>
      </c>
      <c r="L17" s="24"/>
      <c r="M17" s="593"/>
      <c r="N17" s="598"/>
      <c r="O17" s="595">
        <f>D28+D45+D50+D76+Q65</f>
        <v>11.829999999999998</v>
      </c>
    </row>
    <row r="18" spans="1:17" ht="17.149999999999999" customHeight="1" x14ac:dyDescent="0.35">
      <c r="A18" s="596">
        <v>6</v>
      </c>
      <c r="B18" s="9" t="s">
        <v>220</v>
      </c>
      <c r="C18" s="15">
        <f t="shared" si="0"/>
        <v>3.96</v>
      </c>
      <c r="D18" s="590">
        <f>'[23]road inventory 2018'!C18</f>
        <v>3.9</v>
      </c>
      <c r="E18" s="11">
        <v>2.7</v>
      </c>
      <c r="F18" s="11">
        <v>0</v>
      </c>
      <c r="G18" s="11">
        <v>0</v>
      </c>
      <c r="H18" s="11">
        <v>1.26</v>
      </c>
      <c r="I18" s="11">
        <v>0</v>
      </c>
      <c r="J18" s="103" t="s">
        <v>10</v>
      </c>
      <c r="K18" s="597" t="s">
        <v>315</v>
      </c>
      <c r="L18" s="28"/>
    </row>
    <row r="19" spans="1:17" s="16" customFormat="1" ht="17.149999999999999" customHeight="1" x14ac:dyDescent="0.35">
      <c r="A19" s="589">
        <v>7</v>
      </c>
      <c r="B19" s="14" t="s">
        <v>205</v>
      </c>
      <c r="C19" s="15">
        <f t="shared" si="0"/>
        <v>1.1499999999999999</v>
      </c>
      <c r="D19" s="590">
        <f>'[23]road inventory 2018'!C19</f>
        <v>1.1000000000000001</v>
      </c>
      <c r="E19" s="594">
        <v>1.1499999999999999</v>
      </c>
      <c r="F19" s="594">
        <v>0</v>
      </c>
      <c r="G19" s="594">
        <v>0</v>
      </c>
      <c r="H19" s="594">
        <v>0</v>
      </c>
      <c r="I19" s="594">
        <v>0</v>
      </c>
      <c r="J19" s="106" t="s">
        <v>10</v>
      </c>
      <c r="K19" s="591" t="s">
        <v>321</v>
      </c>
      <c r="L19" s="24"/>
      <c r="M19" s="593"/>
      <c r="N19" s="599" t="s">
        <v>322</v>
      </c>
      <c r="Q19" s="16" t="s">
        <v>323</v>
      </c>
    </row>
    <row r="20" spans="1:17" s="16" customFormat="1" ht="17.149999999999999" customHeight="1" x14ac:dyDescent="0.35">
      <c r="A20" s="589">
        <v>8</v>
      </c>
      <c r="B20" s="14" t="s">
        <v>324</v>
      </c>
      <c r="C20" s="15">
        <f t="shared" si="0"/>
        <v>0.64</v>
      </c>
      <c r="D20" s="590">
        <f>'[23]road inventory 2018'!C20</f>
        <v>0.6</v>
      </c>
      <c r="E20" s="594">
        <v>0.64</v>
      </c>
      <c r="F20" s="594">
        <v>0</v>
      </c>
      <c r="G20" s="594">
        <v>0</v>
      </c>
      <c r="H20" s="594">
        <v>0</v>
      </c>
      <c r="I20" s="594">
        <v>0</v>
      </c>
      <c r="J20" s="106" t="s">
        <v>10</v>
      </c>
      <c r="K20" s="591" t="s">
        <v>325</v>
      </c>
      <c r="L20" s="24"/>
      <c r="M20" s="593"/>
      <c r="N20" s="16" t="s">
        <v>182</v>
      </c>
      <c r="O20" s="595">
        <f>C10+C11+C12+C13+C15+C16+C17+C18+C19+C20+C21+C22+C23+C24+C27+C29+C30+C31+C32</f>
        <v>81.36</v>
      </c>
      <c r="Q20" s="595">
        <f>O20</f>
        <v>81.36</v>
      </c>
    </row>
    <row r="21" spans="1:17" s="16" customFormat="1" ht="17.149999999999999" customHeight="1" x14ac:dyDescent="0.35">
      <c r="A21" s="589">
        <v>9</v>
      </c>
      <c r="B21" s="14" t="s">
        <v>19</v>
      </c>
      <c r="C21" s="15">
        <f t="shared" si="0"/>
        <v>9.3000000000000007</v>
      </c>
      <c r="D21" s="590">
        <f>'[23]road inventory 2018'!C21</f>
        <v>9</v>
      </c>
      <c r="E21" s="594">
        <v>9.3000000000000007</v>
      </c>
      <c r="F21" s="594">
        <v>0</v>
      </c>
      <c r="G21" s="594">
        <v>0</v>
      </c>
      <c r="H21" s="594">
        <v>0</v>
      </c>
      <c r="I21" s="594">
        <v>0</v>
      </c>
      <c r="J21" s="106" t="s">
        <v>10</v>
      </c>
      <c r="K21" s="591" t="s">
        <v>326</v>
      </c>
      <c r="L21" s="24"/>
      <c r="M21" s="593"/>
      <c r="N21" s="598" t="s">
        <v>183</v>
      </c>
      <c r="O21" s="595">
        <f>C41+C42+C43+C44+C45+C46+C47+C48+C49+C50+C51++C52+C55+C56+C57+C58+C59+C60+C61+C64+C67</f>
        <v>74.349999999999994</v>
      </c>
      <c r="Q21" s="595">
        <f>O21</f>
        <v>74.349999999999994</v>
      </c>
    </row>
    <row r="22" spans="1:17" s="16" customFormat="1" ht="17.149999999999999" customHeight="1" x14ac:dyDescent="0.35">
      <c r="A22" s="589">
        <v>10</v>
      </c>
      <c r="B22" s="14" t="s">
        <v>23</v>
      </c>
      <c r="C22" s="15">
        <f t="shared" si="0"/>
        <v>13.79</v>
      </c>
      <c r="D22" s="590">
        <f>'[23]road inventory 2018'!C22</f>
        <v>13.6</v>
      </c>
      <c r="E22" s="594">
        <v>8.7899999999999991</v>
      </c>
      <c r="F22" s="594">
        <v>0</v>
      </c>
      <c r="G22" s="594">
        <v>0</v>
      </c>
      <c r="H22" s="594">
        <v>5</v>
      </c>
      <c r="I22" s="594">
        <v>0</v>
      </c>
      <c r="J22" s="106" t="str">
        <f>J21</f>
        <v>Good</v>
      </c>
      <c r="K22" s="591" t="s">
        <v>327</v>
      </c>
      <c r="L22" s="24"/>
      <c r="M22" s="593"/>
      <c r="N22" s="598" t="s">
        <v>184</v>
      </c>
      <c r="O22" s="595">
        <f>C74+C75+C76+C77+C78+C79</f>
        <v>28.019999999999996</v>
      </c>
      <c r="Q22" s="595">
        <f>O22</f>
        <v>28.019999999999996</v>
      </c>
    </row>
    <row r="23" spans="1:17" s="16" customFormat="1" ht="17.149999999999999" customHeight="1" x14ac:dyDescent="0.35">
      <c r="A23" s="589">
        <v>11</v>
      </c>
      <c r="B23" s="14" t="s">
        <v>223</v>
      </c>
      <c r="C23" s="15">
        <f t="shared" si="0"/>
        <v>2.27</v>
      </c>
      <c r="D23" s="590">
        <f>'[23]road inventory 2018'!C23</f>
        <v>2.2000000000000002</v>
      </c>
      <c r="E23" s="594">
        <v>0.21</v>
      </c>
      <c r="F23" s="594">
        <v>0</v>
      </c>
      <c r="G23" s="594">
        <v>0</v>
      </c>
      <c r="H23" s="594">
        <v>2.06</v>
      </c>
      <c r="I23" s="594">
        <v>0</v>
      </c>
      <c r="J23" s="106" t="s">
        <v>12</v>
      </c>
      <c r="K23" s="591" t="s">
        <v>328</v>
      </c>
      <c r="L23" s="24"/>
      <c r="M23" s="593"/>
      <c r="N23" s="598" t="s">
        <v>185</v>
      </c>
      <c r="O23" s="600">
        <f>C88</f>
        <v>3.28</v>
      </c>
      <c r="Q23" s="600">
        <f>O23</f>
        <v>3.28</v>
      </c>
    </row>
    <row r="24" spans="1:17" s="16" customFormat="1" ht="17.149999999999999" customHeight="1" x14ac:dyDescent="0.35">
      <c r="A24" s="589">
        <v>13</v>
      </c>
      <c r="B24" s="14" t="s">
        <v>218</v>
      </c>
      <c r="C24" s="15">
        <f t="shared" si="0"/>
        <v>1.72</v>
      </c>
      <c r="D24" s="590">
        <f>'[23]road inventory 2018'!C24</f>
        <v>1.7</v>
      </c>
      <c r="E24" s="594">
        <v>0</v>
      </c>
      <c r="F24" s="594">
        <v>0</v>
      </c>
      <c r="G24" s="594">
        <v>0</v>
      </c>
      <c r="H24" s="594">
        <v>1.72</v>
      </c>
      <c r="I24" s="594">
        <v>0</v>
      </c>
      <c r="J24" s="106" t="s">
        <v>12</v>
      </c>
      <c r="K24" s="591" t="s">
        <v>329</v>
      </c>
      <c r="L24" s="24"/>
      <c r="M24" s="593"/>
      <c r="N24" s="598" t="s">
        <v>330</v>
      </c>
      <c r="O24" s="595">
        <f>C96+C98+C99+C100+C101+C102</f>
        <v>26.35</v>
      </c>
      <c r="Q24" s="595">
        <f>O24</f>
        <v>26.35</v>
      </c>
    </row>
    <row r="25" spans="1:17" ht="17.149999999999999" customHeight="1" x14ac:dyDescent="0.35">
      <c r="A25" s="596">
        <v>12</v>
      </c>
      <c r="B25" s="9" t="s">
        <v>222</v>
      </c>
      <c r="C25" s="15">
        <f t="shared" si="0"/>
        <v>1.62</v>
      </c>
      <c r="D25" s="590">
        <f>'[23]road inventory 2018'!C25</f>
        <v>1.6</v>
      </c>
      <c r="E25" s="11">
        <v>0</v>
      </c>
      <c r="F25" s="11">
        <v>0</v>
      </c>
      <c r="G25" s="11">
        <v>0</v>
      </c>
      <c r="H25" s="11">
        <v>1.62</v>
      </c>
      <c r="I25" s="11">
        <v>0</v>
      </c>
      <c r="J25" s="103" t="s">
        <v>33</v>
      </c>
      <c r="K25" s="597" t="s">
        <v>331</v>
      </c>
      <c r="L25" s="28"/>
      <c r="N25" s="583" t="s">
        <v>332</v>
      </c>
      <c r="O25" s="38">
        <f>C112+C113+C114+C115+C116+C117+C118+C119+C120+C123+C124+C125+C126+C127+C128+C129+C130+C131+C132+C133+C136+C137+C138+C139+C140+C142+C143</f>
        <v>107.36000000000001</v>
      </c>
      <c r="Q25" s="595">
        <f t="shared" ref="Q25:Q30" si="1">O25</f>
        <v>107.36000000000001</v>
      </c>
    </row>
    <row r="26" spans="1:17" s="16" customFormat="1" ht="17.149999999999999" customHeight="1" x14ac:dyDescent="0.35">
      <c r="A26" s="589">
        <v>220</v>
      </c>
      <c r="B26" s="14" t="s">
        <v>221</v>
      </c>
      <c r="C26" s="15">
        <f t="shared" si="0"/>
        <v>2.11</v>
      </c>
      <c r="D26" s="590">
        <f>'[23]road inventory 2018'!C26</f>
        <v>2.2999999999999998</v>
      </c>
      <c r="E26" s="594">
        <v>0</v>
      </c>
      <c r="F26" s="594">
        <v>0</v>
      </c>
      <c r="G26" s="594">
        <v>0</v>
      </c>
      <c r="H26" s="594">
        <v>2.11</v>
      </c>
      <c r="I26" s="594">
        <v>0</v>
      </c>
      <c r="J26" s="106" t="s">
        <v>33</v>
      </c>
      <c r="K26" s="591" t="s">
        <v>333</v>
      </c>
      <c r="L26" s="24"/>
      <c r="M26" s="593"/>
      <c r="N26" s="598" t="s">
        <v>188</v>
      </c>
      <c r="O26" s="595">
        <f>C151+C152+C153+C159+C161</f>
        <v>10.66</v>
      </c>
      <c r="Q26" s="595">
        <f t="shared" si="1"/>
        <v>10.66</v>
      </c>
    </row>
    <row r="27" spans="1:17" s="16" customFormat="1" ht="17.149999999999999" customHeight="1" x14ac:dyDescent="0.35">
      <c r="A27" s="589">
        <v>14</v>
      </c>
      <c r="B27" s="14" t="s">
        <v>215</v>
      </c>
      <c r="C27" s="15">
        <f t="shared" si="0"/>
        <v>4.12</v>
      </c>
      <c r="D27" s="590">
        <f>'[23]road inventory 2018'!C27</f>
        <v>4</v>
      </c>
      <c r="E27" s="594">
        <v>4.12</v>
      </c>
      <c r="F27" s="594">
        <v>0</v>
      </c>
      <c r="G27" s="594">
        <v>0</v>
      </c>
      <c r="H27" s="594">
        <v>0</v>
      </c>
      <c r="I27" s="594">
        <v>0</v>
      </c>
      <c r="J27" s="106" t="s">
        <v>10</v>
      </c>
      <c r="K27" s="591" t="s">
        <v>327</v>
      </c>
      <c r="L27" s="24"/>
      <c r="M27" s="593"/>
      <c r="N27" s="598" t="s">
        <v>189</v>
      </c>
      <c r="O27" s="595">
        <f>C172+C173</f>
        <v>18.670000000000002</v>
      </c>
      <c r="Q27" s="595">
        <f t="shared" si="1"/>
        <v>18.670000000000002</v>
      </c>
    </row>
    <row r="28" spans="1:17" ht="17.149999999999999" customHeight="1" x14ac:dyDescent="0.35">
      <c r="A28" s="596">
        <v>15</v>
      </c>
      <c r="B28" s="9" t="s">
        <v>334</v>
      </c>
      <c r="C28" s="15">
        <f t="shared" si="0"/>
        <v>0</v>
      </c>
      <c r="D28" s="10">
        <f>'[23]road inventory 2018'!C28</f>
        <v>3.2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03" t="s">
        <v>33</v>
      </c>
      <c r="K28" s="597" t="s">
        <v>335</v>
      </c>
      <c r="L28" s="28" t="s">
        <v>336</v>
      </c>
      <c r="N28" s="583" t="s">
        <v>191</v>
      </c>
      <c r="O28" s="38">
        <f>C182+C183+C186+C188+C189+C190+C193+C192+C194+C195+C196+C197+C198</f>
        <v>108.29</v>
      </c>
      <c r="Q28" s="38">
        <f t="shared" si="1"/>
        <v>108.29</v>
      </c>
    </row>
    <row r="29" spans="1:17" s="16" customFormat="1" ht="17.149999999999999" customHeight="1" x14ac:dyDescent="0.35">
      <c r="A29" s="589">
        <v>16</v>
      </c>
      <c r="B29" s="14" t="s">
        <v>25</v>
      </c>
      <c r="C29" s="15">
        <f t="shared" si="0"/>
        <v>1.05</v>
      </c>
      <c r="D29" s="590">
        <f>'[23]road inventory 2018'!C29</f>
        <v>1</v>
      </c>
      <c r="E29" s="594">
        <v>0</v>
      </c>
      <c r="F29" s="594">
        <v>0</v>
      </c>
      <c r="G29" s="594">
        <v>0</v>
      </c>
      <c r="H29" s="594">
        <v>1.05</v>
      </c>
      <c r="I29" s="594">
        <v>0</v>
      </c>
      <c r="J29" s="106" t="s">
        <v>12</v>
      </c>
      <c r="K29" s="591" t="s">
        <v>337</v>
      </c>
      <c r="L29" s="24"/>
      <c r="M29" s="593"/>
      <c r="N29" s="598" t="s">
        <v>338</v>
      </c>
      <c r="O29" s="595">
        <f>C206+C207+C209+C210+C212+C213</f>
        <v>71.400000000000006</v>
      </c>
      <c r="Q29" s="595">
        <f t="shared" si="1"/>
        <v>71.400000000000006</v>
      </c>
    </row>
    <row r="30" spans="1:17" s="16" customFormat="1" ht="17.149999999999999" customHeight="1" x14ac:dyDescent="0.35">
      <c r="A30" s="589">
        <v>17</v>
      </c>
      <c r="B30" s="14" t="s">
        <v>216</v>
      </c>
      <c r="C30" s="15">
        <f t="shared" si="0"/>
        <v>4.18</v>
      </c>
      <c r="D30" s="590">
        <f>'[23]road inventory 2018'!C30</f>
        <v>4</v>
      </c>
      <c r="E30" s="594">
        <v>4.18</v>
      </c>
      <c r="F30" s="594">
        <v>0</v>
      </c>
      <c r="G30" s="594">
        <v>0</v>
      </c>
      <c r="H30" s="594">
        <v>0</v>
      </c>
      <c r="I30" s="594">
        <v>0</v>
      </c>
      <c r="J30" s="106" t="s">
        <v>12</v>
      </c>
      <c r="K30" s="591" t="s">
        <v>339</v>
      </c>
      <c r="L30" s="24"/>
      <c r="M30" s="593"/>
      <c r="N30" s="598" t="s">
        <v>193</v>
      </c>
      <c r="O30" s="595">
        <f>C221+C222+C223+C224+C226+C227+C228</f>
        <v>88.617000000000004</v>
      </c>
      <c r="Q30" s="595">
        <f t="shared" si="1"/>
        <v>88.617000000000004</v>
      </c>
    </row>
    <row r="31" spans="1:17" s="16" customFormat="1" ht="16.149999999999999" customHeight="1" x14ac:dyDescent="0.35">
      <c r="A31" s="589">
        <v>18</v>
      </c>
      <c r="B31" s="14" t="s">
        <v>27</v>
      </c>
      <c r="C31" s="15">
        <f t="shared" si="0"/>
        <v>10.52</v>
      </c>
      <c r="D31" s="590">
        <f>'[23]road inventory 2018'!C31</f>
        <v>10.5</v>
      </c>
      <c r="E31" s="594">
        <v>4.54</v>
      </c>
      <c r="F31" s="594">
        <v>0</v>
      </c>
      <c r="G31" s="594">
        <v>0</v>
      </c>
      <c r="H31" s="594">
        <v>5.98</v>
      </c>
      <c r="I31" s="594">
        <v>0</v>
      </c>
      <c r="J31" s="106" t="s">
        <v>12</v>
      </c>
      <c r="K31" s="591" t="s">
        <v>335</v>
      </c>
      <c r="L31" s="24"/>
      <c r="M31" s="593"/>
      <c r="N31" s="598" t="s">
        <v>194</v>
      </c>
      <c r="O31" s="595">
        <f>C237+C239</f>
        <v>9</v>
      </c>
      <c r="Q31" s="595">
        <f>O31</f>
        <v>9</v>
      </c>
    </row>
    <row r="32" spans="1:17" s="16" customFormat="1" ht="27" customHeight="1" x14ac:dyDescent="0.35">
      <c r="A32" s="589">
        <v>221</v>
      </c>
      <c r="B32" s="14" t="s">
        <v>219</v>
      </c>
      <c r="C32" s="15">
        <f t="shared" si="0"/>
        <v>4.53</v>
      </c>
      <c r="D32" s="590">
        <f>'[23]road inventory 2018'!C32</f>
        <v>5.2</v>
      </c>
      <c r="E32" s="594">
        <v>0</v>
      </c>
      <c r="F32" s="594">
        <v>0</v>
      </c>
      <c r="G32" s="594">
        <v>0</v>
      </c>
      <c r="H32" s="594">
        <v>4.53</v>
      </c>
      <c r="I32" s="594">
        <v>0</v>
      </c>
      <c r="J32" s="106" t="s">
        <v>12</v>
      </c>
      <c r="K32" s="591" t="s">
        <v>340</v>
      </c>
      <c r="L32" s="24"/>
      <c r="M32" s="593"/>
      <c r="N32" s="598" t="s">
        <v>195</v>
      </c>
      <c r="O32" s="595">
        <f>C248+C249+C250+C251+C252+C255+C256+C260+C261</f>
        <v>55.499999999999993</v>
      </c>
      <c r="Q32" s="595">
        <f>O32</f>
        <v>55.499999999999993</v>
      </c>
    </row>
    <row r="33" spans="1:17" ht="15" customHeight="1" x14ac:dyDescent="0.35">
      <c r="A33" s="596">
        <v>20</v>
      </c>
      <c r="B33" s="9" t="s">
        <v>208</v>
      </c>
      <c r="C33" s="15">
        <f t="shared" si="0"/>
        <v>7.63</v>
      </c>
      <c r="D33" s="590">
        <f>'[23]road inventory 2018'!C33</f>
        <v>7.6</v>
      </c>
      <c r="E33" s="11">
        <v>0</v>
      </c>
      <c r="F33" s="11">
        <v>0</v>
      </c>
      <c r="G33" s="11">
        <v>0</v>
      </c>
      <c r="H33" s="11">
        <v>7.63</v>
      </c>
      <c r="I33" s="11">
        <v>0</v>
      </c>
      <c r="J33" s="103" t="s">
        <v>41</v>
      </c>
      <c r="K33" s="597"/>
      <c r="L33" s="28"/>
      <c r="N33" s="583" t="s">
        <v>196</v>
      </c>
      <c r="O33" s="38">
        <f>C270+C275+C276</f>
        <v>10.1</v>
      </c>
      <c r="Q33" s="3">
        <v>0</v>
      </c>
    </row>
    <row r="34" spans="1:17" ht="15" customHeight="1" x14ac:dyDescent="0.35">
      <c r="A34" s="601"/>
      <c r="B34" s="602"/>
      <c r="C34" s="603">
        <f t="shared" ref="C34:I34" si="2">SUM(C10:C33)</f>
        <v>95.389999999999972</v>
      </c>
      <c r="D34" s="604">
        <f t="shared" si="2"/>
        <v>98.550000000000011</v>
      </c>
      <c r="E34" s="603">
        <f t="shared" si="2"/>
        <v>45.43</v>
      </c>
      <c r="F34" s="603">
        <f t="shared" si="2"/>
        <v>0</v>
      </c>
      <c r="G34" s="603">
        <f t="shared" si="2"/>
        <v>0</v>
      </c>
      <c r="H34" s="603">
        <f t="shared" si="2"/>
        <v>49.96</v>
      </c>
      <c r="I34" s="603">
        <f t="shared" si="2"/>
        <v>0</v>
      </c>
      <c r="J34" s="109"/>
      <c r="K34" s="605"/>
      <c r="L34" s="28"/>
      <c r="N34" s="583" t="s">
        <v>197</v>
      </c>
      <c r="O34" s="38">
        <f>C287+C288+C290+C291+C293</f>
        <v>27.7</v>
      </c>
      <c r="Q34" s="38">
        <f>C288+C290+C291+C293</f>
        <v>15.010000000000002</v>
      </c>
    </row>
    <row r="35" spans="1:17" s="1" customFormat="1" ht="22.5" customHeight="1" thickBot="1" x14ac:dyDescent="0.4">
      <c r="A35" s="606" t="s">
        <v>341</v>
      </c>
      <c r="B35" s="18"/>
      <c r="C35" s="19">
        <f>E35+F35+G35+H35+I35</f>
        <v>95.39</v>
      </c>
      <c r="D35" s="607"/>
      <c r="E35" s="19">
        <f>SUM(E10:E33)</f>
        <v>45.43</v>
      </c>
      <c r="F35" s="19">
        <f>SUM(F10:F33)</f>
        <v>0</v>
      </c>
      <c r="G35" s="19">
        <f>SUM(G10:G33)</f>
        <v>0</v>
      </c>
      <c r="H35" s="19">
        <f>SUM(H10:H33)</f>
        <v>49.96</v>
      </c>
      <c r="I35" s="19">
        <f>SUM(I10:I33)</f>
        <v>0</v>
      </c>
      <c r="J35" s="608"/>
      <c r="K35" s="609"/>
      <c r="L35" s="97"/>
      <c r="M35" s="21"/>
      <c r="N35" s="581" t="s">
        <v>198</v>
      </c>
      <c r="O35" s="22">
        <f>C303+C304+C305+C306+C311+C312</f>
        <v>8.82</v>
      </c>
      <c r="Q35" s="22">
        <f>C303+C304+C305+C306+C312</f>
        <v>8.02</v>
      </c>
    </row>
    <row r="36" spans="1:17" s="1" customFormat="1" ht="16" thickBot="1" x14ac:dyDescent="0.4">
      <c r="A36" s="544"/>
      <c r="B36" s="21"/>
      <c r="C36" s="22"/>
      <c r="D36" s="610"/>
      <c r="E36" s="22"/>
      <c r="F36" s="22"/>
      <c r="G36" s="22"/>
      <c r="H36" s="22"/>
      <c r="I36" s="22"/>
      <c r="K36" s="21"/>
      <c r="L36" s="611"/>
      <c r="M36" s="21"/>
      <c r="N36" s="581" t="s">
        <v>199</v>
      </c>
      <c r="O36" s="22">
        <f>C320+C321</f>
        <v>7.25</v>
      </c>
      <c r="Q36" s="1">
        <v>0</v>
      </c>
    </row>
    <row r="37" spans="1:17" s="1" customFormat="1" x14ac:dyDescent="0.35">
      <c r="A37" s="1217" t="s">
        <v>342</v>
      </c>
      <c r="B37" s="1218"/>
      <c r="C37" s="1218"/>
      <c r="D37" s="1218"/>
      <c r="E37" s="1218"/>
      <c r="F37" s="1218"/>
      <c r="G37" s="1218"/>
      <c r="H37" s="1218"/>
      <c r="I37" s="1218"/>
      <c r="J37" s="1218"/>
      <c r="K37" s="1218"/>
      <c r="L37" s="1219"/>
      <c r="M37" s="584"/>
      <c r="N37" s="581" t="s">
        <v>200</v>
      </c>
      <c r="O37" s="22">
        <f>C329+C331+C332+C333+C334+C337+C338+C339+C341</f>
        <v>79.599999999999994</v>
      </c>
      <c r="Q37" s="22">
        <f>C329+C331+C332+C333+C334+C338+C339+C341</f>
        <v>77.180000000000007</v>
      </c>
    </row>
    <row r="38" spans="1:17" s="1" customFormat="1" ht="16" thickBot="1" x14ac:dyDescent="0.4">
      <c r="A38" s="585"/>
      <c r="B38" s="2"/>
      <c r="C38" s="5"/>
      <c r="D38" s="586"/>
      <c r="E38" s="5"/>
      <c r="F38" s="5"/>
      <c r="G38" s="5"/>
      <c r="H38" s="5"/>
      <c r="I38" s="5"/>
      <c r="J38" s="3"/>
      <c r="K38" s="21"/>
      <c r="L38" s="18"/>
      <c r="M38" s="21"/>
      <c r="N38" s="581" t="s">
        <v>201</v>
      </c>
      <c r="O38" s="612">
        <f>C351+C352+C354+C355</f>
        <v>34.027999999999999</v>
      </c>
      <c r="Q38" s="612">
        <f>C351+C352</f>
        <v>13.027999999999999</v>
      </c>
    </row>
    <row r="39" spans="1:17" s="1" customFormat="1" ht="21" customHeight="1" x14ac:dyDescent="0.35">
      <c r="A39" s="1206" t="s">
        <v>302</v>
      </c>
      <c r="B39" s="1208" t="s">
        <v>28</v>
      </c>
      <c r="C39" s="1210" t="s">
        <v>343</v>
      </c>
      <c r="D39" s="613"/>
      <c r="E39" s="1212" t="s">
        <v>305</v>
      </c>
      <c r="F39" s="1212"/>
      <c r="G39" s="1212"/>
      <c r="H39" s="1212"/>
      <c r="I39" s="1212"/>
      <c r="J39" s="1208" t="s">
        <v>29</v>
      </c>
      <c r="K39" s="1213" t="s">
        <v>306</v>
      </c>
      <c r="L39" s="1222" t="s">
        <v>307</v>
      </c>
      <c r="M39" s="588"/>
      <c r="N39" s="581" t="s">
        <v>202</v>
      </c>
      <c r="O39" s="612">
        <f>C364+C365+C366+C367</f>
        <v>24.68</v>
      </c>
      <c r="Q39" s="612">
        <f>C364+C365+C366+C367</f>
        <v>24.68</v>
      </c>
    </row>
    <row r="40" spans="1:17" s="1" customFormat="1" ht="21" customHeight="1" thickBot="1" x14ac:dyDescent="0.4">
      <c r="A40" s="1207"/>
      <c r="B40" s="1209"/>
      <c r="C40" s="1211"/>
      <c r="D40" s="614"/>
      <c r="E40" s="7" t="s">
        <v>308</v>
      </c>
      <c r="F40" s="7" t="s">
        <v>309</v>
      </c>
      <c r="G40" s="7" t="s">
        <v>310</v>
      </c>
      <c r="H40" s="7" t="s">
        <v>311</v>
      </c>
      <c r="I40" s="7" t="s">
        <v>312</v>
      </c>
      <c r="J40" s="1209"/>
      <c r="K40" s="1214"/>
      <c r="L40" s="1223"/>
      <c r="M40" s="588"/>
      <c r="N40" s="581" t="s">
        <v>344</v>
      </c>
      <c r="O40" s="22">
        <f>C375</f>
        <v>8.7409999999999997</v>
      </c>
      <c r="Q40" s="1">
        <v>0</v>
      </c>
    </row>
    <row r="41" spans="1:17" s="1" customFormat="1" ht="16.5" customHeight="1" x14ac:dyDescent="0.35">
      <c r="A41" s="596">
        <v>21</v>
      </c>
      <c r="B41" s="28" t="s">
        <v>241</v>
      </c>
      <c r="C41" s="10">
        <f>SUM(E41:I41)</f>
        <v>4.32</v>
      </c>
      <c r="D41" s="615">
        <f>'[23]road inventory 2018'!C41</f>
        <v>4.3</v>
      </c>
      <c r="E41" s="10">
        <v>4.1100000000000003</v>
      </c>
      <c r="F41" s="10">
        <v>0</v>
      </c>
      <c r="G41" s="10">
        <v>0</v>
      </c>
      <c r="H41" s="10">
        <v>0.21</v>
      </c>
      <c r="I41" s="10">
        <v>0</v>
      </c>
      <c r="J41" s="103" t="s">
        <v>10</v>
      </c>
      <c r="K41" s="597" t="s">
        <v>345</v>
      </c>
      <c r="L41" s="112"/>
      <c r="M41" s="2"/>
      <c r="N41" s="616" t="str">
        <f>N19</f>
        <v>GOOD TO FAIR (TOTAL LENGTH)</v>
      </c>
      <c r="O41" s="22">
        <f>SUM(O20:O40)</f>
        <v>883.77600000000007</v>
      </c>
      <c r="P41" s="22">
        <f>C380-O41</f>
        <v>340.40399999999977</v>
      </c>
      <c r="Q41" s="22">
        <f>SUM(Q20:Q40)</f>
        <v>820.77499999999998</v>
      </c>
    </row>
    <row r="42" spans="1:17" s="26" customFormat="1" ht="16.5" customHeight="1" x14ac:dyDescent="0.35">
      <c r="A42" s="589">
        <v>22</v>
      </c>
      <c r="B42" s="24" t="s">
        <v>225</v>
      </c>
      <c r="C42" s="10">
        <f t="shared" ref="C42:C67" si="3">SUM(E42:I42)</f>
        <v>4.01</v>
      </c>
      <c r="D42" s="615">
        <f>'[23]road inventory 2018'!C42</f>
        <v>3.9</v>
      </c>
      <c r="E42" s="15">
        <v>0</v>
      </c>
      <c r="F42" s="15">
        <v>0</v>
      </c>
      <c r="G42" s="15">
        <v>0</v>
      </c>
      <c r="H42" s="15">
        <v>4.01</v>
      </c>
      <c r="I42" s="15">
        <v>0</v>
      </c>
      <c r="J42" s="106" t="s">
        <v>12</v>
      </c>
      <c r="K42" s="591" t="s">
        <v>346</v>
      </c>
      <c r="L42" s="24"/>
      <c r="M42" s="593"/>
      <c r="N42" s="617"/>
    </row>
    <row r="43" spans="1:17" s="26" customFormat="1" ht="16.5" customHeight="1" x14ac:dyDescent="0.35">
      <c r="A43" s="589">
        <v>23</v>
      </c>
      <c r="B43" s="24" t="s">
        <v>237</v>
      </c>
      <c r="C43" s="10">
        <f t="shared" si="3"/>
        <v>4.42</v>
      </c>
      <c r="D43" s="615">
        <f>'[23]road inventory 2018'!C43</f>
        <v>4.3</v>
      </c>
      <c r="E43" s="15">
        <v>2.9</v>
      </c>
      <c r="F43" s="15">
        <v>0</v>
      </c>
      <c r="G43" s="15">
        <v>0</v>
      </c>
      <c r="H43" s="15">
        <v>1.52</v>
      </c>
      <c r="I43" s="15">
        <v>0</v>
      </c>
      <c r="J43" s="106" t="s">
        <v>12</v>
      </c>
      <c r="K43" s="591" t="s">
        <v>347</v>
      </c>
      <c r="L43" s="24"/>
      <c r="M43" s="593"/>
      <c r="N43" s="617"/>
    </row>
    <row r="44" spans="1:17" s="26" customFormat="1" ht="16.5" customHeight="1" x14ac:dyDescent="0.35">
      <c r="A44" s="589">
        <v>24</v>
      </c>
      <c r="B44" s="24" t="s">
        <v>236</v>
      </c>
      <c r="C44" s="10">
        <f t="shared" si="3"/>
        <v>8.25</v>
      </c>
      <c r="D44" s="615">
        <f>'[23]road inventory 2018'!C44</f>
        <v>7.5</v>
      </c>
      <c r="E44" s="15">
        <v>8.25</v>
      </c>
      <c r="F44" s="15">
        <v>0</v>
      </c>
      <c r="G44" s="15">
        <v>0</v>
      </c>
      <c r="H44" s="15">
        <v>0</v>
      </c>
      <c r="I44" s="15">
        <v>0</v>
      </c>
      <c r="J44" s="106" t="s">
        <v>10</v>
      </c>
      <c r="K44" s="591" t="s">
        <v>347</v>
      </c>
      <c r="L44" s="24"/>
      <c r="M44" s="593"/>
      <c r="N44" s="617"/>
    </row>
    <row r="45" spans="1:17" s="1" customFormat="1" ht="16.5" customHeight="1" x14ac:dyDescent="0.35">
      <c r="A45" s="596">
        <v>25</v>
      </c>
      <c r="B45" s="28" t="s">
        <v>30</v>
      </c>
      <c r="C45" s="10">
        <f t="shared" si="3"/>
        <v>0.88</v>
      </c>
      <c r="D45" s="10">
        <f>'[23]road inventory 2018'!C45</f>
        <v>1.7</v>
      </c>
      <c r="E45" s="10">
        <v>0</v>
      </c>
      <c r="F45" s="10">
        <v>0</v>
      </c>
      <c r="G45" s="10">
        <v>0</v>
      </c>
      <c r="H45" s="10">
        <v>0.88</v>
      </c>
      <c r="I45" s="10">
        <v>0</v>
      </c>
      <c r="J45" s="103" t="s">
        <v>12</v>
      </c>
      <c r="K45" s="597" t="s">
        <v>348</v>
      </c>
      <c r="L45" s="28" t="s">
        <v>833</v>
      </c>
      <c r="M45" s="2"/>
      <c r="N45" s="581" t="s">
        <v>349</v>
      </c>
    </row>
    <row r="46" spans="1:17" s="26" customFormat="1" ht="16.5" customHeight="1" x14ac:dyDescent="0.35">
      <c r="A46" s="589">
        <v>26</v>
      </c>
      <c r="B46" s="24" t="s">
        <v>350</v>
      </c>
      <c r="C46" s="10">
        <f t="shared" si="3"/>
        <v>6.0600000000000005</v>
      </c>
      <c r="D46" s="615">
        <f>'[23]road inventory 2018'!C46</f>
        <v>5.9</v>
      </c>
      <c r="E46" s="15">
        <v>2.85</v>
      </c>
      <c r="F46" s="15">
        <v>0</v>
      </c>
      <c r="G46" s="15">
        <v>0</v>
      </c>
      <c r="H46" s="15">
        <v>3.21</v>
      </c>
      <c r="I46" s="15">
        <v>0</v>
      </c>
      <c r="J46" s="24" t="s">
        <v>12</v>
      </c>
      <c r="K46" s="591" t="s">
        <v>348</v>
      </c>
      <c r="L46" s="24"/>
      <c r="M46" s="593"/>
      <c r="N46" s="617"/>
    </row>
    <row r="47" spans="1:17" s="26" customFormat="1" ht="16.5" customHeight="1" x14ac:dyDescent="0.35">
      <c r="A47" s="589">
        <v>27</v>
      </c>
      <c r="B47" s="24" t="s">
        <v>224</v>
      </c>
      <c r="C47" s="10">
        <f t="shared" si="3"/>
        <v>1.93</v>
      </c>
      <c r="D47" s="615">
        <f>'[23]road inventory 2018'!C47</f>
        <v>1.9</v>
      </c>
      <c r="E47" s="15">
        <v>0.28000000000000003</v>
      </c>
      <c r="F47" s="15">
        <v>0</v>
      </c>
      <c r="G47" s="15">
        <v>0</v>
      </c>
      <c r="H47" s="15">
        <v>1.65</v>
      </c>
      <c r="I47" s="15">
        <v>0</v>
      </c>
      <c r="J47" s="106" t="s">
        <v>12</v>
      </c>
      <c r="K47" s="591" t="s">
        <v>351</v>
      </c>
      <c r="L47" s="24"/>
      <c r="M47" s="593"/>
      <c r="N47" s="617"/>
    </row>
    <row r="48" spans="1:17" s="26" customFormat="1" ht="16.5" customHeight="1" x14ac:dyDescent="0.35">
      <c r="A48" s="589">
        <v>28</v>
      </c>
      <c r="B48" s="24" t="s">
        <v>233</v>
      </c>
      <c r="C48" s="10">
        <f t="shared" si="3"/>
        <v>5.62</v>
      </c>
      <c r="D48" s="615">
        <f>'[23]road inventory 2018'!C48</f>
        <v>5.6</v>
      </c>
      <c r="E48" s="15">
        <v>1.54</v>
      </c>
      <c r="F48" s="15">
        <v>0</v>
      </c>
      <c r="G48" s="15">
        <v>0</v>
      </c>
      <c r="H48" s="15">
        <v>4.08</v>
      </c>
      <c r="I48" s="15">
        <v>0</v>
      </c>
      <c r="J48" s="106" t="s">
        <v>10</v>
      </c>
      <c r="K48" s="591" t="s">
        <v>352</v>
      </c>
      <c r="L48" s="24"/>
      <c r="M48" s="593"/>
      <c r="N48" s="617"/>
    </row>
    <row r="49" spans="1:14" s="26" customFormat="1" ht="16.5" customHeight="1" x14ac:dyDescent="0.35">
      <c r="A49" s="589">
        <v>29</v>
      </c>
      <c r="B49" s="24" t="s">
        <v>239</v>
      </c>
      <c r="C49" s="10">
        <f t="shared" si="3"/>
        <v>0.86</v>
      </c>
      <c r="D49" s="615">
        <f>'[23]road inventory 2018'!C49</f>
        <v>0.8</v>
      </c>
      <c r="E49" s="15">
        <v>0.11</v>
      </c>
      <c r="F49" s="15">
        <v>0</v>
      </c>
      <c r="G49" s="15">
        <v>0</v>
      </c>
      <c r="H49" s="15">
        <v>0.75</v>
      </c>
      <c r="I49" s="15">
        <v>0</v>
      </c>
      <c r="J49" s="106" t="s">
        <v>12</v>
      </c>
      <c r="K49" s="591" t="s">
        <v>353</v>
      </c>
      <c r="L49" s="24"/>
      <c r="M49" s="593"/>
      <c r="N49" s="617"/>
    </row>
    <row r="50" spans="1:14" s="1" customFormat="1" ht="16.5" customHeight="1" x14ac:dyDescent="0.35">
      <c r="A50" s="596">
        <v>30</v>
      </c>
      <c r="B50" s="28" t="s">
        <v>354</v>
      </c>
      <c r="C50" s="10">
        <f t="shared" si="3"/>
        <v>2</v>
      </c>
      <c r="D50" s="615">
        <f>'[23]road inventory 2018'!C50</f>
        <v>2</v>
      </c>
      <c r="E50" s="10">
        <v>1.5</v>
      </c>
      <c r="F50" s="10">
        <v>0</v>
      </c>
      <c r="G50" s="10">
        <v>0</v>
      </c>
      <c r="H50" s="10">
        <v>0.5</v>
      </c>
      <c r="I50" s="10">
        <v>0</v>
      </c>
      <c r="J50" s="103" t="s">
        <v>10</v>
      </c>
      <c r="K50" s="597" t="s">
        <v>355</v>
      </c>
      <c r="L50" s="28" t="s">
        <v>356</v>
      </c>
      <c r="M50" s="2"/>
      <c r="N50" s="581" t="s">
        <v>357</v>
      </c>
    </row>
    <row r="51" spans="1:14" s="26" customFormat="1" ht="16.5" customHeight="1" x14ac:dyDescent="0.35">
      <c r="A51" s="589">
        <v>106</v>
      </c>
      <c r="B51" s="24" t="s">
        <v>238</v>
      </c>
      <c r="C51" s="10">
        <f t="shared" si="3"/>
        <v>3.21</v>
      </c>
      <c r="D51" s="615">
        <f>'[23]road inventory 2018'!C51</f>
        <v>3.2</v>
      </c>
      <c r="E51" s="15">
        <v>3.21</v>
      </c>
      <c r="F51" s="15">
        <v>0</v>
      </c>
      <c r="G51" s="15">
        <v>0</v>
      </c>
      <c r="H51" s="15">
        <v>0</v>
      </c>
      <c r="I51" s="15">
        <v>0</v>
      </c>
      <c r="J51" s="106" t="s">
        <v>10</v>
      </c>
      <c r="K51" s="591" t="s">
        <v>358</v>
      </c>
      <c r="L51" s="24"/>
      <c r="M51" s="593"/>
      <c r="N51" s="617"/>
    </row>
    <row r="52" spans="1:14" s="26" customFormat="1" ht="16.5" customHeight="1" x14ac:dyDescent="0.35">
      <c r="A52" s="589">
        <v>31</v>
      </c>
      <c r="B52" s="24" t="s">
        <v>359</v>
      </c>
      <c r="C52" s="10">
        <f t="shared" si="3"/>
        <v>0.78</v>
      </c>
      <c r="D52" s="615">
        <f>'[23]road inventory 2018'!C52</f>
        <v>0.8</v>
      </c>
      <c r="E52" s="15">
        <v>0.78</v>
      </c>
      <c r="F52" s="15">
        <v>0</v>
      </c>
      <c r="G52" s="15">
        <v>0</v>
      </c>
      <c r="H52" s="15">
        <v>0</v>
      </c>
      <c r="I52" s="15">
        <v>0</v>
      </c>
      <c r="J52" s="106" t="s">
        <v>10</v>
      </c>
      <c r="K52" s="591" t="s">
        <v>360</v>
      </c>
      <c r="L52" s="24"/>
      <c r="M52" s="593"/>
      <c r="N52" s="617"/>
    </row>
    <row r="53" spans="1:14" s="1" customFormat="1" ht="16.5" customHeight="1" x14ac:dyDescent="0.35">
      <c r="A53" s="596">
        <v>32</v>
      </c>
      <c r="B53" s="28" t="s">
        <v>232</v>
      </c>
      <c r="C53" s="10">
        <f t="shared" si="3"/>
        <v>3.01</v>
      </c>
      <c r="D53" s="615">
        <f>'[23]road inventory 2018'!C53</f>
        <v>3</v>
      </c>
      <c r="E53" s="10">
        <v>0</v>
      </c>
      <c r="F53" s="10">
        <v>0</v>
      </c>
      <c r="G53" s="10">
        <v>0</v>
      </c>
      <c r="H53" s="10">
        <v>3.01</v>
      </c>
      <c r="I53" s="10">
        <v>0</v>
      </c>
      <c r="J53" s="103" t="s">
        <v>41</v>
      </c>
      <c r="K53" s="597" t="s">
        <v>361</v>
      </c>
      <c r="L53" s="28"/>
      <c r="M53" s="2"/>
      <c r="N53" s="581"/>
    </row>
    <row r="54" spans="1:14" s="1" customFormat="1" ht="16.5" customHeight="1" x14ac:dyDescent="0.35">
      <c r="A54" s="596">
        <v>33</v>
      </c>
      <c r="B54" s="28" t="s">
        <v>34</v>
      </c>
      <c r="C54" s="10">
        <f t="shared" si="3"/>
        <v>2.4</v>
      </c>
      <c r="D54" s="615">
        <f>'[23]road inventory 2018'!C54</f>
        <v>2.4</v>
      </c>
      <c r="E54" s="10">
        <v>0.25</v>
      </c>
      <c r="F54" s="10">
        <v>0</v>
      </c>
      <c r="G54" s="10">
        <v>0</v>
      </c>
      <c r="H54" s="10">
        <v>2.15</v>
      </c>
      <c r="I54" s="10">
        <v>0</v>
      </c>
      <c r="J54" s="28" t="s">
        <v>33</v>
      </c>
      <c r="K54" s="597" t="s">
        <v>362</v>
      </c>
      <c r="L54" s="28"/>
      <c r="M54" s="2"/>
      <c r="N54" s="581"/>
    </row>
    <row r="55" spans="1:14" s="1" customFormat="1" ht="16.5" customHeight="1" x14ac:dyDescent="0.35">
      <c r="A55" s="596">
        <v>34</v>
      </c>
      <c r="B55" s="28" t="s">
        <v>235</v>
      </c>
      <c r="C55" s="10">
        <f t="shared" si="3"/>
        <v>4.3099999999999996</v>
      </c>
      <c r="D55" s="615">
        <f>'[23]road inventory 2018'!C55</f>
        <v>4.2</v>
      </c>
      <c r="E55" s="10">
        <v>0</v>
      </c>
      <c r="F55" s="10">
        <v>0</v>
      </c>
      <c r="G55" s="10">
        <v>0</v>
      </c>
      <c r="H55" s="10">
        <v>4.3099999999999996</v>
      </c>
      <c r="I55" s="10">
        <v>0</v>
      </c>
      <c r="J55" s="103" t="s">
        <v>12</v>
      </c>
      <c r="K55" s="597" t="s">
        <v>363</v>
      </c>
      <c r="L55" s="28"/>
      <c r="M55" s="2"/>
      <c r="N55" s="581"/>
    </row>
    <row r="56" spans="1:14" s="26" customFormat="1" ht="16.5" customHeight="1" x14ac:dyDescent="0.35">
      <c r="A56" s="589">
        <v>35</v>
      </c>
      <c r="B56" s="24" t="s">
        <v>364</v>
      </c>
      <c r="C56" s="10">
        <f t="shared" si="3"/>
        <v>2.9699999999999998</v>
      </c>
      <c r="D56" s="615">
        <f>'[23]road inventory 2018'!C56</f>
        <v>3</v>
      </c>
      <c r="E56" s="15">
        <v>0.4</v>
      </c>
      <c r="F56" s="15">
        <v>0</v>
      </c>
      <c r="G56" s="15">
        <v>0</v>
      </c>
      <c r="H56" s="15">
        <v>2.57</v>
      </c>
      <c r="I56" s="15">
        <v>0</v>
      </c>
      <c r="J56" s="106" t="s">
        <v>12</v>
      </c>
      <c r="K56" s="591" t="s">
        <v>365</v>
      </c>
      <c r="L56" s="24"/>
      <c r="M56" s="593"/>
      <c r="N56" s="617"/>
    </row>
    <row r="57" spans="1:14" s="26" customFormat="1" ht="16.5" customHeight="1" x14ac:dyDescent="0.35">
      <c r="A57" s="589">
        <v>36</v>
      </c>
      <c r="B57" s="24" t="s">
        <v>366</v>
      </c>
      <c r="C57" s="10">
        <f t="shared" si="3"/>
        <v>6.01</v>
      </c>
      <c r="D57" s="615">
        <f>'[23]road inventory 2018'!C57</f>
        <v>6.2</v>
      </c>
      <c r="E57" s="15">
        <v>0</v>
      </c>
      <c r="F57" s="15">
        <v>0</v>
      </c>
      <c r="G57" s="15">
        <v>0</v>
      </c>
      <c r="H57" s="15">
        <v>6.01</v>
      </c>
      <c r="I57" s="15">
        <v>0</v>
      </c>
      <c r="J57" s="106" t="s">
        <v>12</v>
      </c>
      <c r="K57" s="591" t="s">
        <v>367</v>
      </c>
      <c r="L57" s="24"/>
      <c r="M57" s="593"/>
      <c r="N57" s="617"/>
    </row>
    <row r="58" spans="1:14" s="26" customFormat="1" ht="16.5" customHeight="1" x14ac:dyDescent="0.35">
      <c r="A58" s="589">
        <v>37</v>
      </c>
      <c r="B58" s="24" t="s">
        <v>234</v>
      </c>
      <c r="C58" s="10">
        <f t="shared" si="3"/>
        <v>1.6</v>
      </c>
      <c r="D58" s="615">
        <f>'[23]road inventory 2018'!C58</f>
        <v>1.6</v>
      </c>
      <c r="E58" s="15">
        <v>0</v>
      </c>
      <c r="F58" s="15">
        <v>0</v>
      </c>
      <c r="G58" s="15">
        <v>0</v>
      </c>
      <c r="H58" s="15">
        <v>1.6</v>
      </c>
      <c r="I58" s="15">
        <v>0</v>
      </c>
      <c r="J58" s="106" t="s">
        <v>12</v>
      </c>
      <c r="K58" s="591" t="s">
        <v>368</v>
      </c>
      <c r="L58" s="24"/>
      <c r="M58" s="593"/>
      <c r="N58" s="617"/>
    </row>
    <row r="59" spans="1:14" s="625" customFormat="1" ht="16.5" customHeight="1" x14ac:dyDescent="0.35">
      <c r="A59" s="618">
        <v>38</v>
      </c>
      <c r="B59" s="619" t="s">
        <v>36</v>
      </c>
      <c r="C59" s="620">
        <f t="shared" si="3"/>
        <v>3.9</v>
      </c>
      <c r="D59" s="620">
        <f>'[23]road inventory 2018'!C59</f>
        <v>4.4000000000000004</v>
      </c>
      <c r="E59" s="620">
        <v>1.504</v>
      </c>
      <c r="F59" s="620">
        <v>0</v>
      </c>
      <c r="G59" s="620">
        <v>0</v>
      </c>
      <c r="H59" s="620">
        <v>2.3959999999999999</v>
      </c>
      <c r="I59" s="620">
        <v>0</v>
      </c>
      <c r="J59" s="621" t="s">
        <v>12</v>
      </c>
      <c r="K59" s="622" t="s">
        <v>369</v>
      </c>
      <c r="L59" s="619"/>
      <c r="M59" s="623"/>
      <c r="N59" s="624"/>
    </row>
    <row r="60" spans="1:14" s="26" customFormat="1" ht="16.5" customHeight="1" x14ac:dyDescent="0.35">
      <c r="A60" s="589">
        <v>39</v>
      </c>
      <c r="B60" s="24" t="s">
        <v>370</v>
      </c>
      <c r="C60" s="10">
        <f t="shared" si="3"/>
        <v>4.9400000000000004</v>
      </c>
      <c r="D60" s="615">
        <f>'[23]road inventory 2018'!C60</f>
        <v>4.9000000000000004</v>
      </c>
      <c r="E60" s="15">
        <v>0</v>
      </c>
      <c r="F60" s="15">
        <v>0</v>
      </c>
      <c r="G60" s="15">
        <v>0</v>
      </c>
      <c r="H60" s="15">
        <v>4.9400000000000004</v>
      </c>
      <c r="I60" s="15">
        <v>0</v>
      </c>
      <c r="J60" s="106" t="s">
        <v>12</v>
      </c>
      <c r="K60" s="591" t="s">
        <v>371</v>
      </c>
      <c r="L60" s="24"/>
      <c r="M60" s="593"/>
      <c r="N60" s="617"/>
    </row>
    <row r="61" spans="1:14" s="26" customFormat="1" ht="16.5" customHeight="1" x14ac:dyDescent="0.35">
      <c r="A61" s="589">
        <v>105</v>
      </c>
      <c r="B61" s="24" t="s">
        <v>228</v>
      </c>
      <c r="C61" s="10">
        <f t="shared" si="3"/>
        <v>3.65</v>
      </c>
      <c r="D61" s="615">
        <f>'[23]road inventory 2018'!C61</f>
        <v>3.6</v>
      </c>
      <c r="E61" s="15">
        <v>0</v>
      </c>
      <c r="F61" s="15">
        <v>0</v>
      </c>
      <c r="G61" s="15">
        <v>0</v>
      </c>
      <c r="H61" s="15">
        <v>3.65</v>
      </c>
      <c r="I61" s="15">
        <v>0</v>
      </c>
      <c r="J61" s="106" t="s">
        <v>12</v>
      </c>
      <c r="K61" s="591" t="s">
        <v>372</v>
      </c>
      <c r="L61" s="24"/>
      <c r="M61" s="593"/>
      <c r="N61" s="617"/>
    </row>
    <row r="62" spans="1:14" s="1" customFormat="1" ht="16.5" customHeight="1" x14ac:dyDescent="0.35">
      <c r="A62" s="596">
        <v>40</v>
      </c>
      <c r="B62" s="28" t="s">
        <v>231</v>
      </c>
      <c r="C62" s="10">
        <f t="shared" si="3"/>
        <v>1.55</v>
      </c>
      <c r="D62" s="615">
        <f>'[23]road inventory 2018'!C62</f>
        <v>1.5</v>
      </c>
      <c r="E62" s="10">
        <v>1.22</v>
      </c>
      <c r="F62" s="10">
        <v>0</v>
      </c>
      <c r="G62" s="10">
        <v>0</v>
      </c>
      <c r="H62" s="10">
        <v>0.33</v>
      </c>
      <c r="I62" s="10">
        <v>0</v>
      </c>
      <c r="J62" s="103" t="s">
        <v>33</v>
      </c>
      <c r="K62" s="597" t="s">
        <v>373</v>
      </c>
      <c r="L62" s="28"/>
      <c r="M62" s="2"/>
      <c r="N62" s="581"/>
    </row>
    <row r="63" spans="1:14" s="1" customFormat="1" ht="16.5" customHeight="1" x14ac:dyDescent="0.35">
      <c r="A63" s="596">
        <v>41</v>
      </c>
      <c r="B63" s="28" t="s">
        <v>230</v>
      </c>
      <c r="C63" s="10">
        <f t="shared" si="3"/>
        <v>2.81</v>
      </c>
      <c r="D63" s="615">
        <f>'[23]road inventory 2018'!C63</f>
        <v>2.8</v>
      </c>
      <c r="E63" s="10">
        <v>0</v>
      </c>
      <c r="F63" s="10">
        <v>0</v>
      </c>
      <c r="G63" s="10">
        <v>0</v>
      </c>
      <c r="H63" s="10">
        <v>2.81</v>
      </c>
      <c r="I63" s="10">
        <v>0</v>
      </c>
      <c r="J63" s="103" t="s">
        <v>33</v>
      </c>
      <c r="K63" s="597" t="s">
        <v>374</v>
      </c>
      <c r="L63" s="28"/>
      <c r="M63" s="2"/>
      <c r="N63" s="581"/>
    </row>
    <row r="64" spans="1:14" s="26" customFormat="1" ht="16.5" customHeight="1" x14ac:dyDescent="0.35">
      <c r="A64" s="589">
        <v>42</v>
      </c>
      <c r="B64" s="24" t="s">
        <v>227</v>
      </c>
      <c r="C64" s="10">
        <f t="shared" si="3"/>
        <v>1.5</v>
      </c>
      <c r="D64" s="615">
        <f>'[23]road inventory 2018'!C64</f>
        <v>1.5</v>
      </c>
      <c r="E64" s="15">
        <v>0</v>
      </c>
      <c r="F64" s="15">
        <v>0</v>
      </c>
      <c r="G64" s="15">
        <v>0</v>
      </c>
      <c r="H64" s="15">
        <v>1.5</v>
      </c>
      <c r="I64" s="15">
        <v>0</v>
      </c>
      <c r="J64" s="106" t="s">
        <v>12</v>
      </c>
      <c r="K64" s="591" t="s">
        <v>375</v>
      </c>
      <c r="L64" s="24"/>
      <c r="M64" s="593"/>
      <c r="N64" s="617"/>
    </row>
    <row r="65" spans="1:17" s="1" customFormat="1" ht="16.5" customHeight="1" x14ac:dyDescent="0.35">
      <c r="A65" s="596">
        <v>43</v>
      </c>
      <c r="B65" s="28" t="s">
        <v>226</v>
      </c>
      <c r="C65" s="10">
        <f t="shared" si="3"/>
        <v>8.370000000000001</v>
      </c>
      <c r="D65" s="615">
        <f>'[23]road inventory 2018'!C65</f>
        <v>12.7</v>
      </c>
      <c r="E65" s="10">
        <v>0.16</v>
      </c>
      <c r="F65" s="10">
        <v>0</v>
      </c>
      <c r="G65" s="10">
        <v>0</v>
      </c>
      <c r="H65" s="10">
        <v>8.2100000000000009</v>
      </c>
      <c r="I65" s="10">
        <v>0</v>
      </c>
      <c r="J65" s="103" t="s">
        <v>41</v>
      </c>
      <c r="K65" s="597" t="s">
        <v>376</v>
      </c>
      <c r="L65" s="28" t="s">
        <v>833</v>
      </c>
      <c r="M65" s="2"/>
      <c r="N65" s="581" t="s">
        <v>377</v>
      </c>
      <c r="Q65" s="22">
        <f>D65-C65</f>
        <v>4.3299999999999983</v>
      </c>
    </row>
    <row r="66" spans="1:17" s="1" customFormat="1" ht="16.5" customHeight="1" x14ac:dyDescent="0.35">
      <c r="A66" s="596">
        <v>44</v>
      </c>
      <c r="B66" s="28" t="s">
        <v>229</v>
      </c>
      <c r="C66" s="10">
        <f t="shared" si="3"/>
        <v>5.52</v>
      </c>
      <c r="D66" s="615">
        <f>'[23]road inventory 2018'!C66</f>
        <v>5.3</v>
      </c>
      <c r="E66" s="10">
        <v>0</v>
      </c>
      <c r="F66" s="10">
        <v>0</v>
      </c>
      <c r="G66" s="10">
        <v>0</v>
      </c>
      <c r="H66" s="10">
        <v>5.52</v>
      </c>
      <c r="I66" s="10">
        <v>0</v>
      </c>
      <c r="J66" s="103" t="s">
        <v>41</v>
      </c>
      <c r="K66" s="597" t="s">
        <v>378</v>
      </c>
      <c r="L66" s="28"/>
      <c r="M66" s="2"/>
      <c r="N66" s="581"/>
    </row>
    <row r="67" spans="1:17" s="26" customFormat="1" ht="16.5" customHeight="1" x14ac:dyDescent="0.35">
      <c r="A67" s="589">
        <v>104</v>
      </c>
      <c r="B67" s="24" t="s">
        <v>240</v>
      </c>
      <c r="C67" s="10">
        <f t="shared" si="3"/>
        <v>3.13</v>
      </c>
      <c r="D67" s="615">
        <f>'[23]road inventory 2018'!C67</f>
        <v>3.1</v>
      </c>
      <c r="E67" s="15">
        <v>0</v>
      </c>
      <c r="F67" s="15">
        <v>0</v>
      </c>
      <c r="G67" s="15">
        <v>0</v>
      </c>
      <c r="H67" s="15">
        <v>3.13</v>
      </c>
      <c r="I67" s="15">
        <v>0</v>
      </c>
      <c r="J67" s="106" t="s">
        <v>12</v>
      </c>
      <c r="K67" s="591" t="s">
        <v>379</v>
      </c>
      <c r="L67" s="24"/>
      <c r="M67" s="593"/>
      <c r="N67" s="617"/>
    </row>
    <row r="68" spans="1:17" s="26" customFormat="1" ht="16.5" customHeight="1" x14ac:dyDescent="0.35">
      <c r="A68" s="626"/>
      <c r="B68" s="60"/>
      <c r="C68" s="61">
        <f t="shared" ref="C68:I68" si="4">SUM(C41:C67)</f>
        <v>98.009999999999991</v>
      </c>
      <c r="D68" s="627">
        <f t="shared" si="4"/>
        <v>102.1</v>
      </c>
      <c r="E68" s="61">
        <f t="shared" si="4"/>
        <v>29.064</v>
      </c>
      <c r="F68" s="61">
        <f t="shared" si="4"/>
        <v>0</v>
      </c>
      <c r="G68" s="61">
        <f t="shared" si="4"/>
        <v>0</v>
      </c>
      <c r="H68" s="61">
        <f t="shared" si="4"/>
        <v>68.945999999999998</v>
      </c>
      <c r="I68" s="61">
        <f t="shared" si="4"/>
        <v>0</v>
      </c>
      <c r="J68" s="628"/>
      <c r="K68" s="629"/>
      <c r="L68" s="24"/>
      <c r="M68" s="593"/>
      <c r="N68" s="617"/>
    </row>
    <row r="69" spans="1:17" s="1" customFormat="1" ht="24" customHeight="1" thickBot="1" x14ac:dyDescent="0.4">
      <c r="A69" s="53" t="s">
        <v>341</v>
      </c>
      <c r="B69" s="34"/>
      <c r="C69" s="31">
        <f>SUM(E69:I69)</f>
        <v>98.009999999999991</v>
      </c>
      <c r="D69" s="630"/>
      <c r="E69" s="31">
        <f>SUM(E41:E67)</f>
        <v>29.064</v>
      </c>
      <c r="F69" s="31">
        <f>SUM(F41:F67)</f>
        <v>0</v>
      </c>
      <c r="G69" s="31">
        <f>SUM(G41:G67)</f>
        <v>0</v>
      </c>
      <c r="H69" s="31">
        <f>SUM(H41:H67)</f>
        <v>68.945999999999998</v>
      </c>
      <c r="I69" s="31">
        <f>SUM(I41:I67)</f>
        <v>0</v>
      </c>
      <c r="J69" s="608"/>
      <c r="K69" s="609"/>
      <c r="L69" s="97"/>
      <c r="M69" s="21"/>
      <c r="N69" s="581"/>
    </row>
    <row r="70" spans="1:17" s="1" customFormat="1" x14ac:dyDescent="0.35">
      <c r="A70" s="1217" t="s">
        <v>380</v>
      </c>
      <c r="B70" s="1218"/>
      <c r="C70" s="1218"/>
      <c r="D70" s="1218"/>
      <c r="E70" s="1218"/>
      <c r="F70" s="1218"/>
      <c r="G70" s="1218"/>
      <c r="H70" s="1218"/>
      <c r="I70" s="1218"/>
      <c r="J70" s="1218"/>
      <c r="K70" s="1218"/>
      <c r="L70" s="1219"/>
      <c r="M70" s="584"/>
      <c r="N70" s="581"/>
    </row>
    <row r="71" spans="1:17" s="1" customFormat="1" ht="16" thickBot="1" x14ac:dyDescent="0.4">
      <c r="A71" s="585"/>
      <c r="B71" s="2"/>
      <c r="C71" s="5"/>
      <c r="D71" s="586"/>
      <c r="E71" s="5"/>
      <c r="F71" s="5"/>
      <c r="G71" s="5"/>
      <c r="H71" s="5"/>
      <c r="I71" s="5"/>
      <c r="J71" s="3"/>
      <c r="K71" s="21"/>
      <c r="L71" s="631"/>
      <c r="M71" s="21"/>
      <c r="N71" s="581"/>
    </row>
    <row r="72" spans="1:17" s="1" customFormat="1" ht="21" customHeight="1" x14ac:dyDescent="0.35">
      <c r="A72" s="1206" t="s">
        <v>302</v>
      </c>
      <c r="B72" s="1208" t="s">
        <v>28</v>
      </c>
      <c r="C72" s="1210" t="s">
        <v>343</v>
      </c>
      <c r="D72" s="613"/>
      <c r="E72" s="1212" t="s">
        <v>305</v>
      </c>
      <c r="F72" s="1212"/>
      <c r="G72" s="1212"/>
      <c r="H72" s="1212"/>
      <c r="I72" s="1212"/>
      <c r="J72" s="1208" t="s">
        <v>29</v>
      </c>
      <c r="K72" s="1213" t="s">
        <v>306</v>
      </c>
      <c r="L72" s="1226" t="s">
        <v>307</v>
      </c>
      <c r="M72" s="588"/>
      <c r="N72" s="581"/>
    </row>
    <row r="73" spans="1:17" s="1" customFormat="1" ht="21" customHeight="1" thickBot="1" x14ac:dyDescent="0.4">
      <c r="A73" s="1207"/>
      <c r="B73" s="1209"/>
      <c r="C73" s="1211"/>
      <c r="D73" s="614"/>
      <c r="E73" s="7" t="s">
        <v>308</v>
      </c>
      <c r="F73" s="7" t="s">
        <v>309</v>
      </c>
      <c r="G73" s="7" t="s">
        <v>310</v>
      </c>
      <c r="H73" s="7" t="s">
        <v>311</v>
      </c>
      <c r="I73" s="7" t="s">
        <v>312</v>
      </c>
      <c r="J73" s="1209"/>
      <c r="K73" s="1214"/>
      <c r="L73" s="1227"/>
      <c r="M73" s="588"/>
      <c r="N73" s="581"/>
    </row>
    <row r="74" spans="1:17" s="26" customFormat="1" ht="16.5" customHeight="1" x14ac:dyDescent="0.35">
      <c r="A74" s="589">
        <v>107</v>
      </c>
      <c r="B74" s="24" t="s">
        <v>381</v>
      </c>
      <c r="C74" s="15">
        <f>SUM(E74:I74)</f>
        <v>2.59</v>
      </c>
      <c r="D74" s="590">
        <f>'[23]road inventory 2018'!C73</f>
        <v>2.5</v>
      </c>
      <c r="E74" s="632">
        <v>1.07</v>
      </c>
      <c r="F74" s="632">
        <v>0</v>
      </c>
      <c r="G74" s="632">
        <v>0</v>
      </c>
      <c r="H74" s="15">
        <v>1.52</v>
      </c>
      <c r="I74" s="15">
        <v>0</v>
      </c>
      <c r="J74" s="106" t="s">
        <v>12</v>
      </c>
      <c r="K74" s="591" t="s">
        <v>382</v>
      </c>
      <c r="L74" s="592"/>
      <c r="M74" s="593"/>
      <c r="N74" s="617"/>
    </row>
    <row r="75" spans="1:17" s="26" customFormat="1" ht="16.5" customHeight="1" x14ac:dyDescent="0.35">
      <c r="A75" s="589">
        <v>102</v>
      </c>
      <c r="B75" s="24" t="s">
        <v>242</v>
      </c>
      <c r="C75" s="15">
        <f t="shared" ref="C75:C80" si="5">SUM(E75:I75)</f>
        <v>1.33</v>
      </c>
      <c r="D75" s="590">
        <f>'[23]road inventory 2018'!C74</f>
        <v>1.3</v>
      </c>
      <c r="E75" s="632">
        <v>0</v>
      </c>
      <c r="F75" s="632">
        <v>0</v>
      </c>
      <c r="G75" s="632">
        <v>0</v>
      </c>
      <c r="H75" s="15">
        <v>1.33</v>
      </c>
      <c r="I75" s="15">
        <v>0</v>
      </c>
      <c r="J75" s="106" t="s">
        <v>12</v>
      </c>
      <c r="K75" s="591" t="s">
        <v>383</v>
      </c>
      <c r="L75" s="24"/>
      <c r="M75" s="593"/>
      <c r="N75" s="617"/>
    </row>
    <row r="76" spans="1:17" s="1" customFormat="1" ht="16.5" customHeight="1" x14ac:dyDescent="0.35">
      <c r="A76" s="596">
        <v>101</v>
      </c>
      <c r="B76" s="28" t="s">
        <v>384</v>
      </c>
      <c r="C76" s="15">
        <f t="shared" si="5"/>
        <v>0</v>
      </c>
      <c r="D76" s="615">
        <f>'[23]road inventory 2018'!C75</f>
        <v>0.6</v>
      </c>
      <c r="E76" s="633">
        <v>0</v>
      </c>
      <c r="F76" s="633">
        <v>0</v>
      </c>
      <c r="G76" s="633">
        <v>0</v>
      </c>
      <c r="H76" s="10">
        <v>0</v>
      </c>
      <c r="I76" s="10">
        <v>0</v>
      </c>
      <c r="J76" s="103" t="s">
        <v>10</v>
      </c>
      <c r="K76" s="597" t="s">
        <v>385</v>
      </c>
      <c r="L76" s="28" t="s">
        <v>356</v>
      </c>
      <c r="M76" s="2"/>
      <c r="N76" s="581" t="s">
        <v>386</v>
      </c>
    </row>
    <row r="77" spans="1:17" s="26" customFormat="1" ht="16.5" customHeight="1" x14ac:dyDescent="0.35">
      <c r="A77" s="589">
        <v>47</v>
      </c>
      <c r="B77" s="24" t="s">
        <v>38</v>
      </c>
      <c r="C77" s="15">
        <f t="shared" si="5"/>
        <v>17.2</v>
      </c>
      <c r="D77" s="590">
        <f>'[23]road inventory 2018'!C76</f>
        <v>17</v>
      </c>
      <c r="E77" s="15">
        <v>0.27</v>
      </c>
      <c r="F77" s="632">
        <v>0</v>
      </c>
      <c r="G77" s="632">
        <v>0</v>
      </c>
      <c r="H77" s="15">
        <v>16.93</v>
      </c>
      <c r="I77" s="15">
        <v>0</v>
      </c>
      <c r="J77" s="106" t="s">
        <v>12</v>
      </c>
      <c r="K77" s="591" t="s">
        <v>387</v>
      </c>
      <c r="L77" s="24"/>
      <c r="M77" s="593"/>
      <c r="N77" s="617"/>
    </row>
    <row r="78" spans="1:17" s="26" customFormat="1" ht="16.5" customHeight="1" x14ac:dyDescent="0.35">
      <c r="A78" s="589">
        <v>48</v>
      </c>
      <c r="B78" s="24" t="s">
        <v>388</v>
      </c>
      <c r="C78" s="15">
        <f t="shared" si="5"/>
        <v>2.63</v>
      </c>
      <c r="D78" s="590">
        <f>'[23]road inventory 2018'!C77</f>
        <v>2.6</v>
      </c>
      <c r="E78" s="632">
        <v>0</v>
      </c>
      <c r="F78" s="632">
        <v>0</v>
      </c>
      <c r="G78" s="632">
        <v>0</v>
      </c>
      <c r="H78" s="15">
        <v>2.63</v>
      </c>
      <c r="I78" s="15">
        <v>0</v>
      </c>
      <c r="J78" s="106" t="s">
        <v>12</v>
      </c>
      <c r="K78" s="591" t="s">
        <v>389</v>
      </c>
      <c r="L78" s="24"/>
      <c r="M78" s="593"/>
      <c r="N78" s="617"/>
    </row>
    <row r="79" spans="1:17" s="26" customFormat="1" ht="16.5" customHeight="1" x14ac:dyDescent="0.35">
      <c r="A79" s="589">
        <v>90</v>
      </c>
      <c r="B79" s="24" t="s">
        <v>390</v>
      </c>
      <c r="C79" s="15">
        <f t="shared" si="5"/>
        <v>4.2699999999999996</v>
      </c>
      <c r="D79" s="590">
        <f>'[23]road inventory 2018'!C78</f>
        <v>4.3499999999999996</v>
      </c>
      <c r="E79" s="632">
        <v>0</v>
      </c>
      <c r="F79" s="632">
        <v>0</v>
      </c>
      <c r="G79" s="632">
        <v>0</v>
      </c>
      <c r="H79" s="15">
        <v>4.2699999999999996</v>
      </c>
      <c r="I79" s="15">
        <v>0</v>
      </c>
      <c r="J79" s="106" t="s">
        <v>12</v>
      </c>
      <c r="K79" s="591" t="s">
        <v>391</v>
      </c>
      <c r="L79" s="24"/>
      <c r="M79" s="593"/>
      <c r="N79" s="617"/>
    </row>
    <row r="80" spans="1:17" s="625" customFormat="1" ht="16.5" customHeight="1" x14ac:dyDescent="0.35">
      <c r="A80" s="618">
        <v>99</v>
      </c>
      <c r="B80" s="619" t="s">
        <v>392</v>
      </c>
      <c r="C80" s="620">
        <f t="shared" si="5"/>
        <v>14.139999999999999</v>
      </c>
      <c r="D80" s="634">
        <f>'[23]road inventory 2018'!C79</f>
        <v>14.1</v>
      </c>
      <c r="E80" s="620">
        <v>2.1</v>
      </c>
      <c r="F80" s="620">
        <v>0</v>
      </c>
      <c r="G80" s="620">
        <v>0</v>
      </c>
      <c r="H80" s="620">
        <v>12.04</v>
      </c>
      <c r="I80" s="620">
        <v>0</v>
      </c>
      <c r="J80" s="621" t="s">
        <v>12</v>
      </c>
      <c r="K80" s="622" t="s">
        <v>393</v>
      </c>
      <c r="L80" s="619"/>
      <c r="M80" s="623"/>
      <c r="N80" s="624"/>
    </row>
    <row r="81" spans="1:14" s="1" customFormat="1" ht="16.5" customHeight="1" x14ac:dyDescent="0.35">
      <c r="A81" s="635"/>
      <c r="B81" s="40"/>
      <c r="C81" s="41">
        <f t="shared" ref="C81:H81" si="6">SUM(C74:C80)</f>
        <v>42.16</v>
      </c>
      <c r="D81" s="636">
        <f t="shared" si="6"/>
        <v>42.45</v>
      </c>
      <c r="E81" s="41">
        <f t="shared" si="6"/>
        <v>3.4400000000000004</v>
      </c>
      <c r="F81" s="41">
        <f t="shared" si="6"/>
        <v>0</v>
      </c>
      <c r="G81" s="41">
        <f t="shared" si="6"/>
        <v>0</v>
      </c>
      <c r="H81" s="41">
        <f t="shared" si="6"/>
        <v>38.72</v>
      </c>
      <c r="I81" s="41"/>
      <c r="J81" s="109"/>
      <c r="K81" s="605"/>
      <c r="L81" s="28"/>
      <c r="M81" s="2"/>
      <c r="N81" s="581"/>
    </row>
    <row r="82" spans="1:14" s="1" customFormat="1" ht="23.25" customHeight="1" thickBot="1" x14ac:dyDescent="0.4">
      <c r="A82" s="53" t="s">
        <v>341</v>
      </c>
      <c r="B82" s="34"/>
      <c r="C82" s="31">
        <f>SUM(E82:I82)</f>
        <v>42.16</v>
      </c>
      <c r="D82" s="630"/>
      <c r="E82" s="31">
        <f>SUM(E74:E80)</f>
        <v>3.4400000000000004</v>
      </c>
      <c r="F82" s="31">
        <f>SUM(F74:F80)</f>
        <v>0</v>
      </c>
      <c r="G82" s="31">
        <f>SUM(G74:G80)</f>
        <v>0</v>
      </c>
      <c r="H82" s="31">
        <f>SUM(H74:H80)</f>
        <v>38.72</v>
      </c>
      <c r="I82" s="31">
        <f>SUM(I74:I80)</f>
        <v>0</v>
      </c>
      <c r="J82" s="608"/>
      <c r="K82" s="609"/>
      <c r="L82" s="97"/>
      <c r="M82" s="21"/>
      <c r="N82" s="581"/>
    </row>
    <row r="83" spans="1:14" s="1" customFormat="1" ht="15" customHeight="1" thickBot="1" x14ac:dyDescent="0.4">
      <c r="A83" s="544"/>
      <c r="B83" s="35"/>
      <c r="C83" s="22"/>
      <c r="D83" s="610"/>
      <c r="E83" s="22"/>
      <c r="F83" s="22"/>
      <c r="G83" s="22"/>
      <c r="H83" s="22"/>
      <c r="I83" s="22"/>
      <c r="K83" s="21"/>
      <c r="L83" s="611"/>
      <c r="M83" s="21"/>
      <c r="N83" s="581"/>
    </row>
    <row r="84" spans="1:14" s="1" customFormat="1" x14ac:dyDescent="0.35">
      <c r="A84" s="1217" t="s">
        <v>394</v>
      </c>
      <c r="B84" s="1218"/>
      <c r="C84" s="1218"/>
      <c r="D84" s="1218"/>
      <c r="E84" s="1218"/>
      <c r="F84" s="1218"/>
      <c r="G84" s="1218"/>
      <c r="H84" s="1218"/>
      <c r="I84" s="1218"/>
      <c r="J84" s="1218"/>
      <c r="K84" s="1218"/>
      <c r="L84" s="1219"/>
      <c r="M84" s="584"/>
      <c r="N84" s="581"/>
    </row>
    <row r="85" spans="1:14" s="1" customFormat="1" ht="16" thickBot="1" x14ac:dyDescent="0.4">
      <c r="A85" s="585"/>
      <c r="B85" s="2"/>
      <c r="C85" s="5"/>
      <c r="D85" s="586"/>
      <c r="E85" s="5"/>
      <c r="F85" s="5"/>
      <c r="G85" s="5"/>
      <c r="H85" s="5"/>
      <c r="I85" s="5"/>
      <c r="J85" s="3"/>
      <c r="K85" s="21"/>
      <c r="L85" s="637"/>
      <c r="M85" s="21"/>
      <c r="N85" s="581"/>
    </row>
    <row r="86" spans="1:14" s="1" customFormat="1" ht="21" customHeight="1" x14ac:dyDescent="0.35">
      <c r="A86" s="1206" t="s">
        <v>302</v>
      </c>
      <c r="B86" s="1208" t="s">
        <v>28</v>
      </c>
      <c r="C86" s="1210" t="s">
        <v>343</v>
      </c>
      <c r="D86" s="613"/>
      <c r="E86" s="1212" t="s">
        <v>305</v>
      </c>
      <c r="F86" s="1212"/>
      <c r="G86" s="1212"/>
      <c r="H86" s="1212"/>
      <c r="I86" s="1212"/>
      <c r="J86" s="1208" t="s">
        <v>29</v>
      </c>
      <c r="K86" s="1213" t="s">
        <v>306</v>
      </c>
      <c r="L86" s="1226" t="s">
        <v>307</v>
      </c>
      <c r="M86" s="588"/>
      <c r="N86" s="581"/>
    </row>
    <row r="87" spans="1:14" s="1" customFormat="1" ht="21" customHeight="1" thickBot="1" x14ac:dyDescent="0.4">
      <c r="A87" s="1207"/>
      <c r="B87" s="1209"/>
      <c r="C87" s="1211"/>
      <c r="D87" s="614"/>
      <c r="E87" s="7" t="s">
        <v>308</v>
      </c>
      <c r="F87" s="7" t="s">
        <v>309</v>
      </c>
      <c r="G87" s="7" t="s">
        <v>310</v>
      </c>
      <c r="H87" s="7" t="s">
        <v>311</v>
      </c>
      <c r="I87" s="7" t="s">
        <v>312</v>
      </c>
      <c r="J87" s="1209"/>
      <c r="K87" s="1214"/>
      <c r="L87" s="1227"/>
      <c r="M87" s="588"/>
      <c r="N87" s="581"/>
    </row>
    <row r="88" spans="1:14" s="642" customFormat="1" ht="36.75" customHeight="1" x14ac:dyDescent="0.35">
      <c r="A88" s="638">
        <v>108</v>
      </c>
      <c r="B88" s="24" t="s">
        <v>395</v>
      </c>
      <c r="C88" s="639">
        <f>E88+F88+G88+H88+I88</f>
        <v>3.28</v>
      </c>
      <c r="D88" s="640">
        <f>'[23]road inventory 2018'!C86</f>
        <v>3.1</v>
      </c>
      <c r="E88" s="639">
        <v>0.48</v>
      </c>
      <c r="F88" s="639">
        <v>0</v>
      </c>
      <c r="G88" s="639">
        <v>0</v>
      </c>
      <c r="H88" s="110">
        <v>2.8</v>
      </c>
      <c r="I88" s="110">
        <v>0</v>
      </c>
      <c r="J88" s="24" t="s">
        <v>12</v>
      </c>
      <c r="K88" s="591" t="s">
        <v>396</v>
      </c>
      <c r="L88" s="592"/>
      <c r="M88" s="593"/>
      <c r="N88" s="641"/>
    </row>
    <row r="89" spans="1:14" s="1" customFormat="1" ht="26.25" customHeight="1" thickBot="1" x14ac:dyDescent="0.4">
      <c r="A89" s="53" t="s">
        <v>341</v>
      </c>
      <c r="B89" s="34"/>
      <c r="C89" s="31">
        <f>SUM(C88:C88)</f>
        <v>3.28</v>
      </c>
      <c r="D89" s="630"/>
      <c r="E89" s="31">
        <f>SUM(E88:E88)</f>
        <v>0.48</v>
      </c>
      <c r="F89" s="31">
        <f>SUM(F88:F88)</f>
        <v>0</v>
      </c>
      <c r="G89" s="31">
        <f>SUM(G88:G88)</f>
        <v>0</v>
      </c>
      <c r="H89" s="31">
        <f>SUM(H88:H88)</f>
        <v>2.8</v>
      </c>
      <c r="I89" s="31">
        <f>SUM(I88:I88)</f>
        <v>0</v>
      </c>
      <c r="J89" s="643"/>
      <c r="K89" s="644"/>
      <c r="L89" s="40"/>
      <c r="M89" s="2"/>
      <c r="N89" s="581"/>
    </row>
    <row r="90" spans="1:14" s="1" customFormat="1" ht="14.25" customHeight="1" thickBot="1" x14ac:dyDescent="0.4">
      <c r="A90" s="95"/>
      <c r="B90" s="37"/>
      <c r="C90" s="38"/>
      <c r="D90" s="645"/>
      <c r="E90" s="38"/>
      <c r="F90" s="38"/>
      <c r="G90" s="38"/>
      <c r="H90" s="38"/>
      <c r="I90" s="38"/>
      <c r="J90" s="3"/>
      <c r="K90" s="2"/>
      <c r="L90" s="646"/>
      <c r="M90" s="2"/>
      <c r="N90" s="581"/>
    </row>
    <row r="91" spans="1:14" s="1" customFormat="1" x14ac:dyDescent="0.35">
      <c r="A91" s="1217" t="s">
        <v>397</v>
      </c>
      <c r="B91" s="1218"/>
      <c r="C91" s="1218"/>
      <c r="D91" s="1218"/>
      <c r="E91" s="1218"/>
      <c r="F91" s="1218"/>
      <c r="G91" s="1218"/>
      <c r="H91" s="1218"/>
      <c r="I91" s="1218"/>
      <c r="J91" s="1218"/>
      <c r="K91" s="1218"/>
      <c r="L91" s="1219"/>
      <c r="M91" s="584"/>
      <c r="N91" s="581"/>
    </row>
    <row r="92" spans="1:14" s="1" customFormat="1" ht="16" thickBot="1" x14ac:dyDescent="0.4">
      <c r="A92" s="585"/>
      <c r="B92" s="2"/>
      <c r="C92" s="5"/>
      <c r="D92" s="586"/>
      <c r="E92" s="5"/>
      <c r="F92" s="5"/>
      <c r="G92" s="5"/>
      <c r="H92" s="5"/>
      <c r="I92" s="5"/>
      <c r="J92" s="3"/>
      <c r="K92" s="21"/>
      <c r="L92" s="97"/>
      <c r="M92" s="21"/>
      <c r="N92" s="581"/>
    </row>
    <row r="93" spans="1:14" s="1" customFormat="1" ht="21" customHeight="1" x14ac:dyDescent="0.35">
      <c r="A93" s="1206" t="s">
        <v>302</v>
      </c>
      <c r="B93" s="1208" t="s">
        <v>28</v>
      </c>
      <c r="C93" s="1210" t="s">
        <v>343</v>
      </c>
      <c r="D93" s="613"/>
      <c r="E93" s="1212" t="s">
        <v>305</v>
      </c>
      <c r="F93" s="1212"/>
      <c r="G93" s="1212"/>
      <c r="H93" s="1212"/>
      <c r="I93" s="1212"/>
      <c r="J93" s="1208" t="s">
        <v>29</v>
      </c>
      <c r="K93" s="1213" t="s">
        <v>306</v>
      </c>
      <c r="L93" s="1226" t="s">
        <v>307</v>
      </c>
      <c r="M93" s="588"/>
      <c r="N93" s="581"/>
    </row>
    <row r="94" spans="1:14" s="1" customFormat="1" ht="21" customHeight="1" thickBot="1" x14ac:dyDescent="0.4">
      <c r="A94" s="1207"/>
      <c r="B94" s="1209"/>
      <c r="C94" s="1211"/>
      <c r="D94" s="614"/>
      <c r="E94" s="7" t="s">
        <v>308</v>
      </c>
      <c r="F94" s="7" t="s">
        <v>309</v>
      </c>
      <c r="G94" s="7" t="s">
        <v>310</v>
      </c>
      <c r="H94" s="7" t="s">
        <v>311</v>
      </c>
      <c r="I94" s="7" t="s">
        <v>312</v>
      </c>
      <c r="J94" s="1209"/>
      <c r="K94" s="1214"/>
      <c r="L94" s="1227"/>
      <c r="M94" s="588"/>
      <c r="N94" s="581"/>
    </row>
    <row r="95" spans="1:14" s="1" customFormat="1" ht="16.5" customHeight="1" x14ac:dyDescent="0.35">
      <c r="A95" s="596">
        <v>223</v>
      </c>
      <c r="B95" s="28" t="s">
        <v>42</v>
      </c>
      <c r="C95" s="10">
        <f>SUM(E95:I95)</f>
        <v>4.18</v>
      </c>
      <c r="D95" s="615">
        <f>'[23]road inventory 2018'!C93</f>
        <v>4.0999999999999996</v>
      </c>
      <c r="E95" s="10">
        <v>0</v>
      </c>
      <c r="F95" s="10">
        <v>0</v>
      </c>
      <c r="G95" s="10">
        <v>0</v>
      </c>
      <c r="H95" s="10">
        <v>4.18</v>
      </c>
      <c r="I95" s="10">
        <v>0</v>
      </c>
      <c r="J95" s="103" t="s">
        <v>33</v>
      </c>
      <c r="K95" s="597" t="s">
        <v>398</v>
      </c>
      <c r="L95" s="112"/>
      <c r="M95" s="2"/>
      <c r="N95" s="581"/>
    </row>
    <row r="96" spans="1:14" s="625" customFormat="1" ht="16.5" customHeight="1" x14ac:dyDescent="0.35">
      <c r="A96" s="618">
        <v>224</v>
      </c>
      <c r="B96" s="619" t="s">
        <v>44</v>
      </c>
      <c r="C96" s="620">
        <f t="shared" ref="C96:C104" si="7">SUM(E96:I96)</f>
        <v>7.24</v>
      </c>
      <c r="D96" s="634">
        <f>'[23]road inventory 2018'!C94</f>
        <v>7.2</v>
      </c>
      <c r="E96" s="620">
        <v>1.98</v>
      </c>
      <c r="F96" s="620">
        <v>0</v>
      </c>
      <c r="G96" s="620">
        <v>0</v>
      </c>
      <c r="H96" s="620">
        <v>5.26</v>
      </c>
      <c r="I96" s="620">
        <v>0</v>
      </c>
      <c r="J96" s="621" t="s">
        <v>12</v>
      </c>
      <c r="K96" s="622" t="s">
        <v>399</v>
      </c>
      <c r="L96" s="619"/>
      <c r="M96" s="623"/>
      <c r="N96" s="624"/>
    </row>
    <row r="97" spans="1:14" s="1" customFormat="1" ht="16.5" customHeight="1" x14ac:dyDescent="0.35">
      <c r="A97" s="596">
        <v>45</v>
      </c>
      <c r="B97" s="28" t="s">
        <v>400</v>
      </c>
      <c r="C97" s="10">
        <f t="shared" si="7"/>
        <v>7.44</v>
      </c>
      <c r="D97" s="615">
        <f>'[23]road inventory 2018'!C95</f>
        <v>7.8999999999999995</v>
      </c>
      <c r="E97" s="10">
        <v>0.71</v>
      </c>
      <c r="F97" s="10">
        <v>0</v>
      </c>
      <c r="G97" s="10">
        <v>0</v>
      </c>
      <c r="H97" s="10">
        <v>6.73</v>
      </c>
      <c r="I97" s="10">
        <v>0</v>
      </c>
      <c r="J97" s="103" t="s">
        <v>33</v>
      </c>
      <c r="K97" s="597" t="s">
        <v>401</v>
      </c>
      <c r="L97" s="28"/>
      <c r="M97" s="2"/>
      <c r="N97" s="581"/>
    </row>
    <row r="98" spans="1:14" s="26" customFormat="1" ht="16.5" customHeight="1" x14ac:dyDescent="0.35">
      <c r="A98" s="589">
        <v>217</v>
      </c>
      <c r="B98" s="24" t="s">
        <v>243</v>
      </c>
      <c r="C98" s="10">
        <f t="shared" si="7"/>
        <v>1.1399999999999999</v>
      </c>
      <c r="D98" s="615">
        <f>'[23]road inventory 2018'!C96</f>
        <v>1.1000000000000001</v>
      </c>
      <c r="E98" s="15">
        <v>1.1399999999999999</v>
      </c>
      <c r="F98" s="15">
        <v>0</v>
      </c>
      <c r="G98" s="15">
        <v>0</v>
      </c>
      <c r="H98" s="15">
        <v>0</v>
      </c>
      <c r="I98" s="15">
        <v>0</v>
      </c>
      <c r="J98" s="106" t="s">
        <v>10</v>
      </c>
      <c r="K98" s="591" t="s">
        <v>402</v>
      </c>
      <c r="L98" s="24"/>
      <c r="M98" s="593"/>
      <c r="N98" s="617"/>
    </row>
    <row r="99" spans="1:14" s="26" customFormat="1" ht="16.5" customHeight="1" x14ac:dyDescent="0.35">
      <c r="A99" s="589">
        <v>225</v>
      </c>
      <c r="B99" s="24" t="s">
        <v>403</v>
      </c>
      <c r="C99" s="10">
        <f t="shared" si="7"/>
        <v>0.36</v>
      </c>
      <c r="D99" s="615">
        <f>'[23]road inventory 2018'!C97</f>
        <v>0.4</v>
      </c>
      <c r="E99" s="15">
        <v>0</v>
      </c>
      <c r="F99" s="15">
        <v>0</v>
      </c>
      <c r="G99" s="15">
        <v>0</v>
      </c>
      <c r="H99" s="15">
        <v>0.36</v>
      </c>
      <c r="I99" s="15">
        <v>0</v>
      </c>
      <c r="J99" s="106" t="s">
        <v>10</v>
      </c>
      <c r="K99" s="591" t="s">
        <v>404</v>
      </c>
      <c r="L99" s="24"/>
      <c r="M99" s="593"/>
      <c r="N99" s="617"/>
    </row>
    <row r="100" spans="1:14" s="26" customFormat="1" ht="16.5" customHeight="1" x14ac:dyDescent="0.35">
      <c r="A100" s="589">
        <v>226</v>
      </c>
      <c r="B100" s="24" t="s">
        <v>45</v>
      </c>
      <c r="C100" s="10">
        <f t="shared" si="7"/>
        <v>4.01</v>
      </c>
      <c r="D100" s="615">
        <f>'[23]road inventory 2018'!C98</f>
        <v>4.8</v>
      </c>
      <c r="E100" s="15">
        <v>0.86</v>
      </c>
      <c r="F100" s="15">
        <v>0</v>
      </c>
      <c r="G100" s="15">
        <v>0</v>
      </c>
      <c r="H100" s="15">
        <v>3.15</v>
      </c>
      <c r="I100" s="15">
        <v>0</v>
      </c>
      <c r="J100" s="106" t="s">
        <v>10</v>
      </c>
      <c r="K100" s="591" t="s">
        <v>405</v>
      </c>
      <c r="L100" s="24"/>
      <c r="M100" s="593"/>
      <c r="N100" s="617"/>
    </row>
    <row r="101" spans="1:14" s="26" customFormat="1" ht="16.5" customHeight="1" x14ac:dyDescent="0.35">
      <c r="A101" s="589">
        <v>116</v>
      </c>
      <c r="B101" s="24" t="s">
        <v>47</v>
      </c>
      <c r="C101" s="10">
        <f t="shared" si="7"/>
        <v>12.3</v>
      </c>
      <c r="D101" s="615">
        <f>'[23]road inventory 2018'!C99</f>
        <v>12.3</v>
      </c>
      <c r="E101" s="15">
        <v>6.67</v>
      </c>
      <c r="F101" s="15">
        <v>0</v>
      </c>
      <c r="G101" s="15">
        <v>0</v>
      </c>
      <c r="H101" s="15">
        <v>5.63</v>
      </c>
      <c r="I101" s="15">
        <v>0</v>
      </c>
      <c r="J101" s="106" t="s">
        <v>12</v>
      </c>
      <c r="K101" s="591" t="s">
        <v>405</v>
      </c>
      <c r="L101" s="24"/>
      <c r="M101" s="593"/>
      <c r="N101" s="617"/>
    </row>
    <row r="102" spans="1:14" s="26" customFormat="1" ht="16.5" customHeight="1" x14ac:dyDescent="0.35">
      <c r="A102" s="589">
        <v>46</v>
      </c>
      <c r="B102" s="24" t="s">
        <v>406</v>
      </c>
      <c r="C102" s="10">
        <f t="shared" si="7"/>
        <v>1.3</v>
      </c>
      <c r="D102" s="615">
        <f>'[23]road inventory 2018'!C100</f>
        <v>1.3</v>
      </c>
      <c r="E102" s="15">
        <v>1.3</v>
      </c>
      <c r="F102" s="15">
        <v>0</v>
      </c>
      <c r="G102" s="15">
        <v>0</v>
      </c>
      <c r="H102" s="15">
        <v>0</v>
      </c>
      <c r="I102" s="15">
        <v>0</v>
      </c>
      <c r="J102" s="106" t="s">
        <v>10</v>
      </c>
      <c r="K102" s="591" t="s">
        <v>407</v>
      </c>
      <c r="L102" s="24"/>
      <c r="M102" s="593"/>
      <c r="N102" s="617"/>
    </row>
    <row r="103" spans="1:14" s="1" customFormat="1" ht="16.5" customHeight="1" x14ac:dyDescent="0.35">
      <c r="A103" s="596">
        <v>227</v>
      </c>
      <c r="B103" s="28" t="s">
        <v>408</v>
      </c>
      <c r="C103" s="10">
        <f t="shared" si="7"/>
        <v>7.43</v>
      </c>
      <c r="D103" s="615">
        <f>'[23]road inventory 2018'!C101</f>
        <v>7.2</v>
      </c>
      <c r="E103" s="10">
        <v>0</v>
      </c>
      <c r="F103" s="10">
        <v>0</v>
      </c>
      <c r="G103" s="10">
        <v>0</v>
      </c>
      <c r="H103" s="10">
        <v>7.43</v>
      </c>
      <c r="I103" s="10">
        <v>0</v>
      </c>
      <c r="J103" s="103" t="s">
        <v>33</v>
      </c>
      <c r="K103" s="597" t="s">
        <v>409</v>
      </c>
      <c r="L103" s="28"/>
      <c r="M103" s="2"/>
      <c r="N103" s="581"/>
    </row>
    <row r="104" spans="1:14" s="625" customFormat="1" ht="16.5" customHeight="1" x14ac:dyDescent="0.35">
      <c r="A104" s="618">
        <v>100</v>
      </c>
      <c r="B104" s="619" t="s">
        <v>50</v>
      </c>
      <c r="C104" s="620">
        <f t="shared" si="7"/>
        <v>7.8</v>
      </c>
      <c r="D104" s="634">
        <f>'[23]road inventory 2018'!C102</f>
        <v>7.8</v>
      </c>
      <c r="E104" s="620">
        <v>2</v>
      </c>
      <c r="F104" s="620">
        <v>0</v>
      </c>
      <c r="G104" s="620">
        <v>5.8</v>
      </c>
      <c r="H104" s="620">
        <v>0</v>
      </c>
      <c r="I104" s="620">
        <v>0</v>
      </c>
      <c r="J104" s="621" t="s">
        <v>12</v>
      </c>
      <c r="K104" s="622" t="s">
        <v>410</v>
      </c>
      <c r="L104" s="619"/>
      <c r="M104" s="623"/>
      <c r="N104" s="624"/>
    </row>
    <row r="105" spans="1:14" s="1" customFormat="1" ht="16.5" customHeight="1" x14ac:dyDescent="0.35">
      <c r="A105" s="635"/>
      <c r="B105" s="40"/>
      <c r="C105" s="41">
        <f t="shared" ref="C105:H105" si="8">SUM(C95:C104)</f>
        <v>53.199999999999996</v>
      </c>
      <c r="D105" s="627">
        <f t="shared" si="8"/>
        <v>54.099999999999994</v>
      </c>
      <c r="E105" s="41">
        <f t="shared" si="8"/>
        <v>14.66</v>
      </c>
      <c r="F105" s="41">
        <f t="shared" si="8"/>
        <v>0</v>
      </c>
      <c r="G105" s="41">
        <f t="shared" si="8"/>
        <v>5.8</v>
      </c>
      <c r="H105" s="41">
        <f t="shared" si="8"/>
        <v>32.739999999999995</v>
      </c>
      <c r="I105" s="41"/>
      <c r="J105" s="109"/>
      <c r="K105" s="605"/>
      <c r="L105" s="28"/>
      <c r="M105" s="2"/>
      <c r="N105" s="581"/>
    </row>
    <row r="106" spans="1:14" s="1" customFormat="1" ht="22.5" customHeight="1" thickBot="1" x14ac:dyDescent="0.4">
      <c r="A106" s="53" t="s">
        <v>341</v>
      </c>
      <c r="B106" s="34"/>
      <c r="C106" s="31">
        <f>SUM(E106:I106)</f>
        <v>53.199999999999996</v>
      </c>
      <c r="D106" s="630"/>
      <c r="E106" s="31">
        <f>SUM(E95:E104)</f>
        <v>14.66</v>
      </c>
      <c r="F106" s="31">
        <f>SUM(F95:F104)</f>
        <v>0</v>
      </c>
      <c r="G106" s="31">
        <f>SUM(G95:G104)</f>
        <v>5.8</v>
      </c>
      <c r="H106" s="31">
        <f>SUM(H95:H104)</f>
        <v>32.739999999999995</v>
      </c>
      <c r="I106" s="31">
        <f>SUM(I95:I104)</f>
        <v>0</v>
      </c>
      <c r="J106" s="608"/>
      <c r="K106" s="609"/>
      <c r="L106" s="97"/>
      <c r="M106" s="21"/>
      <c r="N106" s="581"/>
    </row>
    <row r="107" spans="1:14" s="1" customFormat="1" ht="22.5" customHeight="1" x14ac:dyDescent="0.35">
      <c r="A107" s="544"/>
      <c r="B107" s="35"/>
      <c r="C107" s="22"/>
      <c r="D107" s="610"/>
      <c r="E107" s="22"/>
      <c r="F107" s="22"/>
      <c r="G107" s="22"/>
      <c r="H107" s="22"/>
      <c r="I107" s="22"/>
      <c r="K107" s="21"/>
      <c r="L107" s="647"/>
      <c r="M107" s="21"/>
      <c r="N107" s="581"/>
    </row>
    <row r="108" spans="1:14" s="1" customFormat="1" x14ac:dyDescent="0.35">
      <c r="A108" s="1203" t="s">
        <v>411</v>
      </c>
      <c r="B108" s="1204"/>
      <c r="C108" s="1204"/>
      <c r="D108" s="1204"/>
      <c r="E108" s="1204"/>
      <c r="F108" s="1204"/>
      <c r="G108" s="1204"/>
      <c r="H108" s="1204"/>
      <c r="I108" s="1204"/>
      <c r="J108" s="1204"/>
      <c r="K108" s="1204"/>
      <c r="L108" s="1205"/>
      <c r="M108" s="584"/>
      <c r="N108" s="581"/>
    </row>
    <row r="109" spans="1:14" s="1" customFormat="1" ht="16" thickBot="1" x14ac:dyDescent="0.4">
      <c r="A109" s="585"/>
      <c r="B109" s="2"/>
      <c r="C109" s="5"/>
      <c r="D109" s="586"/>
      <c r="E109" s="5"/>
      <c r="F109" s="5"/>
      <c r="G109" s="5"/>
      <c r="H109" s="5"/>
      <c r="I109" s="5"/>
      <c r="J109" s="3"/>
      <c r="K109" s="21"/>
      <c r="L109" s="631"/>
      <c r="M109" s="21"/>
      <c r="N109" s="581"/>
    </row>
    <row r="110" spans="1:14" s="1" customFormat="1" ht="21" customHeight="1" x14ac:dyDescent="0.35">
      <c r="A110" s="1206" t="s">
        <v>302</v>
      </c>
      <c r="B110" s="1208" t="s">
        <v>28</v>
      </c>
      <c r="C110" s="1210" t="s">
        <v>343</v>
      </c>
      <c r="D110" s="613"/>
      <c r="E110" s="1212" t="s">
        <v>305</v>
      </c>
      <c r="F110" s="1212"/>
      <c r="G110" s="1212"/>
      <c r="H110" s="1212"/>
      <c r="I110" s="1212"/>
      <c r="J110" s="1208" t="s">
        <v>29</v>
      </c>
      <c r="K110" s="1213" t="s">
        <v>306</v>
      </c>
      <c r="L110" s="1226" t="s">
        <v>307</v>
      </c>
      <c r="M110" s="588"/>
      <c r="N110" s="581"/>
    </row>
    <row r="111" spans="1:14" s="1" customFormat="1" ht="21" customHeight="1" thickBot="1" x14ac:dyDescent="0.4">
      <c r="A111" s="1207"/>
      <c r="B111" s="1209"/>
      <c r="C111" s="1211"/>
      <c r="D111" s="614"/>
      <c r="E111" s="7" t="s">
        <v>308</v>
      </c>
      <c r="F111" s="7" t="s">
        <v>309</v>
      </c>
      <c r="G111" s="7" t="s">
        <v>310</v>
      </c>
      <c r="H111" s="7" t="s">
        <v>311</v>
      </c>
      <c r="I111" s="7" t="s">
        <v>312</v>
      </c>
      <c r="J111" s="1209"/>
      <c r="K111" s="1214"/>
      <c r="L111" s="1227"/>
      <c r="M111" s="588"/>
      <c r="N111" s="581"/>
    </row>
    <row r="112" spans="1:14" s="26" customFormat="1" ht="16" customHeight="1" x14ac:dyDescent="0.35">
      <c r="A112" s="589">
        <v>48</v>
      </c>
      <c r="B112" s="43" t="s">
        <v>254</v>
      </c>
      <c r="C112" s="15">
        <f>SUM(E112:I112)</f>
        <v>2.19</v>
      </c>
      <c r="D112" s="590">
        <f>'[23]road inventory 2018'!C109</f>
        <v>2.1</v>
      </c>
      <c r="E112" s="15">
        <v>0</v>
      </c>
      <c r="F112" s="15">
        <v>0</v>
      </c>
      <c r="G112" s="15">
        <v>0</v>
      </c>
      <c r="H112" s="15">
        <v>2.19</v>
      </c>
      <c r="I112" s="15">
        <v>0</v>
      </c>
      <c r="J112" s="106" t="s">
        <v>12</v>
      </c>
      <c r="K112" s="591" t="s">
        <v>412</v>
      </c>
      <c r="L112" s="592"/>
      <c r="M112" s="593"/>
      <c r="N112" s="617"/>
    </row>
    <row r="113" spans="1:14" s="26" customFormat="1" ht="16" customHeight="1" x14ac:dyDescent="0.35">
      <c r="A113" s="589">
        <v>50</v>
      </c>
      <c r="B113" s="43" t="s">
        <v>255</v>
      </c>
      <c r="C113" s="15">
        <f t="shared" ref="C113:C143" si="9">SUM(E113:I113)</f>
        <v>7.69</v>
      </c>
      <c r="D113" s="590">
        <f>'[23]road inventory 2018'!C110</f>
        <v>7.6</v>
      </c>
      <c r="E113" s="15">
        <v>1.79</v>
      </c>
      <c r="F113" s="15">
        <v>0</v>
      </c>
      <c r="G113" s="15">
        <v>0</v>
      </c>
      <c r="H113" s="15">
        <v>5.9</v>
      </c>
      <c r="I113" s="15">
        <v>0</v>
      </c>
      <c r="J113" s="106" t="s">
        <v>12</v>
      </c>
      <c r="K113" s="591" t="s">
        <v>413</v>
      </c>
      <c r="L113" s="24"/>
      <c r="M113" s="593"/>
      <c r="N113" s="617"/>
    </row>
    <row r="114" spans="1:14" s="26" customFormat="1" ht="16" customHeight="1" x14ac:dyDescent="0.35">
      <c r="A114" s="589">
        <v>51</v>
      </c>
      <c r="B114" s="43" t="s">
        <v>248</v>
      </c>
      <c r="C114" s="15">
        <f t="shared" si="9"/>
        <v>3.96</v>
      </c>
      <c r="D114" s="590">
        <f>'[23]road inventory 2018'!C111</f>
        <v>3</v>
      </c>
      <c r="E114" s="15">
        <v>0</v>
      </c>
      <c r="F114" s="15">
        <v>0</v>
      </c>
      <c r="G114" s="15">
        <v>0</v>
      </c>
      <c r="H114" s="15">
        <v>3.96</v>
      </c>
      <c r="I114" s="15">
        <v>0</v>
      </c>
      <c r="J114" s="106" t="s">
        <v>12</v>
      </c>
      <c r="K114" s="591" t="s">
        <v>414</v>
      </c>
      <c r="L114" s="24"/>
      <c r="M114" s="593"/>
      <c r="N114" s="617"/>
    </row>
    <row r="115" spans="1:14" s="26" customFormat="1" ht="16" customHeight="1" x14ac:dyDescent="0.35">
      <c r="A115" s="589">
        <v>52</v>
      </c>
      <c r="B115" s="43" t="s">
        <v>251</v>
      </c>
      <c r="C115" s="15">
        <f t="shared" si="9"/>
        <v>6.64</v>
      </c>
      <c r="D115" s="590">
        <f>'[23]road inventory 2018'!C112</f>
        <v>6.5</v>
      </c>
      <c r="E115" s="15">
        <v>0</v>
      </c>
      <c r="F115" s="15">
        <v>0</v>
      </c>
      <c r="G115" s="15">
        <v>0</v>
      </c>
      <c r="H115" s="15">
        <v>6.64</v>
      </c>
      <c r="I115" s="15">
        <v>0</v>
      </c>
      <c r="J115" s="106" t="s">
        <v>12</v>
      </c>
      <c r="K115" s="591" t="s">
        <v>415</v>
      </c>
      <c r="L115" s="24"/>
      <c r="M115" s="593"/>
      <c r="N115" s="617"/>
    </row>
    <row r="116" spans="1:14" s="26" customFormat="1" ht="16" customHeight="1" x14ac:dyDescent="0.35">
      <c r="A116" s="589">
        <v>53</v>
      </c>
      <c r="B116" s="43" t="s">
        <v>249</v>
      </c>
      <c r="C116" s="15">
        <f t="shared" si="9"/>
        <v>6.46</v>
      </c>
      <c r="D116" s="590">
        <f>'[23]road inventory 2018'!C113</f>
        <v>6.4</v>
      </c>
      <c r="E116" s="15">
        <v>5.64</v>
      </c>
      <c r="F116" s="15">
        <v>0</v>
      </c>
      <c r="G116" s="15">
        <v>0</v>
      </c>
      <c r="H116" s="15">
        <v>0.82</v>
      </c>
      <c r="I116" s="15">
        <v>0</v>
      </c>
      <c r="J116" s="106" t="s">
        <v>12</v>
      </c>
      <c r="K116" s="591" t="s">
        <v>416</v>
      </c>
      <c r="L116" s="24"/>
      <c r="M116" s="593"/>
      <c r="N116" s="617"/>
    </row>
    <row r="117" spans="1:14" s="26" customFormat="1" ht="16" customHeight="1" x14ac:dyDescent="0.35">
      <c r="A117" s="589">
        <v>54</v>
      </c>
      <c r="B117" s="43" t="s">
        <v>252</v>
      </c>
      <c r="C117" s="15">
        <f t="shared" si="9"/>
        <v>1.69</v>
      </c>
      <c r="D117" s="590">
        <f>'[23]road inventory 2018'!C114</f>
        <v>1.6</v>
      </c>
      <c r="E117" s="15">
        <v>1.18</v>
      </c>
      <c r="F117" s="15">
        <v>0</v>
      </c>
      <c r="G117" s="15">
        <v>0</v>
      </c>
      <c r="H117" s="15">
        <v>0.51</v>
      </c>
      <c r="I117" s="15">
        <v>0</v>
      </c>
      <c r="J117" s="106" t="s">
        <v>10</v>
      </c>
      <c r="K117" s="591" t="s">
        <v>417</v>
      </c>
      <c r="L117" s="24"/>
      <c r="M117" s="593"/>
      <c r="N117" s="617"/>
    </row>
    <row r="118" spans="1:14" s="26" customFormat="1" ht="16" customHeight="1" x14ac:dyDescent="0.35">
      <c r="A118" s="589">
        <v>103</v>
      </c>
      <c r="B118" s="43" t="s">
        <v>245</v>
      </c>
      <c r="C118" s="15">
        <f t="shared" si="9"/>
        <v>1.27</v>
      </c>
      <c r="D118" s="590">
        <f>'[23]road inventory 2018'!C115</f>
        <v>1.2</v>
      </c>
      <c r="E118" s="15">
        <v>0.19</v>
      </c>
      <c r="F118" s="15">
        <v>0</v>
      </c>
      <c r="G118" s="15">
        <v>0</v>
      </c>
      <c r="H118" s="15">
        <v>1.08</v>
      </c>
      <c r="I118" s="15">
        <v>0</v>
      </c>
      <c r="J118" s="106" t="s">
        <v>10</v>
      </c>
      <c r="K118" s="591" t="s">
        <v>418</v>
      </c>
      <c r="L118" s="24"/>
      <c r="M118" s="593"/>
      <c r="N118" s="617"/>
    </row>
    <row r="119" spans="1:14" s="26" customFormat="1" ht="16" customHeight="1" x14ac:dyDescent="0.35">
      <c r="A119" s="589">
        <v>55</v>
      </c>
      <c r="B119" s="43" t="s">
        <v>244</v>
      </c>
      <c r="C119" s="15">
        <f t="shared" si="9"/>
        <v>4.18</v>
      </c>
      <c r="D119" s="590">
        <f>'[23]road inventory 2018'!C116</f>
        <v>4.0999999999999996</v>
      </c>
      <c r="E119" s="15">
        <v>0</v>
      </c>
      <c r="F119" s="15">
        <v>0</v>
      </c>
      <c r="G119" s="15">
        <v>0</v>
      </c>
      <c r="H119" s="15">
        <v>4.18</v>
      </c>
      <c r="I119" s="15">
        <v>0</v>
      </c>
      <c r="J119" s="106" t="s">
        <v>12</v>
      </c>
      <c r="K119" s="591" t="s">
        <v>419</v>
      </c>
      <c r="L119" s="24"/>
      <c r="M119" s="593"/>
      <c r="N119" s="617"/>
    </row>
    <row r="120" spans="1:14" s="26" customFormat="1" ht="16" customHeight="1" x14ac:dyDescent="0.35">
      <c r="A120" s="589">
        <v>57</v>
      </c>
      <c r="B120" s="43" t="s">
        <v>268</v>
      </c>
      <c r="C120" s="15">
        <f t="shared" si="9"/>
        <v>1.36</v>
      </c>
      <c r="D120" s="590">
        <f>'[23]road inventory 2018'!C117</f>
        <v>1.3</v>
      </c>
      <c r="E120" s="15">
        <v>0.3</v>
      </c>
      <c r="F120" s="15">
        <v>0</v>
      </c>
      <c r="G120" s="15">
        <v>0</v>
      </c>
      <c r="H120" s="15">
        <v>1.06</v>
      </c>
      <c r="I120" s="15">
        <v>0</v>
      </c>
      <c r="J120" s="106" t="s">
        <v>12</v>
      </c>
      <c r="K120" s="591" t="s">
        <v>420</v>
      </c>
      <c r="L120" s="24"/>
      <c r="M120" s="593"/>
      <c r="N120" s="617"/>
    </row>
    <row r="121" spans="1:14" s="1" customFormat="1" ht="16" customHeight="1" x14ac:dyDescent="0.35">
      <c r="A121" s="596">
        <v>58</v>
      </c>
      <c r="B121" s="45" t="s">
        <v>421</v>
      </c>
      <c r="C121" s="15">
        <f t="shared" si="9"/>
        <v>0.36</v>
      </c>
      <c r="D121" s="590">
        <f>'[23]road inventory 2018'!C118</f>
        <v>0.3</v>
      </c>
      <c r="E121" s="10">
        <v>0</v>
      </c>
      <c r="F121" s="10">
        <v>0</v>
      </c>
      <c r="G121" s="10">
        <v>0</v>
      </c>
      <c r="H121" s="10">
        <v>0.36</v>
      </c>
      <c r="I121" s="10">
        <v>0</v>
      </c>
      <c r="J121" s="103" t="s">
        <v>33</v>
      </c>
      <c r="K121" s="597" t="s">
        <v>422</v>
      </c>
      <c r="L121" s="28"/>
      <c r="M121" s="2"/>
      <c r="N121" s="581"/>
    </row>
    <row r="122" spans="1:14" s="1" customFormat="1" ht="16" customHeight="1" x14ac:dyDescent="0.35">
      <c r="A122" s="596">
        <v>59</v>
      </c>
      <c r="B122" s="45" t="s">
        <v>262</v>
      </c>
      <c r="C122" s="15">
        <f t="shared" si="9"/>
        <v>0.8</v>
      </c>
      <c r="D122" s="590">
        <f>'[23]road inventory 2018'!C119</f>
        <v>0.8</v>
      </c>
      <c r="E122" s="10">
        <v>0</v>
      </c>
      <c r="F122" s="10">
        <v>0</v>
      </c>
      <c r="G122" s="10">
        <v>0</v>
      </c>
      <c r="H122" s="10">
        <v>0.8</v>
      </c>
      <c r="I122" s="10">
        <v>0</v>
      </c>
      <c r="J122" s="103" t="s">
        <v>33</v>
      </c>
      <c r="K122" s="597" t="s">
        <v>422</v>
      </c>
      <c r="L122" s="28"/>
      <c r="M122" s="2"/>
      <c r="N122" s="581"/>
    </row>
    <row r="123" spans="1:14" s="26" customFormat="1" ht="16" customHeight="1" x14ac:dyDescent="0.35">
      <c r="A123" s="589">
        <v>97</v>
      </c>
      <c r="B123" s="43" t="s">
        <v>51</v>
      </c>
      <c r="C123" s="15">
        <f t="shared" si="9"/>
        <v>8.4499999999999993</v>
      </c>
      <c r="D123" s="590">
        <f>'[23]road inventory 2018'!C120</f>
        <v>8.3000000000000007</v>
      </c>
      <c r="E123" s="15">
        <v>8.4499999999999993</v>
      </c>
      <c r="F123" s="15">
        <v>0</v>
      </c>
      <c r="G123" s="15">
        <v>0</v>
      </c>
      <c r="H123" s="15">
        <v>0</v>
      </c>
      <c r="I123" s="15">
        <v>0</v>
      </c>
      <c r="J123" s="106" t="s">
        <v>10</v>
      </c>
      <c r="K123" s="591" t="s">
        <v>423</v>
      </c>
      <c r="L123" s="24"/>
      <c r="M123" s="593"/>
      <c r="N123" s="617"/>
    </row>
    <row r="124" spans="1:14" s="26" customFormat="1" ht="16" customHeight="1" x14ac:dyDescent="0.35">
      <c r="A124" s="589">
        <v>56</v>
      </c>
      <c r="B124" s="43" t="s">
        <v>250</v>
      </c>
      <c r="C124" s="15">
        <f t="shared" si="9"/>
        <v>5.7200000000000006</v>
      </c>
      <c r="D124" s="590">
        <f>'[23]road inventory 2018'!C121</f>
        <v>5.7</v>
      </c>
      <c r="E124" s="15">
        <v>1.73</v>
      </c>
      <c r="F124" s="15">
        <v>0</v>
      </c>
      <c r="G124" s="15">
        <v>0</v>
      </c>
      <c r="H124" s="15">
        <v>3.99</v>
      </c>
      <c r="I124" s="15">
        <v>0</v>
      </c>
      <c r="J124" s="106" t="s">
        <v>12</v>
      </c>
      <c r="K124" s="591" t="s">
        <v>414</v>
      </c>
      <c r="L124" s="24"/>
      <c r="M124" s="593"/>
      <c r="N124" s="617"/>
    </row>
    <row r="125" spans="1:14" s="26" customFormat="1" ht="16" customHeight="1" x14ac:dyDescent="0.35">
      <c r="A125" s="589">
        <v>60</v>
      </c>
      <c r="B125" s="43" t="s">
        <v>253</v>
      </c>
      <c r="C125" s="15">
        <f t="shared" si="9"/>
        <v>9.1999999999999993</v>
      </c>
      <c r="D125" s="590">
        <f>'[23]road inventory 2018'!C122</f>
        <v>9.1999999999999993</v>
      </c>
      <c r="E125" s="15">
        <v>7.1</v>
      </c>
      <c r="F125" s="15">
        <v>0</v>
      </c>
      <c r="G125" s="15">
        <v>0</v>
      </c>
      <c r="H125" s="15">
        <v>2.1</v>
      </c>
      <c r="I125" s="15">
        <v>0</v>
      </c>
      <c r="J125" s="106" t="s">
        <v>10</v>
      </c>
      <c r="K125" s="591" t="s">
        <v>424</v>
      </c>
      <c r="L125" s="24"/>
      <c r="M125" s="593"/>
      <c r="N125" s="617"/>
    </row>
    <row r="126" spans="1:14" s="26" customFormat="1" ht="16" customHeight="1" x14ac:dyDescent="0.35">
      <c r="A126" s="589">
        <v>61</v>
      </c>
      <c r="B126" s="43" t="s">
        <v>260</v>
      </c>
      <c r="C126" s="15">
        <f t="shared" si="9"/>
        <v>4.5</v>
      </c>
      <c r="D126" s="590">
        <f>'[23]road inventory 2018'!C123</f>
        <v>4.5</v>
      </c>
      <c r="E126" s="15">
        <v>1.63</v>
      </c>
      <c r="F126" s="15">
        <v>0</v>
      </c>
      <c r="G126" s="15">
        <v>0</v>
      </c>
      <c r="H126" s="15">
        <v>2.87</v>
      </c>
      <c r="I126" s="15">
        <v>0</v>
      </c>
      <c r="J126" s="106" t="s">
        <v>10</v>
      </c>
      <c r="K126" s="591" t="s">
        <v>425</v>
      </c>
      <c r="L126" s="24"/>
      <c r="M126" s="593"/>
      <c r="N126" s="617"/>
    </row>
    <row r="127" spans="1:14" s="26" customFormat="1" ht="16" customHeight="1" x14ac:dyDescent="0.35">
      <c r="A127" s="589">
        <v>62</v>
      </c>
      <c r="B127" s="43" t="s">
        <v>269</v>
      </c>
      <c r="C127" s="15">
        <f t="shared" si="9"/>
        <v>3.03</v>
      </c>
      <c r="D127" s="590">
        <f>'[23]road inventory 2018'!C124</f>
        <v>2</v>
      </c>
      <c r="E127" s="15">
        <v>0</v>
      </c>
      <c r="F127" s="15">
        <v>0</v>
      </c>
      <c r="G127" s="15">
        <v>0</v>
      </c>
      <c r="H127" s="15">
        <v>3.03</v>
      </c>
      <c r="I127" s="15">
        <v>0</v>
      </c>
      <c r="J127" s="106" t="s">
        <v>12</v>
      </c>
      <c r="K127" s="591" t="s">
        <v>426</v>
      </c>
      <c r="L127" s="24"/>
      <c r="M127" s="593"/>
      <c r="N127" s="617"/>
    </row>
    <row r="128" spans="1:14" s="26" customFormat="1" ht="16" customHeight="1" x14ac:dyDescent="0.35">
      <c r="A128" s="589">
        <v>63</v>
      </c>
      <c r="B128" s="43" t="s">
        <v>265</v>
      </c>
      <c r="C128" s="15">
        <f t="shared" si="9"/>
        <v>3.04</v>
      </c>
      <c r="D128" s="590">
        <f>'[23]road inventory 2018'!C125</f>
        <v>3</v>
      </c>
      <c r="E128" s="15">
        <v>0.11</v>
      </c>
      <c r="F128" s="15">
        <v>0</v>
      </c>
      <c r="G128" s="15">
        <v>0</v>
      </c>
      <c r="H128" s="15">
        <v>2.93</v>
      </c>
      <c r="I128" s="15">
        <v>0</v>
      </c>
      <c r="J128" s="106" t="s">
        <v>12</v>
      </c>
      <c r="K128" s="591" t="s">
        <v>427</v>
      </c>
      <c r="L128" s="24"/>
      <c r="M128" s="593"/>
      <c r="N128" s="617"/>
    </row>
    <row r="129" spans="1:14" s="26" customFormat="1" ht="16" customHeight="1" x14ac:dyDescent="0.35">
      <c r="A129" s="589">
        <v>98</v>
      </c>
      <c r="B129" s="43" t="s">
        <v>247</v>
      </c>
      <c r="C129" s="15">
        <f t="shared" si="9"/>
        <v>5.18</v>
      </c>
      <c r="D129" s="590">
        <f>'[23]road inventory 2018'!C126</f>
        <v>5.1000000000000005</v>
      </c>
      <c r="E129" s="15">
        <v>5.08</v>
      </c>
      <c r="F129" s="15">
        <v>0</v>
      </c>
      <c r="G129" s="15">
        <v>0</v>
      </c>
      <c r="H129" s="15">
        <v>0.1</v>
      </c>
      <c r="I129" s="15">
        <v>0</v>
      </c>
      <c r="J129" s="106" t="s">
        <v>12</v>
      </c>
      <c r="K129" s="591" t="s">
        <v>428</v>
      </c>
      <c r="L129" s="24"/>
      <c r="M129" s="593"/>
      <c r="N129" s="617"/>
    </row>
    <row r="130" spans="1:14" s="26" customFormat="1" ht="16" customHeight="1" x14ac:dyDescent="0.35">
      <c r="A130" s="589">
        <v>64</v>
      </c>
      <c r="B130" s="43" t="s">
        <v>246</v>
      </c>
      <c r="C130" s="15">
        <f t="shared" si="9"/>
        <v>3.64</v>
      </c>
      <c r="D130" s="590">
        <f>'[23]road inventory 2018'!C127</f>
        <v>3.6</v>
      </c>
      <c r="E130" s="15">
        <v>2.41</v>
      </c>
      <c r="F130" s="15">
        <v>0</v>
      </c>
      <c r="G130" s="15">
        <v>0</v>
      </c>
      <c r="H130" s="15">
        <v>1.23</v>
      </c>
      <c r="I130" s="15">
        <v>0</v>
      </c>
      <c r="J130" s="106" t="s">
        <v>12</v>
      </c>
      <c r="K130" s="591" t="s">
        <v>429</v>
      </c>
      <c r="L130" s="24"/>
      <c r="M130" s="593"/>
      <c r="N130" s="617"/>
    </row>
    <row r="131" spans="1:14" s="625" customFormat="1" ht="16" customHeight="1" x14ac:dyDescent="0.35">
      <c r="A131" s="618">
        <v>96</v>
      </c>
      <c r="B131" s="648" t="s">
        <v>270</v>
      </c>
      <c r="C131" s="620">
        <f>SUM(E131:I131)</f>
        <v>5.73</v>
      </c>
      <c r="D131" s="634">
        <f>'[23]road inventory 2018'!C128</f>
        <v>5.6999999999999993</v>
      </c>
      <c r="E131" s="620">
        <v>2.2669999999999999</v>
      </c>
      <c r="F131" s="620">
        <v>0</v>
      </c>
      <c r="G131" s="620">
        <v>0</v>
      </c>
      <c r="H131" s="620">
        <v>3.4630000000000001</v>
      </c>
      <c r="I131" s="620">
        <v>0</v>
      </c>
      <c r="J131" s="621" t="s">
        <v>12</v>
      </c>
      <c r="K131" s="622" t="s">
        <v>430</v>
      </c>
      <c r="L131" s="619"/>
      <c r="M131" s="623"/>
      <c r="N131" s="624"/>
    </row>
    <row r="132" spans="1:14" s="26" customFormat="1" ht="16" customHeight="1" x14ac:dyDescent="0.35">
      <c r="A132" s="589">
        <v>65</v>
      </c>
      <c r="B132" s="43" t="s">
        <v>261</v>
      </c>
      <c r="C132" s="15">
        <f t="shared" si="9"/>
        <v>2.7</v>
      </c>
      <c r="D132" s="590">
        <f>'[23]road inventory 2018'!C129</f>
        <v>1.65</v>
      </c>
      <c r="E132" s="15">
        <v>0</v>
      </c>
      <c r="F132" s="15">
        <v>0</v>
      </c>
      <c r="G132" s="15">
        <v>0</v>
      </c>
      <c r="H132" s="15">
        <v>2.7</v>
      </c>
      <c r="I132" s="15">
        <v>0</v>
      </c>
      <c r="J132" s="106" t="s">
        <v>12</v>
      </c>
      <c r="K132" s="591" t="s">
        <v>431</v>
      </c>
      <c r="L132" s="24"/>
      <c r="M132" s="593"/>
      <c r="N132" s="617"/>
    </row>
    <row r="133" spans="1:14" s="26" customFormat="1" ht="16" customHeight="1" x14ac:dyDescent="0.35">
      <c r="A133" s="589">
        <v>66</v>
      </c>
      <c r="B133" s="43" t="s">
        <v>432</v>
      </c>
      <c r="C133" s="15">
        <f t="shared" si="9"/>
        <v>3.8400000000000003</v>
      </c>
      <c r="D133" s="590">
        <f>'[23]road inventory 2018'!C130</f>
        <v>3.8000000000000003</v>
      </c>
      <c r="E133" s="15">
        <v>0.1</v>
      </c>
      <c r="F133" s="15">
        <v>0</v>
      </c>
      <c r="G133" s="15">
        <v>0</v>
      </c>
      <c r="H133" s="15">
        <v>3.74</v>
      </c>
      <c r="I133" s="15">
        <v>0</v>
      </c>
      <c r="J133" s="106" t="s">
        <v>12</v>
      </c>
      <c r="K133" s="591" t="s">
        <v>433</v>
      </c>
      <c r="L133" s="24"/>
      <c r="M133" s="593"/>
      <c r="N133" s="617"/>
    </row>
    <row r="134" spans="1:14" s="1" customFormat="1" ht="16" customHeight="1" x14ac:dyDescent="0.35">
      <c r="A134" s="596">
        <v>67</v>
      </c>
      <c r="B134" s="45" t="s">
        <v>267</v>
      </c>
      <c r="C134" s="15">
        <f t="shared" si="9"/>
        <v>1.9</v>
      </c>
      <c r="D134" s="590">
        <f>'[23]road inventory 2018'!C131</f>
        <v>1.9</v>
      </c>
      <c r="E134" s="10">
        <v>0</v>
      </c>
      <c r="F134" s="10">
        <v>0</v>
      </c>
      <c r="G134" s="10">
        <v>0</v>
      </c>
      <c r="H134" s="10">
        <v>1.9</v>
      </c>
      <c r="I134" s="10">
        <v>0</v>
      </c>
      <c r="J134" s="103" t="s">
        <v>33</v>
      </c>
      <c r="K134" s="597" t="s">
        <v>434</v>
      </c>
      <c r="L134" s="28"/>
      <c r="M134" s="2"/>
      <c r="N134" s="581"/>
    </row>
    <row r="135" spans="1:14" s="1" customFormat="1" ht="16" customHeight="1" x14ac:dyDescent="0.35">
      <c r="A135" s="596">
        <v>68</v>
      </c>
      <c r="B135" s="45" t="s">
        <v>266</v>
      </c>
      <c r="C135" s="15">
        <f t="shared" si="9"/>
        <v>1.65</v>
      </c>
      <c r="D135" s="590">
        <f>'[23]road inventory 2018'!C132</f>
        <v>1.5999999999999999</v>
      </c>
      <c r="E135" s="10">
        <v>0.25</v>
      </c>
      <c r="F135" s="10">
        <v>0</v>
      </c>
      <c r="G135" s="10">
        <v>0</v>
      </c>
      <c r="H135" s="10">
        <v>1.4</v>
      </c>
      <c r="I135" s="10">
        <v>0</v>
      </c>
      <c r="J135" s="103" t="s">
        <v>33</v>
      </c>
      <c r="K135" s="597" t="s">
        <v>434</v>
      </c>
      <c r="L135" s="28"/>
      <c r="M135" s="2"/>
      <c r="N135" s="581"/>
    </row>
    <row r="136" spans="1:14" s="26" customFormat="1" ht="16" customHeight="1" thickBot="1" x14ac:dyDescent="0.4">
      <c r="A136" s="649">
        <v>69</v>
      </c>
      <c r="B136" s="650" t="s">
        <v>264</v>
      </c>
      <c r="C136" s="15">
        <f t="shared" si="9"/>
        <v>1.68</v>
      </c>
      <c r="D136" s="590">
        <f>'[23]road inventory 2018'!C133</f>
        <v>1.6</v>
      </c>
      <c r="E136" s="65">
        <v>0</v>
      </c>
      <c r="F136" s="65">
        <v>0</v>
      </c>
      <c r="G136" s="65">
        <v>0</v>
      </c>
      <c r="H136" s="65">
        <v>1.68</v>
      </c>
      <c r="I136" s="65">
        <v>0</v>
      </c>
      <c r="J136" s="651" t="s">
        <v>12</v>
      </c>
      <c r="K136" s="652" t="s">
        <v>435</v>
      </c>
      <c r="L136" s="24"/>
      <c r="M136" s="593"/>
      <c r="N136" s="617"/>
    </row>
    <row r="137" spans="1:14" s="26" customFormat="1" ht="16" customHeight="1" x14ac:dyDescent="0.35">
      <c r="A137" s="589">
        <v>70</v>
      </c>
      <c r="B137" s="43" t="s">
        <v>263</v>
      </c>
      <c r="C137" s="15">
        <f t="shared" si="9"/>
        <v>2.77</v>
      </c>
      <c r="D137" s="590">
        <f>'[23]road inventory 2018'!C136</f>
        <v>2.6</v>
      </c>
      <c r="E137" s="15">
        <v>0</v>
      </c>
      <c r="F137" s="15">
        <v>0</v>
      </c>
      <c r="G137" s="15">
        <v>0</v>
      </c>
      <c r="H137" s="15">
        <v>2.77</v>
      </c>
      <c r="I137" s="15">
        <v>0</v>
      </c>
      <c r="J137" s="106" t="s">
        <v>12</v>
      </c>
      <c r="K137" s="591" t="s">
        <v>436</v>
      </c>
      <c r="L137" s="24"/>
      <c r="M137" s="593"/>
      <c r="N137" s="617"/>
    </row>
    <row r="138" spans="1:14" s="26" customFormat="1" ht="16" customHeight="1" x14ac:dyDescent="0.35">
      <c r="A138" s="589">
        <v>71</v>
      </c>
      <c r="B138" s="43" t="s">
        <v>54</v>
      </c>
      <c r="C138" s="15">
        <f t="shared" si="9"/>
        <v>2.69</v>
      </c>
      <c r="D138" s="590">
        <f>'[23]road inventory 2018'!C137</f>
        <v>2.7</v>
      </c>
      <c r="E138" s="15">
        <v>0</v>
      </c>
      <c r="F138" s="15">
        <v>0</v>
      </c>
      <c r="G138" s="15">
        <v>0</v>
      </c>
      <c r="H138" s="15">
        <v>2.69</v>
      </c>
      <c r="I138" s="15">
        <v>0</v>
      </c>
      <c r="J138" s="106" t="s">
        <v>12</v>
      </c>
      <c r="K138" s="591" t="s">
        <v>437</v>
      </c>
      <c r="L138" s="24"/>
      <c r="M138" s="593"/>
      <c r="N138" s="617"/>
    </row>
    <row r="139" spans="1:14" s="26" customFormat="1" ht="16" customHeight="1" x14ac:dyDescent="0.35">
      <c r="A139" s="589">
        <v>72</v>
      </c>
      <c r="B139" s="43" t="s">
        <v>56</v>
      </c>
      <c r="C139" s="15">
        <f t="shared" si="9"/>
        <v>1.8900000000000001</v>
      </c>
      <c r="D139" s="590">
        <f>'[23]road inventory 2018'!C138</f>
        <v>1.7</v>
      </c>
      <c r="E139" s="15">
        <v>0.83</v>
      </c>
      <c r="F139" s="15">
        <v>0</v>
      </c>
      <c r="G139" s="15">
        <v>0</v>
      </c>
      <c r="H139" s="15">
        <v>1.06</v>
      </c>
      <c r="I139" s="15">
        <v>0</v>
      </c>
      <c r="J139" s="106" t="s">
        <v>12</v>
      </c>
      <c r="K139" s="591" t="s">
        <v>438</v>
      </c>
      <c r="L139" s="24"/>
      <c r="M139" s="593"/>
      <c r="N139" s="617"/>
    </row>
    <row r="140" spans="1:14" s="26" customFormat="1" ht="16" customHeight="1" x14ac:dyDescent="0.35">
      <c r="A140" s="589">
        <v>73</v>
      </c>
      <c r="B140" s="24" t="s">
        <v>258</v>
      </c>
      <c r="C140" s="15">
        <f t="shared" si="9"/>
        <v>4.5599999999999996</v>
      </c>
      <c r="D140" s="590">
        <f>'[23]road inventory 2018'!C139</f>
        <v>5.5</v>
      </c>
      <c r="E140" s="15">
        <v>0</v>
      </c>
      <c r="F140" s="15">
        <v>0</v>
      </c>
      <c r="G140" s="15">
        <v>0</v>
      </c>
      <c r="H140" s="15">
        <v>4.5599999999999996</v>
      </c>
      <c r="I140" s="15">
        <v>0</v>
      </c>
      <c r="J140" s="106" t="s">
        <v>12</v>
      </c>
      <c r="K140" s="591" t="s">
        <v>439</v>
      </c>
      <c r="L140" s="24"/>
      <c r="M140" s="593"/>
      <c r="N140" s="617"/>
    </row>
    <row r="141" spans="1:14" s="26" customFormat="1" ht="16" customHeight="1" x14ac:dyDescent="0.35">
      <c r="A141" s="589">
        <v>74</v>
      </c>
      <c r="B141" s="24" t="s">
        <v>257</v>
      </c>
      <c r="C141" s="15">
        <f t="shared" si="9"/>
        <v>0.53</v>
      </c>
      <c r="D141" s="590">
        <f>'[23]road inventory 2018'!C140</f>
        <v>0.5</v>
      </c>
      <c r="E141" s="15">
        <v>0</v>
      </c>
      <c r="F141" s="15">
        <v>0</v>
      </c>
      <c r="G141" s="15">
        <v>0</v>
      </c>
      <c r="H141" s="15">
        <v>0.53</v>
      </c>
      <c r="I141" s="15">
        <v>0</v>
      </c>
      <c r="J141" s="106" t="s">
        <v>33</v>
      </c>
      <c r="K141" s="591" t="s">
        <v>439</v>
      </c>
      <c r="L141" s="24"/>
      <c r="M141" s="593"/>
      <c r="N141" s="617"/>
    </row>
    <row r="142" spans="1:14" s="1" customFormat="1" ht="16" customHeight="1" x14ac:dyDescent="0.35">
      <c r="A142" s="596">
        <v>75</v>
      </c>
      <c r="B142" s="28" t="s">
        <v>259</v>
      </c>
      <c r="C142" s="15">
        <f t="shared" si="9"/>
        <v>3.1</v>
      </c>
      <c r="D142" s="590">
        <f>'[23]road inventory 2018'!C141</f>
        <v>2.1</v>
      </c>
      <c r="E142" s="10">
        <v>0</v>
      </c>
      <c r="F142" s="10">
        <v>0</v>
      </c>
      <c r="G142" s="10">
        <v>0</v>
      </c>
      <c r="H142" s="10">
        <v>3.1</v>
      </c>
      <c r="I142" s="10">
        <v>0</v>
      </c>
      <c r="J142" s="103" t="s">
        <v>12</v>
      </c>
      <c r="K142" s="597" t="s">
        <v>440</v>
      </c>
      <c r="L142" s="28"/>
      <c r="M142" s="2"/>
      <c r="N142" s="581"/>
    </row>
    <row r="143" spans="1:14" s="26" customFormat="1" ht="16" customHeight="1" x14ac:dyDescent="0.35">
      <c r="A143" s="589">
        <v>76</v>
      </c>
      <c r="B143" s="24" t="s">
        <v>256</v>
      </c>
      <c r="C143" s="15">
        <f t="shared" si="9"/>
        <v>0.2</v>
      </c>
      <c r="D143" s="590">
        <f>'[23]road inventory 2018'!C142</f>
        <v>0.2</v>
      </c>
      <c r="E143" s="15">
        <v>0.2</v>
      </c>
      <c r="F143" s="15">
        <v>0</v>
      </c>
      <c r="G143" s="15">
        <v>0</v>
      </c>
      <c r="H143" s="15">
        <v>0</v>
      </c>
      <c r="I143" s="15">
        <v>0</v>
      </c>
      <c r="J143" s="106" t="s">
        <v>10</v>
      </c>
      <c r="K143" s="591" t="s">
        <v>425</v>
      </c>
      <c r="L143" s="24"/>
      <c r="M143" s="593"/>
      <c r="N143" s="617"/>
    </row>
    <row r="144" spans="1:14" s="26" customFormat="1" ht="16" customHeight="1" x14ac:dyDescent="0.35">
      <c r="A144" s="626"/>
      <c r="B144" s="60"/>
      <c r="C144" s="61">
        <f t="shared" ref="C144:I144" si="10">SUM(C112:C143)</f>
        <v>112.60000000000002</v>
      </c>
      <c r="D144" s="636">
        <f t="shared" si="10"/>
        <v>107.84999999999998</v>
      </c>
      <c r="E144" s="61">
        <f t="shared" si="10"/>
        <v>39.257000000000005</v>
      </c>
      <c r="F144" s="61">
        <f t="shared" si="10"/>
        <v>0</v>
      </c>
      <c r="G144" s="61">
        <f t="shared" si="10"/>
        <v>0</v>
      </c>
      <c r="H144" s="61">
        <f t="shared" si="10"/>
        <v>73.343000000000004</v>
      </c>
      <c r="I144" s="61">
        <f t="shared" si="10"/>
        <v>0</v>
      </c>
      <c r="J144" s="628"/>
      <c r="K144" s="629"/>
      <c r="L144" s="24"/>
      <c r="M144" s="593"/>
      <c r="N144" s="617"/>
    </row>
    <row r="145" spans="1:14" s="1" customFormat="1" ht="18" customHeight="1" thickBot="1" x14ac:dyDescent="0.4">
      <c r="A145" s="53" t="s">
        <v>341</v>
      </c>
      <c r="B145" s="34"/>
      <c r="C145" s="31">
        <f>E145+H145</f>
        <v>112.60000000000001</v>
      </c>
      <c r="D145" s="630"/>
      <c r="E145" s="31">
        <f>SUM(E112:E143)</f>
        <v>39.257000000000005</v>
      </c>
      <c r="F145" s="31">
        <f>SUM(F112:F143)</f>
        <v>0</v>
      </c>
      <c r="G145" s="31">
        <f>SUM(G112:G143)</f>
        <v>0</v>
      </c>
      <c r="H145" s="31">
        <f>SUM(H112:H143)</f>
        <v>73.343000000000004</v>
      </c>
      <c r="I145" s="31">
        <f>SUM(I112:I143)</f>
        <v>0</v>
      </c>
      <c r="J145" s="608"/>
      <c r="K145" s="609"/>
      <c r="L145" s="653"/>
      <c r="M145" s="21"/>
      <c r="N145" s="581"/>
    </row>
    <row r="146" spans="1:14" s="1" customFormat="1" ht="18" customHeight="1" x14ac:dyDescent="0.35">
      <c r="A146" s="544"/>
      <c r="B146" s="35"/>
      <c r="C146" s="22"/>
      <c r="D146" s="610"/>
      <c r="E146" s="22"/>
      <c r="F146" s="22"/>
      <c r="G146" s="22"/>
      <c r="H146" s="22"/>
      <c r="I146" s="22"/>
      <c r="K146" s="21"/>
      <c r="L146" s="653"/>
      <c r="M146" s="21"/>
      <c r="N146" s="581"/>
    </row>
    <row r="147" spans="1:14" s="1" customFormat="1" x14ac:dyDescent="0.35">
      <c r="A147" s="1203" t="s">
        <v>441</v>
      </c>
      <c r="B147" s="1204"/>
      <c r="C147" s="1204"/>
      <c r="D147" s="1204"/>
      <c r="E147" s="1204"/>
      <c r="F147" s="1204"/>
      <c r="G147" s="1204"/>
      <c r="H147" s="1204"/>
      <c r="I147" s="1204"/>
      <c r="J147" s="1204"/>
      <c r="K147" s="1204"/>
      <c r="L147" s="1205"/>
      <c r="M147" s="584"/>
      <c r="N147" s="581"/>
    </row>
    <row r="148" spans="1:14" s="1" customFormat="1" ht="16" thickBot="1" x14ac:dyDescent="0.4">
      <c r="A148" s="585"/>
      <c r="B148" s="2"/>
      <c r="C148" s="5"/>
      <c r="D148" s="586"/>
      <c r="E148" s="5"/>
      <c r="F148" s="5"/>
      <c r="G148" s="5"/>
      <c r="H148" s="5"/>
      <c r="I148" s="5"/>
      <c r="J148" s="3"/>
      <c r="K148" s="21"/>
      <c r="L148" s="97"/>
      <c r="M148" s="21"/>
      <c r="N148" s="581"/>
    </row>
    <row r="149" spans="1:14" s="1" customFormat="1" ht="21" customHeight="1" x14ac:dyDescent="0.35">
      <c r="A149" s="1206" t="s">
        <v>302</v>
      </c>
      <c r="B149" s="1208" t="s">
        <v>28</v>
      </c>
      <c r="C149" s="1210" t="s">
        <v>343</v>
      </c>
      <c r="D149" s="613"/>
      <c r="E149" s="1212" t="s">
        <v>305</v>
      </c>
      <c r="F149" s="1212"/>
      <c r="G149" s="1212"/>
      <c r="H149" s="1212"/>
      <c r="I149" s="1212"/>
      <c r="J149" s="1208" t="s">
        <v>29</v>
      </c>
      <c r="K149" s="1213" t="s">
        <v>306</v>
      </c>
      <c r="L149" s="1226" t="s">
        <v>307</v>
      </c>
      <c r="M149" s="588"/>
      <c r="N149" s="581"/>
    </row>
    <row r="150" spans="1:14" s="1" customFormat="1" ht="21" customHeight="1" thickBot="1" x14ac:dyDescent="0.4">
      <c r="A150" s="1207"/>
      <c r="B150" s="1209"/>
      <c r="C150" s="1211"/>
      <c r="D150" s="614"/>
      <c r="E150" s="7" t="s">
        <v>308</v>
      </c>
      <c r="F150" s="7" t="s">
        <v>309</v>
      </c>
      <c r="G150" s="7" t="s">
        <v>310</v>
      </c>
      <c r="H150" s="7" t="s">
        <v>311</v>
      </c>
      <c r="I150" s="7" t="s">
        <v>312</v>
      </c>
      <c r="J150" s="1209"/>
      <c r="K150" s="1214"/>
      <c r="L150" s="1227"/>
      <c r="M150" s="588"/>
      <c r="N150" s="581"/>
    </row>
    <row r="151" spans="1:14" s="26" customFormat="1" ht="16.5" customHeight="1" x14ac:dyDescent="0.35">
      <c r="A151" s="626">
        <v>95</v>
      </c>
      <c r="B151" s="43" t="s">
        <v>276</v>
      </c>
      <c r="C151" s="61">
        <f>SUM(E151:I151)</f>
        <v>2.3200000000000003</v>
      </c>
      <c r="D151" s="636">
        <f>'[23]road inventory 2018'!C149</f>
        <v>3</v>
      </c>
      <c r="E151" s="15">
        <v>1.02</v>
      </c>
      <c r="F151" s="15">
        <v>0</v>
      </c>
      <c r="G151" s="15">
        <v>0</v>
      </c>
      <c r="H151" s="61">
        <v>1.3</v>
      </c>
      <c r="I151" s="15">
        <v>0</v>
      </c>
      <c r="J151" s="106" t="s">
        <v>10</v>
      </c>
      <c r="K151" s="591" t="s">
        <v>442</v>
      </c>
      <c r="L151" s="592"/>
      <c r="M151" s="593"/>
      <c r="N151" s="617"/>
    </row>
    <row r="152" spans="1:14" s="26" customFormat="1" ht="15" customHeight="1" x14ac:dyDescent="0.35">
      <c r="A152" s="589">
        <v>77</v>
      </c>
      <c r="B152" s="43" t="s">
        <v>271</v>
      </c>
      <c r="C152" s="61">
        <f t="shared" ref="C152:C164" si="11">SUM(E152:I152)</f>
        <v>0.76</v>
      </c>
      <c r="D152" s="636">
        <f>'[23]road inventory 2018'!C150</f>
        <v>0.7</v>
      </c>
      <c r="E152" s="15">
        <v>0.76</v>
      </c>
      <c r="F152" s="15">
        <v>0</v>
      </c>
      <c r="G152" s="15">
        <v>0</v>
      </c>
      <c r="H152" s="15">
        <v>0</v>
      </c>
      <c r="I152" s="15">
        <v>0</v>
      </c>
      <c r="J152" s="106" t="s">
        <v>10</v>
      </c>
      <c r="K152" s="591" t="s">
        <v>443</v>
      </c>
      <c r="L152" s="24"/>
      <c r="M152" s="593"/>
      <c r="N152" s="617"/>
    </row>
    <row r="153" spans="1:14" s="26" customFormat="1" ht="15" customHeight="1" x14ac:dyDescent="0.35">
      <c r="A153" s="589">
        <v>94</v>
      </c>
      <c r="B153" s="43" t="s">
        <v>278</v>
      </c>
      <c r="C153" s="61">
        <f t="shared" si="11"/>
        <v>0.6</v>
      </c>
      <c r="D153" s="636">
        <f>'[23]road inventory 2018'!C151</f>
        <v>0.6</v>
      </c>
      <c r="E153" s="15">
        <v>0.5</v>
      </c>
      <c r="F153" s="15">
        <v>0</v>
      </c>
      <c r="G153" s="15">
        <v>0</v>
      </c>
      <c r="H153" s="15">
        <v>0.1</v>
      </c>
      <c r="I153" s="15">
        <v>0</v>
      </c>
      <c r="J153" s="106" t="s">
        <v>10</v>
      </c>
      <c r="K153" s="591" t="s">
        <v>444</v>
      </c>
      <c r="L153" s="24"/>
      <c r="M153" s="593"/>
      <c r="N153" s="617"/>
    </row>
    <row r="154" spans="1:14" s="1" customFormat="1" x14ac:dyDescent="0.35">
      <c r="A154" s="596">
        <v>78</v>
      </c>
      <c r="B154" s="45" t="s">
        <v>277</v>
      </c>
      <c r="C154" s="61">
        <f t="shared" si="11"/>
        <v>3.81</v>
      </c>
      <c r="D154" s="636">
        <f>'[23]road inventory 2018'!C152</f>
        <v>3.8</v>
      </c>
      <c r="E154" s="10">
        <v>0.69</v>
      </c>
      <c r="F154" s="10">
        <v>0</v>
      </c>
      <c r="G154" s="10">
        <v>0</v>
      </c>
      <c r="H154" s="10">
        <v>3.12</v>
      </c>
      <c r="I154" s="10">
        <v>0</v>
      </c>
      <c r="J154" s="103" t="s">
        <v>41</v>
      </c>
      <c r="K154" s="597" t="s">
        <v>445</v>
      </c>
      <c r="L154" s="28"/>
      <c r="M154" s="2"/>
      <c r="N154" s="581"/>
    </row>
    <row r="155" spans="1:14" s="1" customFormat="1" ht="16.5" customHeight="1" x14ac:dyDescent="0.35">
      <c r="A155" s="596">
        <v>79</v>
      </c>
      <c r="B155" s="45" t="s">
        <v>272</v>
      </c>
      <c r="C155" s="61">
        <f t="shared" si="11"/>
        <v>0.55000000000000004</v>
      </c>
      <c r="D155" s="636">
        <f>'[23]road inventory 2018'!C153</f>
        <v>1.9000000000000001</v>
      </c>
      <c r="E155" s="10">
        <v>0.12</v>
      </c>
      <c r="F155" s="10">
        <v>0</v>
      </c>
      <c r="G155" s="10">
        <v>0</v>
      </c>
      <c r="H155" s="10">
        <v>0.43</v>
      </c>
      <c r="I155" s="10">
        <v>0</v>
      </c>
      <c r="J155" s="103" t="s">
        <v>41</v>
      </c>
      <c r="K155" s="597" t="s">
        <v>446</v>
      </c>
      <c r="L155" s="28" t="s">
        <v>833</v>
      </c>
      <c r="M155" s="2"/>
      <c r="N155" s="581" t="s">
        <v>834</v>
      </c>
    </row>
    <row r="156" spans="1:14" s="1" customFormat="1" ht="31" x14ac:dyDescent="0.35">
      <c r="A156" s="596">
        <v>80</v>
      </c>
      <c r="B156" s="45" t="s">
        <v>282</v>
      </c>
      <c r="C156" s="61">
        <f t="shared" si="11"/>
        <v>15.75</v>
      </c>
      <c r="D156" s="636">
        <f>'[23]road inventory 2018'!C154</f>
        <v>15.7</v>
      </c>
      <c r="E156" s="10">
        <v>0.7</v>
      </c>
      <c r="F156" s="10">
        <v>0</v>
      </c>
      <c r="G156" s="10">
        <v>0</v>
      </c>
      <c r="H156" s="10">
        <v>15.05</v>
      </c>
      <c r="I156" s="10">
        <v>0</v>
      </c>
      <c r="J156" s="103" t="s">
        <v>41</v>
      </c>
      <c r="K156" s="597" t="s">
        <v>447</v>
      </c>
      <c r="L156" s="28"/>
      <c r="M156" s="2"/>
      <c r="N156" s="581"/>
    </row>
    <row r="157" spans="1:14" s="26" customFormat="1" ht="16.5" customHeight="1" x14ac:dyDescent="0.35">
      <c r="A157" s="589">
        <v>81</v>
      </c>
      <c r="B157" s="43" t="s">
        <v>279</v>
      </c>
      <c r="C157" s="61">
        <f t="shared" si="11"/>
        <v>3.89</v>
      </c>
      <c r="D157" s="636">
        <f>'[23]road inventory 2018'!C155</f>
        <v>3.8</v>
      </c>
      <c r="E157" s="15">
        <v>0.27</v>
      </c>
      <c r="F157" s="15">
        <v>0</v>
      </c>
      <c r="G157" s="15">
        <v>0</v>
      </c>
      <c r="H157" s="15">
        <v>3.62</v>
      </c>
      <c r="I157" s="15">
        <v>0</v>
      </c>
      <c r="J157" s="106" t="s">
        <v>33</v>
      </c>
      <c r="K157" s="591" t="s">
        <v>448</v>
      </c>
      <c r="L157" s="24"/>
      <c r="M157" s="593"/>
      <c r="N157" s="617"/>
    </row>
    <row r="158" spans="1:14" s="26" customFormat="1" ht="13.15" customHeight="1" x14ac:dyDescent="0.35">
      <c r="A158" s="589">
        <v>82</v>
      </c>
      <c r="B158" s="43" t="s">
        <v>283</v>
      </c>
      <c r="C158" s="61">
        <f t="shared" si="11"/>
        <v>5.6099999999999994</v>
      </c>
      <c r="D158" s="636">
        <f>'[23]road inventory 2018'!C156</f>
        <v>5.4</v>
      </c>
      <c r="E158" s="15">
        <v>1.23</v>
      </c>
      <c r="F158" s="15">
        <v>0</v>
      </c>
      <c r="G158" s="15">
        <v>0</v>
      </c>
      <c r="H158" s="15">
        <v>4.38</v>
      </c>
      <c r="I158" s="15">
        <v>0</v>
      </c>
      <c r="J158" s="106" t="s">
        <v>33</v>
      </c>
      <c r="K158" s="591" t="s">
        <v>449</v>
      </c>
      <c r="L158" s="24"/>
      <c r="M158" s="593"/>
      <c r="N158" s="617"/>
    </row>
    <row r="159" spans="1:14" s="1" customFormat="1" x14ac:dyDescent="0.35">
      <c r="A159" s="596">
        <v>83</v>
      </c>
      <c r="B159" s="45" t="s">
        <v>58</v>
      </c>
      <c r="C159" s="61">
        <f t="shared" si="11"/>
        <v>4.12</v>
      </c>
      <c r="D159" s="636">
        <f>'[23]road inventory 2018'!C157</f>
        <v>4.2</v>
      </c>
      <c r="E159" s="10">
        <v>0.34</v>
      </c>
      <c r="F159" s="10">
        <v>0</v>
      </c>
      <c r="G159" s="10">
        <v>0</v>
      </c>
      <c r="H159" s="10">
        <v>3.78</v>
      </c>
      <c r="I159" s="10">
        <v>0</v>
      </c>
      <c r="J159" s="103" t="s">
        <v>12</v>
      </c>
      <c r="K159" s="597" t="s">
        <v>447</v>
      </c>
      <c r="L159" s="28"/>
      <c r="M159" s="2"/>
      <c r="N159" s="581"/>
    </row>
    <row r="160" spans="1:14" s="1" customFormat="1" ht="31" x14ac:dyDescent="0.35">
      <c r="A160" s="596">
        <v>84</v>
      </c>
      <c r="B160" s="45" t="s">
        <v>274</v>
      </c>
      <c r="C160" s="61">
        <f t="shared" si="11"/>
        <v>1.27</v>
      </c>
      <c r="D160" s="636">
        <f>'[23]road inventory 2018'!C158</f>
        <v>1.2</v>
      </c>
      <c r="E160" s="10">
        <v>0</v>
      </c>
      <c r="F160" s="10">
        <v>0</v>
      </c>
      <c r="G160" s="10">
        <v>0</v>
      </c>
      <c r="H160" s="10">
        <v>1.27</v>
      </c>
      <c r="I160" s="10">
        <v>0</v>
      </c>
      <c r="J160" s="103" t="s">
        <v>41</v>
      </c>
      <c r="K160" s="597" t="s">
        <v>450</v>
      </c>
      <c r="L160" s="28"/>
      <c r="M160" s="2"/>
      <c r="N160" s="581"/>
    </row>
    <row r="161" spans="1:14" s="26" customFormat="1" ht="13.15" customHeight="1" x14ac:dyDescent="0.35">
      <c r="A161" s="589">
        <v>85</v>
      </c>
      <c r="B161" s="43" t="s">
        <v>281</v>
      </c>
      <c r="C161" s="61">
        <f t="shared" si="11"/>
        <v>2.86</v>
      </c>
      <c r="D161" s="636">
        <f>'[23]road inventory 2018'!C159</f>
        <v>2.8</v>
      </c>
      <c r="E161" s="15">
        <v>0</v>
      </c>
      <c r="F161" s="15">
        <v>0</v>
      </c>
      <c r="G161" s="15">
        <v>0</v>
      </c>
      <c r="H161" s="15">
        <v>2.86</v>
      </c>
      <c r="I161" s="15">
        <v>0</v>
      </c>
      <c r="J161" s="106" t="s">
        <v>10</v>
      </c>
      <c r="K161" s="591" t="s">
        <v>451</v>
      </c>
      <c r="L161" s="24"/>
      <c r="M161" s="593"/>
      <c r="N161" s="617"/>
    </row>
    <row r="162" spans="1:14" x14ac:dyDescent="0.35">
      <c r="A162" s="596">
        <v>86</v>
      </c>
      <c r="B162" s="45" t="s">
        <v>275</v>
      </c>
      <c r="C162" s="61">
        <f t="shared" si="11"/>
        <v>0.08</v>
      </c>
      <c r="D162" s="636">
        <f>'[23]road inventory 2018'!C160</f>
        <v>2.5</v>
      </c>
      <c r="E162" s="10">
        <v>0</v>
      </c>
      <c r="F162" s="10">
        <v>0</v>
      </c>
      <c r="G162" s="10">
        <v>0</v>
      </c>
      <c r="H162" s="10">
        <v>0.08</v>
      </c>
      <c r="I162" s="10">
        <v>0</v>
      </c>
      <c r="J162" s="103" t="s">
        <v>41</v>
      </c>
      <c r="K162" s="597" t="s">
        <v>452</v>
      </c>
      <c r="L162" s="28"/>
      <c r="N162" s="583" t="s">
        <v>453</v>
      </c>
    </row>
    <row r="163" spans="1:14" ht="31" x14ac:dyDescent="0.35">
      <c r="A163" s="596">
        <v>87</v>
      </c>
      <c r="B163" s="45" t="s">
        <v>273</v>
      </c>
      <c r="C163" s="61">
        <f t="shared" si="11"/>
        <v>0.51</v>
      </c>
      <c r="D163" s="636">
        <f>'[23]road inventory 2018'!C161</f>
        <v>0.5</v>
      </c>
      <c r="E163" s="10">
        <v>0</v>
      </c>
      <c r="F163" s="10">
        <v>0</v>
      </c>
      <c r="G163" s="10">
        <v>0</v>
      </c>
      <c r="H163" s="10">
        <v>0.51</v>
      </c>
      <c r="I163" s="10">
        <v>0</v>
      </c>
      <c r="J163" s="103" t="s">
        <v>41</v>
      </c>
      <c r="K163" s="597" t="s">
        <v>450</v>
      </c>
      <c r="L163" s="28"/>
    </row>
    <row r="164" spans="1:14" x14ac:dyDescent="0.35">
      <c r="A164" s="596">
        <v>88</v>
      </c>
      <c r="B164" s="45" t="s">
        <v>280</v>
      </c>
      <c r="C164" s="61">
        <f t="shared" si="11"/>
        <v>3.18</v>
      </c>
      <c r="D164" s="636">
        <f>'[23]road inventory 2018'!C162</f>
        <v>3.2</v>
      </c>
      <c r="E164" s="10">
        <v>0</v>
      </c>
      <c r="F164" s="10">
        <v>0</v>
      </c>
      <c r="G164" s="10">
        <v>0</v>
      </c>
      <c r="H164" s="10">
        <v>3.18</v>
      </c>
      <c r="I164" s="10">
        <v>0</v>
      </c>
      <c r="J164" s="103" t="s">
        <v>33</v>
      </c>
      <c r="K164" s="597" t="s">
        <v>454</v>
      </c>
      <c r="L164" s="28"/>
    </row>
    <row r="165" spans="1:14" x14ac:dyDescent="0.35">
      <c r="A165" s="635"/>
      <c r="B165" s="654"/>
      <c r="C165" s="41">
        <f>SUM(C151:C164)</f>
        <v>45.309999999999995</v>
      </c>
      <c r="D165" s="41">
        <f t="shared" ref="D165:I165" si="12">SUM(D151:D164)</f>
        <v>49.300000000000004</v>
      </c>
      <c r="E165" s="41">
        <f>SUM(E151:E164)</f>
        <v>5.6300000000000008</v>
      </c>
      <c r="F165" s="41">
        <f t="shared" si="12"/>
        <v>0</v>
      </c>
      <c r="G165" s="41">
        <f t="shared" si="12"/>
        <v>0</v>
      </c>
      <c r="H165" s="41">
        <f t="shared" si="12"/>
        <v>39.68</v>
      </c>
      <c r="I165" s="41">
        <f t="shared" si="12"/>
        <v>0</v>
      </c>
      <c r="J165" s="109"/>
      <c r="K165" s="605"/>
      <c r="L165" s="28"/>
    </row>
    <row r="166" spans="1:14" ht="18" customHeight="1" thickBot="1" x14ac:dyDescent="0.4">
      <c r="A166" s="53" t="s">
        <v>341</v>
      </c>
      <c r="B166" s="34"/>
      <c r="C166" s="31">
        <f>E166+H166</f>
        <v>45.31</v>
      </c>
      <c r="D166" s="630"/>
      <c r="E166" s="31">
        <f>SUM(E151:E164)</f>
        <v>5.6300000000000008</v>
      </c>
      <c r="F166" s="31">
        <f>SUM(F151:F164)</f>
        <v>0</v>
      </c>
      <c r="G166" s="31">
        <f>SUM(G151:G164)</f>
        <v>0</v>
      </c>
      <c r="H166" s="31">
        <f>SUM(H151:H164)</f>
        <v>39.68</v>
      </c>
      <c r="I166" s="31">
        <f>SUM(I151:I164)</f>
        <v>0</v>
      </c>
      <c r="J166" s="608"/>
      <c r="K166" s="609"/>
      <c r="L166" s="653"/>
      <c r="M166" s="21"/>
    </row>
    <row r="167" spans="1:14" ht="18" customHeight="1" thickBot="1" x14ac:dyDescent="0.4">
      <c r="A167" s="544"/>
      <c r="B167" s="35"/>
      <c r="C167" s="22"/>
      <c r="D167" s="610"/>
      <c r="E167" s="22"/>
      <c r="F167" s="22"/>
      <c r="G167" s="22"/>
      <c r="H167" s="22"/>
      <c r="I167" s="22"/>
      <c r="J167" s="1"/>
      <c r="K167" s="21"/>
      <c r="L167" s="97"/>
      <c r="M167" s="21"/>
    </row>
    <row r="168" spans="1:14" s="1" customFormat="1" x14ac:dyDescent="0.35">
      <c r="A168" s="1217" t="s">
        <v>455</v>
      </c>
      <c r="B168" s="1218"/>
      <c r="C168" s="1218"/>
      <c r="D168" s="1218"/>
      <c r="E168" s="1218"/>
      <c r="F168" s="1218"/>
      <c r="G168" s="1218"/>
      <c r="H168" s="1218"/>
      <c r="I168" s="1218"/>
      <c r="J168" s="1218"/>
      <c r="K168" s="1218"/>
      <c r="L168" s="1219"/>
      <c r="M168" s="584"/>
      <c r="N168" s="581"/>
    </row>
    <row r="169" spans="1:14" s="1" customFormat="1" ht="16" thickBot="1" x14ac:dyDescent="0.4">
      <c r="A169" s="585"/>
      <c r="B169" s="2"/>
      <c r="C169" s="5"/>
      <c r="D169" s="586"/>
      <c r="E169" s="5"/>
      <c r="F169" s="5"/>
      <c r="G169" s="5"/>
      <c r="H169" s="5"/>
      <c r="I169" s="5"/>
      <c r="J169" s="3"/>
      <c r="K169" s="21"/>
      <c r="L169" s="97"/>
      <c r="M169" s="21"/>
      <c r="N169" s="581"/>
    </row>
    <row r="170" spans="1:14" s="1" customFormat="1" ht="21" customHeight="1" x14ac:dyDescent="0.35">
      <c r="A170" s="1206" t="s">
        <v>302</v>
      </c>
      <c r="B170" s="1208" t="s">
        <v>28</v>
      </c>
      <c r="C170" s="1210" t="s">
        <v>343</v>
      </c>
      <c r="D170" s="613"/>
      <c r="E170" s="1212" t="s">
        <v>305</v>
      </c>
      <c r="F170" s="1212"/>
      <c r="G170" s="1212"/>
      <c r="H170" s="1212"/>
      <c r="I170" s="1212"/>
      <c r="J170" s="1208" t="s">
        <v>29</v>
      </c>
      <c r="K170" s="1213" t="s">
        <v>306</v>
      </c>
      <c r="L170" s="1226" t="s">
        <v>307</v>
      </c>
      <c r="M170" s="588"/>
      <c r="N170" s="581"/>
    </row>
    <row r="171" spans="1:14" s="1" customFormat="1" ht="21" customHeight="1" thickBot="1" x14ac:dyDescent="0.4">
      <c r="A171" s="1207"/>
      <c r="B171" s="1209"/>
      <c r="C171" s="1211"/>
      <c r="D171" s="614"/>
      <c r="E171" s="7" t="s">
        <v>308</v>
      </c>
      <c r="F171" s="7" t="s">
        <v>309</v>
      </c>
      <c r="G171" s="7" t="s">
        <v>310</v>
      </c>
      <c r="H171" s="7" t="s">
        <v>311</v>
      </c>
      <c r="I171" s="7" t="s">
        <v>312</v>
      </c>
      <c r="J171" s="1209"/>
      <c r="K171" s="1214"/>
      <c r="L171" s="1227"/>
      <c r="M171" s="588"/>
      <c r="N171" s="581"/>
    </row>
    <row r="172" spans="1:14" x14ac:dyDescent="0.35">
      <c r="A172" s="655">
        <v>91</v>
      </c>
      <c r="B172" s="47" t="s">
        <v>62</v>
      </c>
      <c r="C172" s="11">
        <f>SUM(E172:I172)</f>
        <v>13.07</v>
      </c>
      <c r="D172" s="656">
        <f>'[23]road inventory 2018'!C169</f>
        <v>12.9</v>
      </c>
      <c r="E172" s="11">
        <v>10</v>
      </c>
      <c r="F172" s="11">
        <v>0</v>
      </c>
      <c r="G172" s="11">
        <v>0</v>
      </c>
      <c r="H172" s="11">
        <v>3.07</v>
      </c>
      <c r="I172" s="11">
        <v>0</v>
      </c>
      <c r="J172" s="111" t="s">
        <v>10</v>
      </c>
      <c r="K172" s="657" t="s">
        <v>456</v>
      </c>
      <c r="L172" s="112"/>
    </row>
    <row r="173" spans="1:14" s="16" customFormat="1" x14ac:dyDescent="0.35">
      <c r="A173" s="589">
        <v>92</v>
      </c>
      <c r="B173" s="43" t="s">
        <v>457</v>
      </c>
      <c r="C173" s="11">
        <f>SUM(E173:I173)</f>
        <v>5.6</v>
      </c>
      <c r="D173" s="656">
        <f>'[23]road inventory 2018'!C170</f>
        <v>5.6</v>
      </c>
      <c r="E173" s="15">
        <v>3</v>
      </c>
      <c r="F173" s="15">
        <v>0</v>
      </c>
      <c r="G173" s="15">
        <v>0</v>
      </c>
      <c r="H173" s="15">
        <v>2.6</v>
      </c>
      <c r="I173" s="15">
        <v>0</v>
      </c>
      <c r="J173" s="106" t="s">
        <v>317</v>
      </c>
      <c r="K173" s="591" t="s">
        <v>459</v>
      </c>
      <c r="L173" s="24"/>
      <c r="M173" s="593"/>
      <c r="N173" s="598"/>
    </row>
    <row r="174" spans="1:14" x14ac:dyDescent="0.35">
      <c r="A174" s="658" t="s">
        <v>341</v>
      </c>
      <c r="B174" s="50"/>
      <c r="C174" s="51">
        <f t="shared" ref="C174:I174" si="13">SUM(C172:C173)</f>
        <v>18.670000000000002</v>
      </c>
      <c r="D174" s="51">
        <f t="shared" si="13"/>
        <v>18.5</v>
      </c>
      <c r="E174" s="51">
        <f t="shared" si="13"/>
        <v>13</v>
      </c>
      <c r="F174" s="51">
        <f t="shared" si="13"/>
        <v>0</v>
      </c>
      <c r="G174" s="51">
        <f t="shared" si="13"/>
        <v>0</v>
      </c>
      <c r="H174" s="51">
        <f t="shared" si="13"/>
        <v>5.67</v>
      </c>
      <c r="I174" s="51">
        <f t="shared" si="13"/>
        <v>0</v>
      </c>
      <c r="J174" s="102"/>
      <c r="K174" s="659"/>
      <c r="L174" s="653"/>
      <c r="M174" s="21"/>
    </row>
    <row r="175" spans="1:14" x14ac:dyDescent="0.35">
      <c r="A175" s="596"/>
      <c r="B175" s="45"/>
      <c r="C175" s="10"/>
      <c r="D175" s="615"/>
      <c r="E175" s="10"/>
      <c r="F175" s="10"/>
      <c r="G175" s="10"/>
      <c r="H175" s="10"/>
      <c r="I175" s="10"/>
      <c r="J175" s="103"/>
      <c r="K175" s="597"/>
      <c r="L175" s="28"/>
    </row>
    <row r="176" spans="1:14" ht="18" customHeight="1" thickBot="1" x14ac:dyDescent="0.4">
      <c r="A176" s="1224" t="s">
        <v>460</v>
      </c>
      <c r="B176" s="1225"/>
      <c r="C176" s="660">
        <f>C35+C69+C82+C89+C106+C145+C166+C174</f>
        <v>468.62</v>
      </c>
      <c r="D176" s="661">
        <f>D174+D165+D144+D105+D88+D81+D68+D34</f>
        <v>475.95</v>
      </c>
      <c r="E176" s="660">
        <f>+E174+E166+E145+E106+E89+E82+E69+E35</f>
        <v>150.96100000000001</v>
      </c>
      <c r="F176" s="660">
        <f>+F174+F166+F145+F106+F89+F82+F69+F35</f>
        <v>0</v>
      </c>
      <c r="G176" s="660">
        <f>+G174+G166+G145+G106+G89+G82+G69+G35</f>
        <v>5.8</v>
      </c>
      <c r="H176" s="660">
        <f>+H174+H166+H145+H106+H89+H82+H69+H35</f>
        <v>311.85899999999998</v>
      </c>
      <c r="I176" s="660">
        <f>+I174+I166+I145+I106+I89+I82+I69+I35</f>
        <v>0</v>
      </c>
      <c r="J176" s="662"/>
      <c r="K176" s="663"/>
      <c r="L176" s="664"/>
      <c r="M176" s="21"/>
    </row>
    <row r="177" spans="1:14" ht="18" customHeight="1" thickBot="1" x14ac:dyDescent="0.4">
      <c r="A177" s="544"/>
      <c r="B177" s="35"/>
      <c r="C177" s="22"/>
      <c r="D177" s="610"/>
      <c r="E177" s="22"/>
      <c r="F177" s="22"/>
      <c r="G177" s="22"/>
      <c r="H177" s="22"/>
      <c r="I177" s="22"/>
      <c r="J177" s="1"/>
      <c r="K177" s="21"/>
      <c r="L177" s="97"/>
      <c r="M177" s="21"/>
    </row>
    <row r="178" spans="1:14" s="1" customFormat="1" x14ac:dyDescent="0.35">
      <c r="A178" s="1217" t="s">
        <v>461</v>
      </c>
      <c r="B178" s="1218"/>
      <c r="C178" s="1218"/>
      <c r="D178" s="1218"/>
      <c r="E178" s="1218"/>
      <c r="F178" s="1218"/>
      <c r="G178" s="1218"/>
      <c r="H178" s="1218"/>
      <c r="I178" s="1218"/>
      <c r="J178" s="1218"/>
      <c r="K178" s="1218"/>
      <c r="L178" s="1219"/>
      <c r="M178" s="584"/>
      <c r="N178" s="581"/>
    </row>
    <row r="179" spans="1:14" s="1" customFormat="1" ht="16" thickBot="1" x14ac:dyDescent="0.4">
      <c r="A179" s="585"/>
      <c r="B179" s="2"/>
      <c r="C179" s="5"/>
      <c r="D179" s="586"/>
      <c r="E179" s="5"/>
      <c r="F179" s="5"/>
      <c r="G179" s="5"/>
      <c r="H179" s="5"/>
      <c r="I179" s="5"/>
      <c r="J179" s="3"/>
      <c r="K179" s="21"/>
      <c r="L179" s="97"/>
      <c r="M179" s="21"/>
      <c r="N179" s="581"/>
    </row>
    <row r="180" spans="1:14" s="1" customFormat="1" ht="21" customHeight="1" x14ac:dyDescent="0.35">
      <c r="A180" s="1206" t="s">
        <v>302</v>
      </c>
      <c r="B180" s="1208" t="s">
        <v>28</v>
      </c>
      <c r="C180" s="1210" t="s">
        <v>343</v>
      </c>
      <c r="D180" s="613"/>
      <c r="E180" s="1212" t="s">
        <v>305</v>
      </c>
      <c r="F180" s="1212"/>
      <c r="G180" s="1212"/>
      <c r="H180" s="1212"/>
      <c r="I180" s="1212"/>
      <c r="J180" s="1208" t="s">
        <v>29</v>
      </c>
      <c r="K180" s="1213" t="s">
        <v>306</v>
      </c>
      <c r="L180" s="1226" t="s">
        <v>307</v>
      </c>
      <c r="M180" s="588"/>
      <c r="N180" s="581"/>
    </row>
    <row r="181" spans="1:14" s="1" customFormat="1" ht="21" customHeight="1" thickBot="1" x14ac:dyDescent="0.4">
      <c r="A181" s="1207"/>
      <c r="B181" s="1209"/>
      <c r="C181" s="1211"/>
      <c r="D181" s="614"/>
      <c r="E181" s="7" t="s">
        <v>308</v>
      </c>
      <c r="F181" s="7" t="s">
        <v>309</v>
      </c>
      <c r="G181" s="7" t="s">
        <v>310</v>
      </c>
      <c r="H181" s="7" t="s">
        <v>311</v>
      </c>
      <c r="I181" s="7" t="s">
        <v>312</v>
      </c>
      <c r="J181" s="1209"/>
      <c r="K181" s="1214"/>
      <c r="L181" s="1227"/>
      <c r="M181" s="588"/>
      <c r="N181" s="581"/>
    </row>
    <row r="182" spans="1:14" s="16" customFormat="1" ht="18" customHeight="1" x14ac:dyDescent="0.35">
      <c r="A182" s="589">
        <v>89</v>
      </c>
      <c r="B182" s="24" t="s">
        <v>462</v>
      </c>
      <c r="C182" s="15">
        <f>SUM(E182:I182)</f>
        <v>0.63</v>
      </c>
      <c r="D182" s="590">
        <f>'[23]road inventory 2018'!C179</f>
        <v>0.63</v>
      </c>
      <c r="E182" s="15">
        <v>0.3</v>
      </c>
      <c r="F182" s="15">
        <v>0</v>
      </c>
      <c r="G182" s="15">
        <v>0</v>
      </c>
      <c r="H182" s="15">
        <v>0.33</v>
      </c>
      <c r="I182" s="15">
        <v>0</v>
      </c>
      <c r="J182" s="24" t="s">
        <v>10</v>
      </c>
      <c r="K182" s="591" t="s">
        <v>360</v>
      </c>
      <c r="L182" s="592"/>
      <c r="M182" s="593"/>
      <c r="N182" s="598"/>
    </row>
    <row r="183" spans="1:14" s="16" customFormat="1" x14ac:dyDescent="0.35">
      <c r="A183" s="589">
        <v>109</v>
      </c>
      <c r="B183" s="24" t="s">
        <v>285</v>
      </c>
      <c r="C183" s="15">
        <f t="shared" ref="C183:C198" si="14">SUM(E183:I183)</f>
        <v>2.5</v>
      </c>
      <c r="D183" s="590">
        <f>'[23]road inventory 2018'!C180</f>
        <v>2.5</v>
      </c>
      <c r="E183" s="15">
        <v>0.25700000000000001</v>
      </c>
      <c r="F183" s="15">
        <v>0</v>
      </c>
      <c r="G183" s="15">
        <v>0</v>
      </c>
      <c r="H183" s="15">
        <v>2.2429999999999999</v>
      </c>
      <c r="I183" s="15">
        <v>0</v>
      </c>
      <c r="J183" s="24" t="s">
        <v>10</v>
      </c>
      <c r="K183" s="591" t="s">
        <v>463</v>
      </c>
      <c r="L183" s="24"/>
      <c r="M183" s="593"/>
      <c r="N183" s="598"/>
    </row>
    <row r="184" spans="1:14" ht="31" x14ac:dyDescent="0.35">
      <c r="A184" s="596">
        <v>110</v>
      </c>
      <c r="B184" s="28" t="s">
        <v>65</v>
      </c>
      <c r="C184" s="15">
        <f t="shared" si="14"/>
        <v>7.12</v>
      </c>
      <c r="D184" s="590">
        <f>'[23]road inventory 2018'!C181</f>
        <v>7.3</v>
      </c>
      <c r="E184" s="10">
        <v>0</v>
      </c>
      <c r="F184" s="10">
        <v>0</v>
      </c>
      <c r="G184" s="10">
        <v>0</v>
      </c>
      <c r="H184" s="10">
        <v>7.12</v>
      </c>
      <c r="I184" s="10">
        <v>0</v>
      </c>
      <c r="J184" s="28" t="s">
        <v>33</v>
      </c>
      <c r="K184" s="597" t="s">
        <v>464</v>
      </c>
      <c r="L184" s="28"/>
    </row>
    <row r="185" spans="1:14" ht="31" x14ac:dyDescent="0.35">
      <c r="A185" s="596">
        <v>111</v>
      </c>
      <c r="B185" s="28" t="s">
        <v>66</v>
      </c>
      <c r="C185" s="15">
        <f t="shared" si="14"/>
        <v>15.379999999999999</v>
      </c>
      <c r="D185" s="590">
        <f>'[23]road inventory 2018'!C182</f>
        <v>15.4</v>
      </c>
      <c r="E185" s="10">
        <v>1.38</v>
      </c>
      <c r="F185" s="10">
        <v>0</v>
      </c>
      <c r="G185" s="10">
        <v>0</v>
      </c>
      <c r="H185" s="10">
        <v>14</v>
      </c>
      <c r="I185" s="10">
        <v>0</v>
      </c>
      <c r="J185" s="28" t="s">
        <v>33</v>
      </c>
      <c r="K185" s="597" t="s">
        <v>465</v>
      </c>
      <c r="L185" s="28"/>
    </row>
    <row r="186" spans="1:14" s="16" customFormat="1" ht="31" x14ac:dyDescent="0.35">
      <c r="A186" s="589">
        <v>112</v>
      </c>
      <c r="B186" s="24" t="s">
        <v>73</v>
      </c>
      <c r="C186" s="15">
        <f t="shared" si="14"/>
        <v>8.5100000000000016</v>
      </c>
      <c r="D186" s="590">
        <f>'[23]road inventory 2018'!C183</f>
        <v>8.4</v>
      </c>
      <c r="E186" s="15">
        <v>0.21</v>
      </c>
      <c r="F186" s="15">
        <v>0</v>
      </c>
      <c r="G186" s="15">
        <v>0</v>
      </c>
      <c r="H186" s="15">
        <v>8.3000000000000007</v>
      </c>
      <c r="I186" s="15">
        <v>0</v>
      </c>
      <c r="J186" s="24" t="s">
        <v>12</v>
      </c>
      <c r="K186" s="591" t="s">
        <v>466</v>
      </c>
      <c r="L186" s="24"/>
      <c r="M186" s="593"/>
      <c r="N186" s="598"/>
    </row>
    <row r="187" spans="1:14" x14ac:dyDescent="0.35">
      <c r="A187" s="596">
        <v>113</v>
      </c>
      <c r="B187" s="28" t="s">
        <v>75</v>
      </c>
      <c r="C187" s="15">
        <f t="shared" si="14"/>
        <v>1.52</v>
      </c>
      <c r="D187" s="590">
        <f>'[23]road inventory 2018'!C184</f>
        <v>1.5</v>
      </c>
      <c r="E187" s="10">
        <v>0.1</v>
      </c>
      <c r="F187" s="10">
        <v>0</v>
      </c>
      <c r="G187" s="10">
        <v>0</v>
      </c>
      <c r="H187" s="10">
        <v>1.42</v>
      </c>
      <c r="I187" s="10">
        <v>0</v>
      </c>
      <c r="J187" s="28" t="s">
        <v>33</v>
      </c>
      <c r="K187" s="597" t="s">
        <v>467</v>
      </c>
      <c r="L187" s="28"/>
    </row>
    <row r="188" spans="1:14" ht="31" x14ac:dyDescent="0.35">
      <c r="A188" s="596">
        <v>114</v>
      </c>
      <c r="B188" s="28" t="s">
        <v>468</v>
      </c>
      <c r="C188" s="15">
        <f t="shared" si="14"/>
        <v>9.5500000000000007</v>
      </c>
      <c r="D188" s="590">
        <f>'[23]road inventory 2018'!C185</f>
        <v>9.5</v>
      </c>
      <c r="E188" s="10">
        <v>0</v>
      </c>
      <c r="F188" s="10">
        <v>0</v>
      </c>
      <c r="G188" s="10">
        <v>0</v>
      </c>
      <c r="H188" s="10">
        <v>9.5500000000000007</v>
      </c>
      <c r="I188" s="10">
        <v>0</v>
      </c>
      <c r="J188" s="103" t="s">
        <v>12</v>
      </c>
      <c r="K188" s="597" t="s">
        <v>469</v>
      </c>
      <c r="L188" s="28"/>
    </row>
    <row r="189" spans="1:14" s="16" customFormat="1" ht="18" customHeight="1" x14ac:dyDescent="0.35">
      <c r="A189" s="589">
        <v>115</v>
      </c>
      <c r="B189" s="24" t="s">
        <v>77</v>
      </c>
      <c r="C189" s="15">
        <f t="shared" si="14"/>
        <v>10.71</v>
      </c>
      <c r="D189" s="590">
        <f>'[23]road inventory 2018'!C186</f>
        <v>10.700000000000001</v>
      </c>
      <c r="E189" s="15">
        <v>10.71</v>
      </c>
      <c r="F189" s="15">
        <v>0</v>
      </c>
      <c r="G189" s="15">
        <v>0</v>
      </c>
      <c r="H189" s="15">
        <v>0</v>
      </c>
      <c r="I189" s="15">
        <v>0</v>
      </c>
      <c r="J189" s="24" t="s">
        <v>10</v>
      </c>
      <c r="K189" s="591" t="s">
        <v>470</v>
      </c>
      <c r="L189" s="24"/>
      <c r="M189" s="593"/>
      <c r="N189" s="598"/>
    </row>
    <row r="190" spans="1:14" ht="18" customHeight="1" x14ac:dyDescent="0.35">
      <c r="A190" s="596">
        <v>117</v>
      </c>
      <c r="B190" s="28" t="s">
        <v>79</v>
      </c>
      <c r="C190" s="15">
        <f t="shared" si="14"/>
        <v>9.51</v>
      </c>
      <c r="D190" s="590">
        <f>'[23]road inventory 2018'!C187</f>
        <v>8.6</v>
      </c>
      <c r="E190" s="10">
        <v>1.7</v>
      </c>
      <c r="F190" s="10">
        <v>0</v>
      </c>
      <c r="G190" s="10">
        <v>0</v>
      </c>
      <c r="H190" s="10">
        <v>7.81</v>
      </c>
      <c r="I190" s="10">
        <v>0</v>
      </c>
      <c r="J190" s="103" t="s">
        <v>12</v>
      </c>
      <c r="K190" s="597" t="s">
        <v>471</v>
      </c>
      <c r="L190" s="28"/>
    </row>
    <row r="191" spans="1:14" ht="31" x14ac:dyDescent="0.35">
      <c r="A191" s="596">
        <v>118</v>
      </c>
      <c r="B191" s="28" t="s">
        <v>83</v>
      </c>
      <c r="C191" s="15">
        <f t="shared" si="14"/>
        <v>3.51</v>
      </c>
      <c r="D191" s="590">
        <f>'[23]road inventory 2018'!C188</f>
        <v>3.4</v>
      </c>
      <c r="E191" s="10">
        <v>0</v>
      </c>
      <c r="F191" s="10">
        <v>0</v>
      </c>
      <c r="G191" s="10">
        <v>0</v>
      </c>
      <c r="H191" s="10">
        <v>3.51</v>
      </c>
      <c r="I191" s="10">
        <v>0</v>
      </c>
      <c r="J191" s="103" t="s">
        <v>835</v>
      </c>
      <c r="K191" s="597" t="s">
        <v>472</v>
      </c>
      <c r="L191" s="28"/>
    </row>
    <row r="192" spans="1:14" s="16" customFormat="1" ht="31" x14ac:dyDescent="0.35">
      <c r="A192" s="589">
        <v>132</v>
      </c>
      <c r="B192" s="24" t="s">
        <v>85</v>
      </c>
      <c r="C192" s="15">
        <f t="shared" si="14"/>
        <v>13.5</v>
      </c>
      <c r="D192" s="590">
        <f>'[23]road inventory 2018'!C189</f>
        <v>13.5</v>
      </c>
      <c r="E192" s="15">
        <v>6.58</v>
      </c>
      <c r="F192" s="15">
        <v>0</v>
      </c>
      <c r="G192" s="15">
        <v>0</v>
      </c>
      <c r="H192" s="15">
        <v>6.9200000000000008</v>
      </c>
      <c r="I192" s="15">
        <v>0</v>
      </c>
      <c r="J192" s="106" t="s">
        <v>10</v>
      </c>
      <c r="K192" s="591" t="s">
        <v>473</v>
      </c>
      <c r="L192" s="24"/>
      <c r="M192" s="593"/>
      <c r="N192" s="598"/>
    </row>
    <row r="193" spans="1:14" s="16" customFormat="1" ht="18" customHeight="1" thickBot="1" x14ac:dyDescent="0.4">
      <c r="A193" s="649">
        <v>139</v>
      </c>
      <c r="B193" s="64" t="s">
        <v>474</v>
      </c>
      <c r="C193" s="15">
        <f t="shared" si="14"/>
        <v>9.1</v>
      </c>
      <c r="D193" s="590">
        <f>'[23]road inventory 2018'!C190</f>
        <v>8.9</v>
      </c>
      <c r="E193" s="65">
        <v>0</v>
      </c>
      <c r="F193" s="65">
        <v>0</v>
      </c>
      <c r="G193" s="65">
        <v>0</v>
      </c>
      <c r="H193" s="65">
        <v>9.1</v>
      </c>
      <c r="I193" s="65">
        <v>0</v>
      </c>
      <c r="J193" s="651" t="s">
        <v>12</v>
      </c>
      <c r="K193" s="652" t="s">
        <v>475</v>
      </c>
      <c r="L193" s="60"/>
      <c r="M193" s="593"/>
      <c r="N193" s="598"/>
    </row>
    <row r="194" spans="1:14" s="667" customFormat="1" ht="18" customHeight="1" x14ac:dyDescent="0.35">
      <c r="A194" s="618">
        <v>122</v>
      </c>
      <c r="B194" s="619" t="s">
        <v>476</v>
      </c>
      <c r="C194" s="620">
        <f t="shared" si="14"/>
        <v>3.4400000000000004</v>
      </c>
      <c r="D194" s="634">
        <f>'[23]road inventory 2018'!C193</f>
        <v>3.25</v>
      </c>
      <c r="E194" s="620">
        <v>2.0920000000000001</v>
      </c>
      <c r="F194" s="620">
        <v>0</v>
      </c>
      <c r="G194" s="620">
        <v>0</v>
      </c>
      <c r="H194" s="620">
        <v>1.3480000000000001</v>
      </c>
      <c r="I194" s="620">
        <v>0</v>
      </c>
      <c r="J194" s="621" t="s">
        <v>12</v>
      </c>
      <c r="K194" s="622" t="s">
        <v>477</v>
      </c>
      <c r="L194" s="665"/>
      <c r="M194" s="623"/>
      <c r="N194" s="666"/>
    </row>
    <row r="195" spans="1:14" s="16" customFormat="1" ht="18" customHeight="1" x14ac:dyDescent="0.35">
      <c r="A195" s="589">
        <v>216</v>
      </c>
      <c r="B195" s="24" t="s">
        <v>87</v>
      </c>
      <c r="C195" s="15">
        <f t="shared" si="14"/>
        <v>6.32</v>
      </c>
      <c r="D195" s="590">
        <f>'[23]road inventory 2018'!C194</f>
        <v>6.1</v>
      </c>
      <c r="E195" s="15">
        <v>0</v>
      </c>
      <c r="F195" s="15">
        <v>0</v>
      </c>
      <c r="G195" s="15">
        <v>0</v>
      </c>
      <c r="H195" s="15">
        <v>6.32</v>
      </c>
      <c r="I195" s="15">
        <v>0</v>
      </c>
      <c r="J195" s="106" t="s">
        <v>12</v>
      </c>
      <c r="K195" s="591" t="s">
        <v>478</v>
      </c>
      <c r="L195" s="24"/>
      <c r="M195" s="593"/>
      <c r="N195" s="598"/>
    </row>
    <row r="196" spans="1:14" s="16" customFormat="1" ht="18" customHeight="1" x14ac:dyDescent="0.35">
      <c r="A196" s="589">
        <v>133</v>
      </c>
      <c r="B196" s="24" t="s">
        <v>90</v>
      </c>
      <c r="C196" s="15">
        <f t="shared" si="14"/>
        <v>4.47</v>
      </c>
      <c r="D196" s="590">
        <f>'[23]road inventory 2018'!C195</f>
        <v>4.4000000000000004</v>
      </c>
      <c r="E196" s="15">
        <v>0</v>
      </c>
      <c r="F196" s="15">
        <v>0</v>
      </c>
      <c r="G196" s="15">
        <v>0</v>
      </c>
      <c r="H196" s="15">
        <v>4.47</v>
      </c>
      <c r="I196" s="15">
        <v>0</v>
      </c>
      <c r="J196" s="106" t="s">
        <v>12</v>
      </c>
      <c r="K196" s="591" t="s">
        <v>478</v>
      </c>
      <c r="L196" s="24"/>
      <c r="M196" s="593"/>
      <c r="N196" s="598"/>
    </row>
    <row r="197" spans="1:14" s="667" customFormat="1" ht="18" customHeight="1" x14ac:dyDescent="0.35">
      <c r="A197" s="618">
        <v>123</v>
      </c>
      <c r="B197" s="619" t="s">
        <v>91</v>
      </c>
      <c r="C197" s="620">
        <f t="shared" si="14"/>
        <v>21.82</v>
      </c>
      <c r="D197" s="634">
        <f>'[23]road inventory 2018'!C196</f>
        <v>17</v>
      </c>
      <c r="E197" s="620">
        <v>14</v>
      </c>
      <c r="F197" s="620">
        <v>0</v>
      </c>
      <c r="G197" s="620">
        <v>0</v>
      </c>
      <c r="H197" s="620">
        <v>7.82</v>
      </c>
      <c r="I197" s="620">
        <v>0</v>
      </c>
      <c r="J197" s="621" t="s">
        <v>12</v>
      </c>
      <c r="K197" s="622" t="s">
        <v>475</v>
      </c>
      <c r="L197" s="619"/>
      <c r="M197" s="623"/>
      <c r="N197" s="666"/>
    </row>
    <row r="198" spans="1:14" ht="18" customHeight="1" x14ac:dyDescent="0.35">
      <c r="A198" s="596">
        <v>134</v>
      </c>
      <c r="B198" s="45" t="s">
        <v>284</v>
      </c>
      <c r="C198" s="15">
        <f t="shared" si="14"/>
        <v>8.23</v>
      </c>
      <c r="D198" s="590">
        <f>'[23]road inventory 2018'!C197</f>
        <v>8.3000000000000007</v>
      </c>
      <c r="E198" s="10">
        <v>0</v>
      </c>
      <c r="F198" s="10">
        <v>0</v>
      </c>
      <c r="G198" s="10">
        <v>0</v>
      </c>
      <c r="H198" s="10">
        <v>8.23</v>
      </c>
      <c r="I198" s="10">
        <v>0</v>
      </c>
      <c r="J198" s="103" t="s">
        <v>317</v>
      </c>
      <c r="K198" s="597"/>
      <c r="L198" s="28"/>
    </row>
    <row r="199" spans="1:14" ht="18" customHeight="1" x14ac:dyDescent="0.35">
      <c r="A199" s="635"/>
      <c r="B199" s="654"/>
      <c r="C199" s="41">
        <f t="shared" ref="C199:I199" si="15">SUM(C182:C198)</f>
        <v>135.82</v>
      </c>
      <c r="D199" s="41">
        <f t="shared" si="15"/>
        <v>129.38000000000002</v>
      </c>
      <c r="E199" s="41">
        <f t="shared" si="15"/>
        <v>37.329000000000001</v>
      </c>
      <c r="F199" s="41">
        <f t="shared" si="15"/>
        <v>0</v>
      </c>
      <c r="G199" s="41">
        <f t="shared" si="15"/>
        <v>0</v>
      </c>
      <c r="H199" s="41">
        <f t="shared" si="15"/>
        <v>98.491</v>
      </c>
      <c r="I199" s="41">
        <f t="shared" si="15"/>
        <v>0</v>
      </c>
      <c r="J199" s="109"/>
      <c r="K199" s="605"/>
      <c r="L199" s="28"/>
    </row>
    <row r="200" spans="1:14" ht="18" customHeight="1" thickBot="1" x14ac:dyDescent="0.4">
      <c r="A200" s="53" t="s">
        <v>341</v>
      </c>
      <c r="B200" s="34"/>
      <c r="C200" s="31">
        <f>E200+H200</f>
        <v>135.82</v>
      </c>
      <c r="D200" s="630"/>
      <c r="E200" s="31">
        <f>SUM(E182:E198)</f>
        <v>37.329000000000001</v>
      </c>
      <c r="F200" s="31">
        <f>SUM(F182:F198)</f>
        <v>0</v>
      </c>
      <c r="G200" s="31">
        <f>SUM(G182:G198)</f>
        <v>0</v>
      </c>
      <c r="H200" s="31">
        <f>SUM(H182:H198)</f>
        <v>98.491</v>
      </c>
      <c r="I200" s="31">
        <f>SUM(I182:I198)</f>
        <v>0</v>
      </c>
      <c r="J200" s="608"/>
      <c r="K200" s="609"/>
      <c r="L200" s="653"/>
      <c r="M200" s="21"/>
    </row>
    <row r="201" spans="1:14" ht="18" customHeight="1" thickBot="1" x14ac:dyDescent="0.4">
      <c r="L201" s="28"/>
    </row>
    <row r="202" spans="1:14" s="1" customFormat="1" x14ac:dyDescent="0.35">
      <c r="A202" s="1217" t="s">
        <v>479</v>
      </c>
      <c r="B202" s="1218"/>
      <c r="C202" s="1218"/>
      <c r="D202" s="1218"/>
      <c r="E202" s="1218"/>
      <c r="F202" s="1218"/>
      <c r="G202" s="1218"/>
      <c r="H202" s="1218"/>
      <c r="I202" s="1218"/>
      <c r="J202" s="1218"/>
      <c r="K202" s="1218"/>
      <c r="L202" s="668"/>
      <c r="M202" s="584"/>
      <c r="N202" s="581"/>
    </row>
    <row r="203" spans="1:14" s="1" customFormat="1" ht="16" thickBot="1" x14ac:dyDescent="0.4">
      <c r="A203" s="585"/>
      <c r="B203" s="2"/>
      <c r="C203" s="5"/>
      <c r="D203" s="586"/>
      <c r="E203" s="5"/>
      <c r="F203" s="5"/>
      <c r="G203" s="5"/>
      <c r="H203" s="5"/>
      <c r="I203" s="5"/>
      <c r="J203" s="3"/>
      <c r="K203" s="21"/>
      <c r="L203" s="653"/>
      <c r="M203" s="21"/>
      <c r="N203" s="581"/>
    </row>
    <row r="204" spans="1:14" s="1" customFormat="1" ht="21" customHeight="1" x14ac:dyDescent="0.35">
      <c r="A204" s="1206" t="s">
        <v>302</v>
      </c>
      <c r="B204" s="1208" t="s">
        <v>28</v>
      </c>
      <c r="C204" s="1210" t="s">
        <v>343</v>
      </c>
      <c r="D204" s="613"/>
      <c r="E204" s="1212" t="s">
        <v>305</v>
      </c>
      <c r="F204" s="1212"/>
      <c r="G204" s="1212"/>
      <c r="H204" s="1212"/>
      <c r="I204" s="1212"/>
      <c r="J204" s="1208" t="s">
        <v>29</v>
      </c>
      <c r="K204" s="1213" t="s">
        <v>306</v>
      </c>
      <c r="L204" s="1215" t="s">
        <v>307</v>
      </c>
      <c r="M204" s="588"/>
      <c r="N204" s="581"/>
    </row>
    <row r="205" spans="1:14" s="1" customFormat="1" ht="21" customHeight="1" thickBot="1" x14ac:dyDescent="0.4">
      <c r="A205" s="1207"/>
      <c r="B205" s="1209"/>
      <c r="C205" s="1211"/>
      <c r="D205" s="614"/>
      <c r="E205" s="7" t="s">
        <v>308</v>
      </c>
      <c r="F205" s="7" t="s">
        <v>309</v>
      </c>
      <c r="G205" s="7" t="s">
        <v>310</v>
      </c>
      <c r="H205" s="7" t="s">
        <v>311</v>
      </c>
      <c r="I205" s="7" t="s">
        <v>312</v>
      </c>
      <c r="J205" s="1209"/>
      <c r="K205" s="1214"/>
      <c r="L205" s="1216"/>
      <c r="M205" s="588"/>
      <c r="N205" s="581"/>
    </row>
    <row r="206" spans="1:14" s="16" customFormat="1" ht="18" customHeight="1" x14ac:dyDescent="0.35">
      <c r="A206" s="589">
        <v>136</v>
      </c>
      <c r="B206" s="24" t="s">
        <v>93</v>
      </c>
      <c r="C206" s="15">
        <f>SUM(E206:I206)</f>
        <v>11.309999999999999</v>
      </c>
      <c r="D206" s="590">
        <f>'[23]road inventory 2018'!C204</f>
        <v>11.3</v>
      </c>
      <c r="E206" s="15">
        <v>8.6999999999999993</v>
      </c>
      <c r="F206" s="15">
        <v>0</v>
      </c>
      <c r="G206" s="15">
        <v>0</v>
      </c>
      <c r="H206" s="15">
        <v>2.61</v>
      </c>
      <c r="I206" s="15">
        <v>0</v>
      </c>
      <c r="J206" s="24" t="s">
        <v>10</v>
      </c>
      <c r="K206" s="591" t="s">
        <v>480</v>
      </c>
      <c r="L206" s="24"/>
      <c r="M206" s="593"/>
      <c r="N206" s="598"/>
    </row>
    <row r="207" spans="1:14" s="16" customFormat="1" ht="18" customHeight="1" x14ac:dyDescent="0.35">
      <c r="A207" s="589">
        <v>137</v>
      </c>
      <c r="B207" s="24" t="s">
        <v>95</v>
      </c>
      <c r="C207" s="15">
        <f t="shared" ref="C207:C213" si="16">SUM(E207:I207)</f>
        <v>12.59</v>
      </c>
      <c r="D207" s="590">
        <f>'[23]road inventory 2018'!C205</f>
        <v>12.5</v>
      </c>
      <c r="E207" s="15">
        <v>8.74</v>
      </c>
      <c r="F207" s="15">
        <v>0</v>
      </c>
      <c r="G207" s="15">
        <v>0</v>
      </c>
      <c r="H207" s="15">
        <v>3.85</v>
      </c>
      <c r="I207" s="15">
        <v>0</v>
      </c>
      <c r="J207" s="24" t="s">
        <v>10</v>
      </c>
      <c r="K207" s="591" t="s">
        <v>481</v>
      </c>
      <c r="L207" s="24"/>
      <c r="M207" s="593"/>
      <c r="N207" s="598"/>
    </row>
    <row r="208" spans="1:14" ht="18" customHeight="1" x14ac:dyDescent="0.35">
      <c r="A208" s="596">
        <v>119</v>
      </c>
      <c r="B208" s="28" t="s">
        <v>97</v>
      </c>
      <c r="C208" s="15">
        <f t="shared" si="16"/>
        <v>5.51</v>
      </c>
      <c r="D208" s="590">
        <f>'[23]road inventory 2018'!C206</f>
        <v>5.5</v>
      </c>
      <c r="E208" s="10">
        <v>0</v>
      </c>
      <c r="F208" s="10">
        <v>0</v>
      </c>
      <c r="G208" s="10">
        <v>0</v>
      </c>
      <c r="H208" s="10">
        <v>5.51</v>
      </c>
      <c r="I208" s="10">
        <v>0</v>
      </c>
      <c r="J208" s="28" t="s">
        <v>33</v>
      </c>
      <c r="K208" s="597" t="s">
        <v>482</v>
      </c>
      <c r="L208" s="28"/>
    </row>
    <row r="209" spans="1:15" s="16" customFormat="1" x14ac:dyDescent="0.35">
      <c r="A209" s="589">
        <v>120</v>
      </c>
      <c r="B209" s="24" t="s">
        <v>99</v>
      </c>
      <c r="C209" s="15">
        <f t="shared" si="16"/>
        <v>10.85</v>
      </c>
      <c r="D209" s="590">
        <f>'[23]road inventory 2018'!C207</f>
        <v>10.75</v>
      </c>
      <c r="E209" s="15">
        <v>10.24</v>
      </c>
      <c r="F209" s="15">
        <v>0</v>
      </c>
      <c r="G209" s="15">
        <v>0</v>
      </c>
      <c r="H209" s="15">
        <v>0.61</v>
      </c>
      <c r="I209" s="15">
        <v>0</v>
      </c>
      <c r="J209" s="24" t="s">
        <v>10</v>
      </c>
      <c r="K209" s="591" t="s">
        <v>483</v>
      </c>
      <c r="L209" s="24"/>
      <c r="M209" s="593"/>
      <c r="N209" s="598"/>
    </row>
    <row r="210" spans="1:15" s="16" customFormat="1" ht="31" x14ac:dyDescent="0.35">
      <c r="A210" s="589">
        <v>140</v>
      </c>
      <c r="B210" s="24" t="s">
        <v>101</v>
      </c>
      <c r="C210" s="15">
        <f t="shared" si="16"/>
        <v>18.149999999999999</v>
      </c>
      <c r="D210" s="590">
        <f>'[23]road inventory 2018'!C208</f>
        <v>19.52</v>
      </c>
      <c r="E210" s="15">
        <v>2.41</v>
      </c>
      <c r="F210" s="15">
        <v>0</v>
      </c>
      <c r="G210" s="15">
        <v>0</v>
      </c>
      <c r="H210" s="15">
        <v>15.74</v>
      </c>
      <c r="I210" s="15">
        <v>0</v>
      </c>
      <c r="J210" s="24" t="s">
        <v>12</v>
      </c>
      <c r="K210" s="591"/>
      <c r="L210" s="24"/>
      <c r="M210" s="593"/>
      <c r="N210" s="598"/>
    </row>
    <row r="211" spans="1:15" ht="31" x14ac:dyDescent="0.35">
      <c r="A211" s="596">
        <v>138</v>
      </c>
      <c r="B211" s="28" t="s">
        <v>103</v>
      </c>
      <c r="C211" s="15">
        <f t="shared" si="16"/>
        <v>5.98</v>
      </c>
      <c r="D211" s="590">
        <f>'[23]road inventory 2018'!C209</f>
        <v>5.0999999999999996</v>
      </c>
      <c r="E211" s="10">
        <v>0</v>
      </c>
      <c r="F211" s="10">
        <v>0</v>
      </c>
      <c r="G211" s="10">
        <v>0</v>
      </c>
      <c r="H211" s="10">
        <v>5.98</v>
      </c>
      <c r="I211" s="10">
        <v>0</v>
      </c>
      <c r="J211" s="103" t="s">
        <v>33</v>
      </c>
      <c r="K211" s="597" t="s">
        <v>484</v>
      </c>
      <c r="L211" s="28"/>
    </row>
    <row r="212" spans="1:15" ht="31" x14ac:dyDescent="0.35">
      <c r="A212" s="596">
        <v>124</v>
      </c>
      <c r="B212" s="28" t="s">
        <v>485</v>
      </c>
      <c r="C212" s="15">
        <f t="shared" si="16"/>
        <v>12.5</v>
      </c>
      <c r="D212" s="590">
        <f>'[23]road inventory 2018'!C210</f>
        <v>17</v>
      </c>
      <c r="E212" s="10">
        <v>3.52</v>
      </c>
      <c r="F212" s="10">
        <v>0</v>
      </c>
      <c r="G212" s="10">
        <v>0</v>
      </c>
      <c r="H212" s="10">
        <v>8.98</v>
      </c>
      <c r="I212" s="10">
        <v>0</v>
      </c>
      <c r="J212" s="103" t="s">
        <v>12</v>
      </c>
      <c r="K212" s="597"/>
      <c r="L212" s="28"/>
    </row>
    <row r="213" spans="1:15" s="16" customFormat="1" ht="18" customHeight="1" x14ac:dyDescent="0.35">
      <c r="A213" s="589">
        <v>141</v>
      </c>
      <c r="B213" s="24" t="s">
        <v>486</v>
      </c>
      <c r="C213" s="15">
        <f t="shared" si="16"/>
        <v>6</v>
      </c>
      <c r="D213" s="590">
        <f>'[23]road inventory 2018'!C211</f>
        <v>6</v>
      </c>
      <c r="E213" s="15">
        <v>0</v>
      </c>
      <c r="F213" s="15">
        <v>0</v>
      </c>
      <c r="G213" s="15">
        <v>0</v>
      </c>
      <c r="H213" s="15">
        <v>6</v>
      </c>
      <c r="I213" s="15">
        <v>0</v>
      </c>
      <c r="J213" s="106" t="s">
        <v>12</v>
      </c>
      <c r="K213" s="591" t="s">
        <v>487</v>
      </c>
      <c r="L213" s="24"/>
      <c r="M213" s="593"/>
      <c r="N213" s="598"/>
    </row>
    <row r="214" spans="1:15" s="16" customFormat="1" ht="18" customHeight="1" x14ac:dyDescent="0.35">
      <c r="A214" s="626"/>
      <c r="B214" s="60"/>
      <c r="C214" s="61">
        <f>SUM(C206:C213)</f>
        <v>82.89</v>
      </c>
      <c r="D214" s="61">
        <f t="shared" ref="D214:I214" si="17">SUM(D206:D213)</f>
        <v>87.669999999999987</v>
      </c>
      <c r="E214" s="61">
        <f t="shared" si="17"/>
        <v>33.61</v>
      </c>
      <c r="F214" s="61">
        <f t="shared" si="17"/>
        <v>0</v>
      </c>
      <c r="G214" s="61">
        <f t="shared" si="17"/>
        <v>0</v>
      </c>
      <c r="H214" s="61">
        <f t="shared" si="17"/>
        <v>49.28</v>
      </c>
      <c r="I214" s="61">
        <f t="shared" si="17"/>
        <v>0</v>
      </c>
      <c r="J214" s="628"/>
      <c r="K214" s="629"/>
      <c r="L214" s="24"/>
      <c r="M214" s="593"/>
      <c r="N214" s="598"/>
    </row>
    <row r="215" spans="1:15" ht="18" customHeight="1" thickBot="1" x14ac:dyDescent="0.4">
      <c r="A215" s="53" t="s">
        <v>341</v>
      </c>
      <c r="B215" s="34"/>
      <c r="C215" s="31">
        <f>SUM(C206:C213)</f>
        <v>82.89</v>
      </c>
      <c r="D215" s="630"/>
      <c r="E215" s="31">
        <f>SUM(E206:E213)</f>
        <v>33.61</v>
      </c>
      <c r="F215" s="31">
        <f>SUM(F206:F213)</f>
        <v>0</v>
      </c>
      <c r="G215" s="31">
        <f>SUM(G206:G213)</f>
        <v>0</v>
      </c>
      <c r="H215" s="31">
        <f>SUM(H206:H213)</f>
        <v>49.28</v>
      </c>
      <c r="I215" s="31">
        <f>SUM(I206:I213)</f>
        <v>0</v>
      </c>
      <c r="J215" s="608"/>
      <c r="K215" s="609"/>
      <c r="L215" s="653"/>
      <c r="M215" s="21"/>
    </row>
    <row r="216" spans="1:15" ht="18" customHeight="1" thickBot="1" x14ac:dyDescent="0.4">
      <c r="L216" s="28"/>
    </row>
    <row r="217" spans="1:15" s="1" customFormat="1" x14ac:dyDescent="0.35">
      <c r="A217" s="1217" t="s">
        <v>488</v>
      </c>
      <c r="B217" s="1218"/>
      <c r="C217" s="1218"/>
      <c r="D217" s="1218"/>
      <c r="E217" s="1218"/>
      <c r="F217" s="1218"/>
      <c r="G217" s="1218"/>
      <c r="H217" s="1218"/>
      <c r="I217" s="1218"/>
      <c r="J217" s="1218"/>
      <c r="K217" s="1218"/>
      <c r="L217" s="668"/>
      <c r="M217" s="584"/>
      <c r="N217" s="581"/>
    </row>
    <row r="218" spans="1:15" s="1" customFormat="1" ht="16" thickBot="1" x14ac:dyDescent="0.4">
      <c r="A218" s="585"/>
      <c r="B218" s="2"/>
      <c r="C218" s="5"/>
      <c r="D218" s="586"/>
      <c r="E218" s="5"/>
      <c r="F218" s="5"/>
      <c r="G218" s="5"/>
      <c r="H218" s="5"/>
      <c r="I218" s="5"/>
      <c r="J218" s="3"/>
      <c r="K218" s="21"/>
      <c r="L218" s="653"/>
      <c r="M218" s="21"/>
      <c r="N218" s="581"/>
    </row>
    <row r="219" spans="1:15" s="1" customFormat="1" ht="21" customHeight="1" x14ac:dyDescent="0.35">
      <c r="A219" s="1206" t="s">
        <v>302</v>
      </c>
      <c r="B219" s="1208" t="s">
        <v>28</v>
      </c>
      <c r="C219" s="1210" t="s">
        <v>343</v>
      </c>
      <c r="D219" s="613"/>
      <c r="E219" s="1212" t="s">
        <v>305</v>
      </c>
      <c r="F219" s="1212"/>
      <c r="G219" s="1212"/>
      <c r="H219" s="1212"/>
      <c r="I219" s="1212"/>
      <c r="J219" s="1208" t="s">
        <v>29</v>
      </c>
      <c r="K219" s="1213" t="s">
        <v>306</v>
      </c>
      <c r="L219" s="1215" t="str">
        <f>L204</f>
        <v>REMARKS</v>
      </c>
      <c r="M219" s="588"/>
      <c r="N219" s="581"/>
    </row>
    <row r="220" spans="1:15" s="1" customFormat="1" ht="21" customHeight="1" thickBot="1" x14ac:dyDescent="0.4">
      <c r="A220" s="1207"/>
      <c r="B220" s="1209"/>
      <c r="C220" s="1211"/>
      <c r="D220" s="614"/>
      <c r="E220" s="7" t="s">
        <v>308</v>
      </c>
      <c r="F220" s="7" t="s">
        <v>309</v>
      </c>
      <c r="G220" s="7" t="s">
        <v>310</v>
      </c>
      <c r="H220" s="7" t="s">
        <v>311</v>
      </c>
      <c r="I220" s="7" t="s">
        <v>312</v>
      </c>
      <c r="J220" s="1209"/>
      <c r="K220" s="1214"/>
      <c r="L220" s="1216"/>
      <c r="M220" s="588"/>
      <c r="N220" s="581"/>
    </row>
    <row r="221" spans="1:15" s="16" customFormat="1" ht="31" x14ac:dyDescent="0.35">
      <c r="A221" s="589">
        <v>142</v>
      </c>
      <c r="B221" s="24" t="s">
        <v>286</v>
      </c>
      <c r="C221" s="15">
        <f>SUM(E221:I221)</f>
        <v>21.69</v>
      </c>
      <c r="D221" s="590">
        <f>'[23]road inventory 2018'!C218</f>
        <v>19.299999999999997</v>
      </c>
      <c r="E221" s="15">
        <v>0.8</v>
      </c>
      <c r="F221" s="15">
        <v>0</v>
      </c>
      <c r="G221" s="15">
        <v>0</v>
      </c>
      <c r="H221" s="15">
        <v>20.89</v>
      </c>
      <c r="I221" s="15">
        <v>0</v>
      </c>
      <c r="J221" s="106" t="s">
        <v>12</v>
      </c>
      <c r="K221" s="591" t="s">
        <v>489</v>
      </c>
      <c r="L221" s="24"/>
      <c r="M221" s="593"/>
      <c r="N221" s="598"/>
    </row>
    <row r="222" spans="1:15" ht="31" x14ac:dyDescent="0.35">
      <c r="A222" s="596">
        <v>143</v>
      </c>
      <c r="B222" s="28" t="s">
        <v>287</v>
      </c>
      <c r="C222" s="15">
        <f t="shared" ref="C222:C228" si="18">SUM(E222:I222)</f>
        <v>8.91</v>
      </c>
      <c r="D222" s="590">
        <f>'[23]road inventory 2018'!C219</f>
        <v>8.7999999999999989</v>
      </c>
      <c r="E222" s="10">
        <v>0.2</v>
      </c>
      <c r="F222" s="10">
        <v>0</v>
      </c>
      <c r="G222" s="10">
        <v>0</v>
      </c>
      <c r="H222" s="10">
        <v>8.7100000000000009</v>
      </c>
      <c r="I222" s="10">
        <v>0</v>
      </c>
      <c r="J222" s="103" t="s">
        <v>12</v>
      </c>
      <c r="K222" s="597" t="s">
        <v>490</v>
      </c>
      <c r="L222" s="28"/>
      <c r="O222" s="3">
        <f>3750*4</f>
        <v>15000</v>
      </c>
    </row>
    <row r="223" spans="1:15" s="16" customFormat="1" ht="31" x14ac:dyDescent="0.35">
      <c r="A223" s="589">
        <v>144</v>
      </c>
      <c r="B223" s="24" t="s">
        <v>288</v>
      </c>
      <c r="C223" s="15">
        <f t="shared" si="18"/>
        <v>7.88</v>
      </c>
      <c r="D223" s="590">
        <f>'[23]road inventory 2018'!C220</f>
        <v>7.8999999999999995</v>
      </c>
      <c r="E223" s="15">
        <v>1.75</v>
      </c>
      <c r="F223" s="15">
        <v>0</v>
      </c>
      <c r="G223" s="15">
        <v>0</v>
      </c>
      <c r="H223" s="15">
        <v>6.13</v>
      </c>
      <c r="I223" s="15">
        <v>0</v>
      </c>
      <c r="J223" s="106" t="s">
        <v>12</v>
      </c>
      <c r="K223" s="591" t="s">
        <v>491</v>
      </c>
      <c r="L223" s="24"/>
      <c r="M223" s="593"/>
      <c r="N223" s="598"/>
    </row>
    <row r="224" spans="1:15" s="667" customFormat="1" x14ac:dyDescent="0.35">
      <c r="A224" s="618">
        <v>121</v>
      </c>
      <c r="B224" s="619" t="s">
        <v>104</v>
      </c>
      <c r="C224" s="620">
        <f t="shared" si="18"/>
        <v>23.3</v>
      </c>
      <c r="D224" s="634">
        <f>'[23]road inventory 2018'!C221</f>
        <v>23.2</v>
      </c>
      <c r="E224" s="620">
        <v>3.6030000000000002</v>
      </c>
      <c r="F224" s="620">
        <v>0</v>
      </c>
      <c r="G224" s="620">
        <v>1.72</v>
      </c>
      <c r="H224" s="620">
        <v>17.977</v>
      </c>
      <c r="I224" s="620">
        <v>0</v>
      </c>
      <c r="J224" s="621" t="s">
        <v>12</v>
      </c>
      <c r="K224" s="622" t="s">
        <v>492</v>
      </c>
      <c r="L224" s="619"/>
      <c r="M224" s="623"/>
      <c r="N224" s="666"/>
    </row>
    <row r="225" spans="1:14" ht="18" customHeight="1" x14ac:dyDescent="0.35">
      <c r="A225" s="596">
        <v>145</v>
      </c>
      <c r="B225" s="28" t="s">
        <v>109</v>
      </c>
      <c r="C225" s="15">
        <f t="shared" si="18"/>
        <v>3.6</v>
      </c>
      <c r="D225" s="590">
        <f>'[23]road inventory 2018'!C222</f>
        <v>3.3</v>
      </c>
      <c r="E225" s="10">
        <v>0</v>
      </c>
      <c r="F225" s="10">
        <v>0</v>
      </c>
      <c r="G225" s="10">
        <v>0</v>
      </c>
      <c r="H225" s="10">
        <v>3.6</v>
      </c>
      <c r="I225" s="10">
        <v>0</v>
      </c>
      <c r="J225" s="103" t="s">
        <v>41</v>
      </c>
      <c r="K225" s="597"/>
      <c r="L225" s="28"/>
    </row>
    <row r="226" spans="1:14" s="667" customFormat="1" ht="18" customHeight="1" x14ac:dyDescent="0.35">
      <c r="A226" s="618">
        <v>126</v>
      </c>
      <c r="B226" s="619" t="s">
        <v>110</v>
      </c>
      <c r="C226" s="620">
        <f t="shared" si="18"/>
        <v>10.097</v>
      </c>
      <c r="D226" s="634">
        <f>'[23]road inventory 2018'!C223</f>
        <v>9.6</v>
      </c>
      <c r="E226" s="620">
        <v>10.097</v>
      </c>
      <c r="F226" s="620">
        <v>0</v>
      </c>
      <c r="G226" s="620">
        <v>0</v>
      </c>
      <c r="H226" s="620">
        <v>0</v>
      </c>
      <c r="I226" s="620">
        <v>0</v>
      </c>
      <c r="J226" s="621" t="s">
        <v>836</v>
      </c>
      <c r="K226" s="622" t="s">
        <v>493</v>
      </c>
      <c r="L226" s="619"/>
      <c r="M226" s="623"/>
      <c r="N226" s="666"/>
    </row>
    <row r="227" spans="1:14" s="16" customFormat="1" ht="31" x14ac:dyDescent="0.35">
      <c r="A227" s="589">
        <v>146</v>
      </c>
      <c r="B227" s="24" t="s">
        <v>115</v>
      </c>
      <c r="C227" s="15">
        <f t="shared" si="18"/>
        <v>12.15</v>
      </c>
      <c r="D227" s="590">
        <f>'[23]road inventory 2018'!C224</f>
        <v>8.3000000000000007</v>
      </c>
      <c r="E227" s="15">
        <v>0</v>
      </c>
      <c r="F227" s="15">
        <v>0</v>
      </c>
      <c r="G227" s="15">
        <v>0</v>
      </c>
      <c r="H227" s="15">
        <v>12.15</v>
      </c>
      <c r="I227" s="15">
        <v>0</v>
      </c>
      <c r="J227" s="106" t="s">
        <v>12</v>
      </c>
      <c r="K227" s="591"/>
      <c r="L227" s="24"/>
      <c r="M227" s="593"/>
      <c r="N227" s="598"/>
    </row>
    <row r="228" spans="1:14" s="16" customFormat="1" ht="18" customHeight="1" x14ac:dyDescent="0.35">
      <c r="A228" s="589">
        <v>147</v>
      </c>
      <c r="B228" s="24" t="s">
        <v>289</v>
      </c>
      <c r="C228" s="15">
        <f t="shared" si="18"/>
        <v>4.59</v>
      </c>
      <c r="D228" s="590">
        <f>'[23]road inventory 2018'!C225</f>
        <v>4.2</v>
      </c>
      <c r="E228" s="15">
        <v>0.2</v>
      </c>
      <c r="F228" s="15">
        <v>0</v>
      </c>
      <c r="G228" s="15">
        <v>0</v>
      </c>
      <c r="H228" s="15">
        <v>4.3899999999999997</v>
      </c>
      <c r="I228" s="15">
        <v>0</v>
      </c>
      <c r="J228" s="106" t="s">
        <v>10</v>
      </c>
      <c r="K228" s="591"/>
      <c r="L228" s="24"/>
      <c r="M228" s="593"/>
      <c r="N228" s="598"/>
    </row>
    <row r="229" spans="1:14" s="16" customFormat="1" ht="18" customHeight="1" x14ac:dyDescent="0.35">
      <c r="A229" s="626"/>
      <c r="B229" s="60"/>
      <c r="C229" s="61">
        <f>SUM(C221:C228)</f>
        <v>92.216999999999999</v>
      </c>
      <c r="D229" s="61">
        <f t="shared" ref="D229:I229" si="19">SUM(D221:D228)</f>
        <v>84.59999999999998</v>
      </c>
      <c r="E229" s="61">
        <f t="shared" si="19"/>
        <v>16.649999999999999</v>
      </c>
      <c r="F229" s="61">
        <f t="shared" si="19"/>
        <v>0</v>
      </c>
      <c r="G229" s="61">
        <f t="shared" si="19"/>
        <v>1.72</v>
      </c>
      <c r="H229" s="61">
        <f t="shared" si="19"/>
        <v>73.847000000000008</v>
      </c>
      <c r="I229" s="61">
        <f t="shared" si="19"/>
        <v>0</v>
      </c>
      <c r="J229" s="628"/>
      <c r="K229" s="629"/>
      <c r="L229" s="24"/>
      <c r="M229" s="593"/>
      <c r="N229" s="598"/>
    </row>
    <row r="230" spans="1:14" ht="18" customHeight="1" thickBot="1" x14ac:dyDescent="0.4">
      <c r="A230" s="53" t="s">
        <v>341</v>
      </c>
      <c r="B230" s="34"/>
      <c r="C230" s="31">
        <f>SUM(C221:C228)</f>
        <v>92.216999999999999</v>
      </c>
      <c r="D230" s="630"/>
      <c r="E230" s="31">
        <f>SUM(E221:E228)</f>
        <v>16.649999999999999</v>
      </c>
      <c r="F230" s="31">
        <f>SUM(F221:F228)</f>
        <v>0</v>
      </c>
      <c r="G230" s="31">
        <f>SUM(G221:G228)</f>
        <v>1.72</v>
      </c>
      <c r="H230" s="31">
        <f>SUM(H221:H228)</f>
        <v>73.847000000000008</v>
      </c>
      <c r="I230" s="31">
        <f>SUM(I221:I228)</f>
        <v>0</v>
      </c>
      <c r="J230" s="608"/>
      <c r="K230" s="609"/>
      <c r="L230" s="653"/>
      <c r="M230" s="21"/>
    </row>
    <row r="231" spans="1:14" ht="18" customHeight="1" thickBot="1" x14ac:dyDescent="0.4">
      <c r="L231" s="28"/>
    </row>
    <row r="232" spans="1:14" s="1" customFormat="1" x14ac:dyDescent="0.35">
      <c r="A232" s="1217" t="s">
        <v>494</v>
      </c>
      <c r="B232" s="1218"/>
      <c r="C232" s="1218"/>
      <c r="D232" s="1218"/>
      <c r="E232" s="1218"/>
      <c r="F232" s="1218"/>
      <c r="G232" s="1218"/>
      <c r="H232" s="1218"/>
      <c r="I232" s="1218"/>
      <c r="J232" s="1218"/>
      <c r="K232" s="1218"/>
      <c r="L232" s="668"/>
      <c r="M232" s="584"/>
      <c r="N232" s="581"/>
    </row>
    <row r="233" spans="1:14" s="1" customFormat="1" ht="16" thickBot="1" x14ac:dyDescent="0.4">
      <c r="A233" s="585"/>
      <c r="B233" s="2"/>
      <c r="C233" s="5"/>
      <c r="D233" s="586"/>
      <c r="E233" s="5"/>
      <c r="F233" s="5"/>
      <c r="G233" s="5"/>
      <c r="H233" s="5"/>
      <c r="I233" s="5"/>
      <c r="J233" s="3"/>
      <c r="K233" s="21"/>
      <c r="L233" s="653"/>
      <c r="M233" s="21"/>
      <c r="N233" s="581"/>
    </row>
    <row r="234" spans="1:14" s="1" customFormat="1" ht="21" customHeight="1" x14ac:dyDescent="0.35">
      <c r="A234" s="1206" t="s">
        <v>302</v>
      </c>
      <c r="B234" s="1208" t="s">
        <v>28</v>
      </c>
      <c r="C234" s="1210" t="s">
        <v>343</v>
      </c>
      <c r="D234" s="613"/>
      <c r="E234" s="1212" t="s">
        <v>305</v>
      </c>
      <c r="F234" s="1212"/>
      <c r="G234" s="1212"/>
      <c r="H234" s="1212"/>
      <c r="I234" s="1212"/>
      <c r="J234" s="1208" t="s">
        <v>29</v>
      </c>
      <c r="K234" s="1213" t="s">
        <v>306</v>
      </c>
      <c r="L234" s="1215" t="str">
        <f>L219</f>
        <v>REMARKS</v>
      </c>
      <c r="M234" s="588"/>
      <c r="N234" s="581"/>
    </row>
    <row r="235" spans="1:14" s="1" customFormat="1" ht="21" customHeight="1" thickBot="1" x14ac:dyDescent="0.4">
      <c r="A235" s="1207"/>
      <c r="B235" s="1209"/>
      <c r="C235" s="1211"/>
      <c r="D235" s="614"/>
      <c r="E235" s="7" t="s">
        <v>308</v>
      </c>
      <c r="F235" s="7" t="s">
        <v>309</v>
      </c>
      <c r="G235" s="7" t="s">
        <v>310</v>
      </c>
      <c r="H235" s="7" t="s">
        <v>311</v>
      </c>
      <c r="I235" s="7" t="s">
        <v>312</v>
      </c>
      <c r="J235" s="1209"/>
      <c r="K235" s="1214"/>
      <c r="L235" s="1216"/>
      <c r="M235" s="588"/>
      <c r="N235" s="581"/>
    </row>
    <row r="236" spans="1:14" ht="18" customHeight="1" x14ac:dyDescent="0.35">
      <c r="A236" s="596">
        <v>148</v>
      </c>
      <c r="B236" s="28" t="s">
        <v>290</v>
      </c>
      <c r="C236" s="10">
        <f>SUM(E236:I236)</f>
        <v>3.0799999999999996</v>
      </c>
      <c r="D236" s="615">
        <f>'[23]road inventory 2018'!C232</f>
        <v>3</v>
      </c>
      <c r="E236" s="10">
        <v>0.32</v>
      </c>
      <c r="F236" s="10">
        <v>0</v>
      </c>
      <c r="G236" s="10">
        <v>0</v>
      </c>
      <c r="H236" s="10">
        <v>2.76</v>
      </c>
      <c r="I236" s="10">
        <v>0</v>
      </c>
      <c r="J236" s="103" t="s">
        <v>41</v>
      </c>
      <c r="K236" s="597" t="s">
        <v>495</v>
      </c>
      <c r="L236" s="28"/>
    </row>
    <row r="237" spans="1:14" s="16" customFormat="1" x14ac:dyDescent="0.35">
      <c r="A237" s="589">
        <v>149</v>
      </c>
      <c r="B237" s="24" t="s">
        <v>496</v>
      </c>
      <c r="C237" s="10">
        <f>SUM(E237:I237)</f>
        <v>5.01</v>
      </c>
      <c r="D237" s="615">
        <f>'[23]road inventory 2018'!C233</f>
        <v>5</v>
      </c>
      <c r="E237" s="15">
        <v>0.79</v>
      </c>
      <c r="F237" s="15">
        <v>0</v>
      </c>
      <c r="G237" s="15">
        <v>0</v>
      </c>
      <c r="H237" s="15">
        <v>4.22</v>
      </c>
      <c r="I237" s="15">
        <v>0</v>
      </c>
      <c r="J237" s="106" t="s">
        <v>12</v>
      </c>
      <c r="K237" s="591" t="s">
        <v>497</v>
      </c>
      <c r="L237" s="24"/>
      <c r="M237" s="593"/>
      <c r="N237" s="598"/>
    </row>
    <row r="238" spans="1:14" ht="18" customHeight="1" x14ac:dyDescent="0.35">
      <c r="A238" s="596">
        <v>150</v>
      </c>
      <c r="B238" s="28" t="s">
        <v>116</v>
      </c>
      <c r="C238" s="10">
        <f>SUM(E238:I238)</f>
        <v>11.27</v>
      </c>
      <c r="D238" s="615">
        <f>'[23]road inventory 2018'!C234</f>
        <v>11</v>
      </c>
      <c r="E238" s="10">
        <v>2.4500000000000002</v>
      </c>
      <c r="F238" s="10">
        <v>0</v>
      </c>
      <c r="G238" s="10">
        <v>0</v>
      </c>
      <c r="H238" s="10">
        <v>8.82</v>
      </c>
      <c r="I238" s="10">
        <v>0</v>
      </c>
      <c r="J238" s="103" t="s">
        <v>33</v>
      </c>
      <c r="K238" s="597" t="s">
        <v>498</v>
      </c>
      <c r="L238" s="28"/>
    </row>
    <row r="239" spans="1:14" s="16" customFormat="1" ht="18" customHeight="1" x14ac:dyDescent="0.35">
      <c r="A239" s="589">
        <v>151</v>
      </c>
      <c r="B239" s="24" t="s">
        <v>499</v>
      </c>
      <c r="C239" s="10">
        <f>SUM(E239:I239)</f>
        <v>3.99</v>
      </c>
      <c r="D239" s="615">
        <f>'[23]road inventory 2018'!C235</f>
        <v>4</v>
      </c>
      <c r="E239" s="15">
        <v>0</v>
      </c>
      <c r="F239" s="15">
        <v>0</v>
      </c>
      <c r="G239" s="15">
        <v>0</v>
      </c>
      <c r="H239" s="15">
        <v>3.99</v>
      </c>
      <c r="I239" s="15">
        <v>0</v>
      </c>
      <c r="J239" s="106" t="s">
        <v>12</v>
      </c>
      <c r="K239" s="591" t="s">
        <v>500</v>
      </c>
      <c r="L239" s="24"/>
      <c r="M239" s="593"/>
      <c r="N239" s="598"/>
    </row>
    <row r="240" spans="1:14" ht="18" customHeight="1" x14ac:dyDescent="0.35">
      <c r="A240" s="596">
        <v>152</v>
      </c>
      <c r="B240" s="28" t="s">
        <v>120</v>
      </c>
      <c r="C240" s="10">
        <f>SUM(E240:I240)</f>
        <v>4.82</v>
      </c>
      <c r="D240" s="615">
        <f>'[23]road inventory 2018'!C236</f>
        <v>4.5999999999999996</v>
      </c>
      <c r="E240" s="10">
        <v>0</v>
      </c>
      <c r="F240" s="10">
        <v>0</v>
      </c>
      <c r="G240" s="10">
        <v>0</v>
      </c>
      <c r="H240" s="10">
        <v>4.82</v>
      </c>
      <c r="I240" s="10">
        <v>0</v>
      </c>
      <c r="J240" s="103" t="s">
        <v>33</v>
      </c>
      <c r="K240" s="597"/>
      <c r="L240" s="28"/>
    </row>
    <row r="241" spans="1:14" ht="18" customHeight="1" x14ac:dyDescent="0.35">
      <c r="A241" s="635"/>
      <c r="B241" s="40"/>
      <c r="C241" s="41">
        <f>SUM(C236:C240)</f>
        <v>28.17</v>
      </c>
      <c r="D241" s="41">
        <f t="shared" ref="D241:I241" si="20">SUM(D236:D240)</f>
        <v>27.6</v>
      </c>
      <c r="E241" s="41">
        <f t="shared" si="20"/>
        <v>3.5600000000000005</v>
      </c>
      <c r="F241" s="41">
        <f t="shared" si="20"/>
        <v>0</v>
      </c>
      <c r="G241" s="41">
        <f t="shared" si="20"/>
        <v>0</v>
      </c>
      <c r="H241" s="41">
        <f t="shared" si="20"/>
        <v>24.61</v>
      </c>
      <c r="I241" s="41">
        <f t="shared" si="20"/>
        <v>0</v>
      </c>
      <c r="J241" s="109"/>
      <c r="K241" s="605"/>
      <c r="L241" s="28"/>
    </row>
    <row r="242" spans="1:14" ht="18" customHeight="1" thickBot="1" x14ac:dyDescent="0.4">
      <c r="A242" s="53" t="s">
        <v>341</v>
      </c>
      <c r="B242" s="34"/>
      <c r="C242" s="31">
        <f>SUM(C236:C240)</f>
        <v>28.17</v>
      </c>
      <c r="D242" s="630"/>
      <c r="E242" s="31">
        <f>SUM(E236:E240)</f>
        <v>3.5600000000000005</v>
      </c>
      <c r="F242" s="31">
        <f>SUM(F236:F240)</f>
        <v>0</v>
      </c>
      <c r="G242" s="31">
        <f>SUM(G236:G240)</f>
        <v>0</v>
      </c>
      <c r="H242" s="31">
        <f>SUM(H236:H240)</f>
        <v>24.61</v>
      </c>
      <c r="I242" s="31">
        <f>SUM(I236:I240)</f>
        <v>0</v>
      </c>
      <c r="J242" s="608"/>
      <c r="K242" s="609"/>
      <c r="L242" s="653"/>
      <c r="M242" s="21"/>
    </row>
    <row r="243" spans="1:14" ht="18" customHeight="1" thickBot="1" x14ac:dyDescent="0.4">
      <c r="L243" s="28"/>
    </row>
    <row r="244" spans="1:14" s="1" customFormat="1" x14ac:dyDescent="0.35">
      <c r="A244" s="1217" t="s">
        <v>501</v>
      </c>
      <c r="B244" s="1218"/>
      <c r="C244" s="1218"/>
      <c r="D244" s="1218"/>
      <c r="E244" s="1218"/>
      <c r="F244" s="1218"/>
      <c r="G244" s="1218"/>
      <c r="H244" s="1218"/>
      <c r="I244" s="1218"/>
      <c r="J244" s="1218"/>
      <c r="K244" s="1218"/>
      <c r="L244" s="668"/>
      <c r="M244" s="584"/>
      <c r="N244" s="581"/>
    </row>
    <row r="245" spans="1:14" s="1" customFormat="1" ht="16" thickBot="1" x14ac:dyDescent="0.4">
      <c r="A245" s="585"/>
      <c r="B245" s="2"/>
      <c r="C245" s="5"/>
      <c r="D245" s="586"/>
      <c r="E245" s="5"/>
      <c r="F245" s="5"/>
      <c r="G245" s="5"/>
      <c r="H245" s="5"/>
      <c r="I245" s="5"/>
      <c r="J245" s="3"/>
      <c r="K245" s="21"/>
      <c r="L245" s="653"/>
      <c r="M245" s="21"/>
      <c r="N245" s="581"/>
    </row>
    <row r="246" spans="1:14" s="1" customFormat="1" ht="21" customHeight="1" x14ac:dyDescent="0.35">
      <c r="A246" s="1206" t="s">
        <v>302</v>
      </c>
      <c r="B246" s="1208" t="s">
        <v>28</v>
      </c>
      <c r="C246" s="1210" t="s">
        <v>343</v>
      </c>
      <c r="D246" s="613"/>
      <c r="E246" s="1212" t="s">
        <v>305</v>
      </c>
      <c r="F246" s="1212"/>
      <c r="G246" s="1212"/>
      <c r="H246" s="1212"/>
      <c r="I246" s="1212"/>
      <c r="J246" s="1208" t="s">
        <v>29</v>
      </c>
      <c r="K246" s="1213" t="s">
        <v>306</v>
      </c>
      <c r="L246" s="1215" t="str">
        <f>L234</f>
        <v>REMARKS</v>
      </c>
      <c r="M246" s="588"/>
      <c r="N246" s="581"/>
    </row>
    <row r="247" spans="1:14" s="1" customFormat="1" ht="21" customHeight="1" thickBot="1" x14ac:dyDescent="0.4">
      <c r="A247" s="1207"/>
      <c r="B247" s="1209"/>
      <c r="C247" s="1211"/>
      <c r="D247" s="614"/>
      <c r="E247" s="7" t="s">
        <v>308</v>
      </c>
      <c r="F247" s="7" t="s">
        <v>309</v>
      </c>
      <c r="G247" s="7" t="s">
        <v>310</v>
      </c>
      <c r="H247" s="7" t="s">
        <v>311</v>
      </c>
      <c r="I247" s="7" t="s">
        <v>312</v>
      </c>
      <c r="J247" s="1209"/>
      <c r="K247" s="1214"/>
      <c r="L247" s="1216"/>
      <c r="M247" s="588"/>
      <c r="N247" s="581"/>
    </row>
    <row r="248" spans="1:14" s="677" customFormat="1" ht="18" customHeight="1" x14ac:dyDescent="0.35">
      <c r="A248" s="669">
        <v>153</v>
      </c>
      <c r="B248" s="107" t="s">
        <v>121</v>
      </c>
      <c r="C248" s="670">
        <f>SUM(E248:I248)</f>
        <v>11</v>
      </c>
      <c r="D248" s="671">
        <f>'[23]road inventory 2018'!C243</f>
        <v>11</v>
      </c>
      <c r="E248" s="670">
        <v>1.96</v>
      </c>
      <c r="F248" s="670">
        <f>[24]CARRIAGEWAY!$X$360</f>
        <v>0</v>
      </c>
      <c r="G248" s="670">
        <f>[24]CARRIAGEWAY!$Z$360</f>
        <v>0</v>
      </c>
      <c r="H248" s="672">
        <v>9.0399999999999991</v>
      </c>
      <c r="I248" s="670">
        <v>0</v>
      </c>
      <c r="J248" s="673" t="str">
        <f>[24]CARRIAGEWAY!$Z$361</f>
        <v>FAIR</v>
      </c>
      <c r="K248" s="674" t="s">
        <v>502</v>
      </c>
      <c r="L248" s="107"/>
      <c r="M248" s="675"/>
      <c r="N248" s="676"/>
    </row>
    <row r="249" spans="1:14" s="16" customFormat="1" ht="18" customHeight="1" x14ac:dyDescent="0.35">
      <c r="A249" s="589">
        <v>125</v>
      </c>
      <c r="B249" s="24" t="s">
        <v>125</v>
      </c>
      <c r="C249" s="670">
        <f t="shared" ref="C249:C261" si="21">SUM(E249:I249)</f>
        <v>2.9</v>
      </c>
      <c r="D249" s="671">
        <f>'[23]road inventory 2018'!C244</f>
        <v>2.9</v>
      </c>
      <c r="E249" s="15">
        <v>0</v>
      </c>
      <c r="F249" s="15">
        <v>0</v>
      </c>
      <c r="G249" s="15">
        <v>0</v>
      </c>
      <c r="H249" s="70">
        <v>2.9</v>
      </c>
      <c r="I249" s="15">
        <v>0</v>
      </c>
      <c r="J249" s="106" t="s">
        <v>12</v>
      </c>
      <c r="K249" s="591" t="s">
        <v>502</v>
      </c>
      <c r="L249" s="24"/>
      <c r="M249" s="593"/>
      <c r="N249" s="598"/>
    </row>
    <row r="250" spans="1:14" s="16" customFormat="1" ht="18" customHeight="1" x14ac:dyDescent="0.35">
      <c r="A250" s="589">
        <v>154</v>
      </c>
      <c r="B250" s="24" t="s">
        <v>127</v>
      </c>
      <c r="C250" s="670">
        <f t="shared" si="21"/>
        <v>7</v>
      </c>
      <c r="D250" s="671">
        <f>'[23]road inventory 2018'!C245</f>
        <v>7</v>
      </c>
      <c r="E250" s="15">
        <v>0</v>
      </c>
      <c r="F250" s="15">
        <v>0</v>
      </c>
      <c r="G250" s="15">
        <v>0</v>
      </c>
      <c r="H250" s="70">
        <v>7</v>
      </c>
      <c r="I250" s="15">
        <v>0</v>
      </c>
      <c r="J250" s="106" t="s">
        <v>12</v>
      </c>
      <c r="K250" s="591" t="s">
        <v>503</v>
      </c>
      <c r="L250" s="24"/>
      <c r="M250" s="593"/>
      <c r="N250" s="598"/>
    </row>
    <row r="251" spans="1:14" s="16" customFormat="1" x14ac:dyDescent="0.35">
      <c r="A251" s="589">
        <v>127</v>
      </c>
      <c r="B251" s="24" t="s">
        <v>504</v>
      </c>
      <c r="C251" s="670">
        <f t="shared" si="21"/>
        <v>2.7</v>
      </c>
      <c r="D251" s="590">
        <f>'[23]road inventory 2018'!C249</f>
        <v>2.7</v>
      </c>
      <c r="E251" s="15">
        <v>0</v>
      </c>
      <c r="F251" s="15">
        <v>0</v>
      </c>
      <c r="G251" s="15">
        <v>0</v>
      </c>
      <c r="H251" s="70">
        <v>2.7</v>
      </c>
      <c r="I251" s="15">
        <v>0</v>
      </c>
      <c r="J251" s="106" t="s">
        <v>12</v>
      </c>
      <c r="K251" s="591" t="s">
        <v>505</v>
      </c>
      <c r="L251" s="24"/>
      <c r="M251" s="593"/>
      <c r="N251" s="598" t="s">
        <v>506</v>
      </c>
    </row>
    <row r="252" spans="1:14" x14ac:dyDescent="0.35">
      <c r="A252" s="596">
        <v>128</v>
      </c>
      <c r="B252" s="28" t="s">
        <v>507</v>
      </c>
      <c r="C252" s="670">
        <f t="shared" si="21"/>
        <v>2.2999999999999998</v>
      </c>
      <c r="D252" s="590">
        <f>'[23]road inventory 2018'!C250</f>
        <v>2.3000000000000003</v>
      </c>
      <c r="E252" s="10">
        <v>2.2999999999999998</v>
      </c>
      <c r="F252" s="10">
        <v>0</v>
      </c>
      <c r="G252" s="10">
        <v>0</v>
      </c>
      <c r="H252" s="678">
        <v>0</v>
      </c>
      <c r="I252" s="10">
        <v>0</v>
      </c>
      <c r="J252" s="103" t="s">
        <v>10</v>
      </c>
      <c r="K252" s="597" t="s">
        <v>508</v>
      </c>
      <c r="L252" s="28"/>
    </row>
    <row r="253" spans="1:14" ht="31" x14ac:dyDescent="0.35">
      <c r="A253" s="596">
        <v>155</v>
      </c>
      <c r="B253" s="28" t="s">
        <v>509</v>
      </c>
      <c r="C253" s="670">
        <f t="shared" si="21"/>
        <v>3.7</v>
      </c>
      <c r="D253" s="590">
        <f>'[23]road inventory 2018'!C251</f>
        <v>3.7</v>
      </c>
      <c r="E253" s="10">
        <v>0</v>
      </c>
      <c r="F253" s="10">
        <v>0</v>
      </c>
      <c r="G253" s="10">
        <v>3.7</v>
      </c>
      <c r="H253" s="678">
        <v>0</v>
      </c>
      <c r="I253" s="10">
        <v>0</v>
      </c>
      <c r="J253" s="103" t="s">
        <v>41</v>
      </c>
      <c r="K253" s="597" t="s">
        <v>510</v>
      </c>
      <c r="L253" s="28"/>
    </row>
    <row r="254" spans="1:14" ht="18" customHeight="1" x14ac:dyDescent="0.35">
      <c r="A254" s="596">
        <v>129</v>
      </c>
      <c r="B254" s="28" t="s">
        <v>512</v>
      </c>
      <c r="C254" s="670">
        <f t="shared" si="21"/>
        <v>2.7</v>
      </c>
      <c r="D254" s="590">
        <f>'[23]road inventory 2018'!C252</f>
        <v>2.7</v>
      </c>
      <c r="E254" s="10">
        <v>0</v>
      </c>
      <c r="F254" s="10">
        <v>0</v>
      </c>
      <c r="G254" s="10">
        <v>0</v>
      </c>
      <c r="H254" s="678">
        <v>2.7</v>
      </c>
      <c r="I254" s="10">
        <v>0</v>
      </c>
      <c r="J254" s="103" t="s">
        <v>33</v>
      </c>
      <c r="K254" s="597" t="s">
        <v>513</v>
      </c>
      <c r="L254" s="28"/>
    </row>
    <row r="255" spans="1:14" s="667" customFormat="1" ht="18" customHeight="1" x14ac:dyDescent="0.35">
      <c r="A255" s="618">
        <v>156</v>
      </c>
      <c r="B255" s="619" t="s">
        <v>130</v>
      </c>
      <c r="C255" s="620">
        <f t="shared" si="21"/>
        <v>20</v>
      </c>
      <c r="D255" s="634">
        <f>'[23]road inventory 2018'!C253</f>
        <v>20</v>
      </c>
      <c r="E255" s="620">
        <v>8.2050000000000001</v>
      </c>
      <c r="F255" s="620">
        <v>0</v>
      </c>
      <c r="G255" s="620">
        <v>0</v>
      </c>
      <c r="H255" s="679">
        <v>11.795</v>
      </c>
      <c r="I255" s="620">
        <v>0</v>
      </c>
      <c r="J255" s="621" t="s">
        <v>10</v>
      </c>
      <c r="K255" s="622" t="s">
        <v>514</v>
      </c>
      <c r="L255" s="619"/>
      <c r="M255" s="623"/>
      <c r="N255" s="666"/>
    </row>
    <row r="256" spans="1:14" ht="18" customHeight="1" x14ac:dyDescent="0.35">
      <c r="A256" s="596">
        <v>157</v>
      </c>
      <c r="B256" s="28" t="s">
        <v>515</v>
      </c>
      <c r="C256" s="670">
        <f t="shared" si="21"/>
        <v>0</v>
      </c>
      <c r="D256" s="10">
        <f>'[23]road inventory 2018'!C254</f>
        <v>8.6999999999999993</v>
      </c>
      <c r="E256" s="10">
        <v>0</v>
      </c>
      <c r="F256" s="10">
        <v>0</v>
      </c>
      <c r="G256" s="10">
        <v>0</v>
      </c>
      <c r="H256" s="678">
        <v>0</v>
      </c>
      <c r="I256" s="10">
        <v>0</v>
      </c>
      <c r="J256" s="103" t="s">
        <v>12</v>
      </c>
      <c r="K256" s="597"/>
      <c r="L256" s="28" t="s">
        <v>837</v>
      </c>
      <c r="N256" s="1233" t="s">
        <v>516</v>
      </c>
    </row>
    <row r="257" spans="1:16" s="667" customFormat="1" ht="18" customHeight="1" x14ac:dyDescent="0.35">
      <c r="A257" s="618">
        <v>158</v>
      </c>
      <c r="B257" s="619" t="s">
        <v>517</v>
      </c>
      <c r="C257" s="620">
        <f t="shared" si="21"/>
        <v>7.2</v>
      </c>
      <c r="D257" s="620">
        <f>'[23]road inventory 2018'!C255</f>
        <v>7.1999999999999993</v>
      </c>
      <c r="E257" s="620">
        <v>4.08</v>
      </c>
      <c r="F257" s="620">
        <v>0</v>
      </c>
      <c r="G257" s="620">
        <v>3.12</v>
      </c>
      <c r="H257" s="679">
        <v>0</v>
      </c>
      <c r="I257" s="620">
        <v>0</v>
      </c>
      <c r="J257" s="621" t="s">
        <v>206</v>
      </c>
      <c r="K257" s="622"/>
      <c r="L257" s="619" t="s">
        <v>837</v>
      </c>
      <c r="M257" s="623"/>
      <c r="N257" s="1233"/>
    </row>
    <row r="258" spans="1:16" ht="18" customHeight="1" x14ac:dyDescent="0.35">
      <c r="A258" s="596">
        <v>159</v>
      </c>
      <c r="B258" s="28" t="s">
        <v>518</v>
      </c>
      <c r="C258" s="670">
        <f t="shared" si="21"/>
        <v>0</v>
      </c>
      <c r="D258" s="10">
        <f>'[23]road inventory 2018'!C256</f>
        <v>4.8</v>
      </c>
      <c r="E258" s="10">
        <v>0</v>
      </c>
      <c r="F258" s="10">
        <v>0</v>
      </c>
      <c r="G258" s="10">
        <v>0</v>
      </c>
      <c r="H258" s="678">
        <v>0</v>
      </c>
      <c r="I258" s="10">
        <v>0</v>
      </c>
      <c r="J258" s="103" t="s">
        <v>33</v>
      </c>
      <c r="K258" s="597"/>
      <c r="L258" s="28" t="s">
        <v>837</v>
      </c>
      <c r="N258" s="1233"/>
    </row>
    <row r="259" spans="1:16" ht="18" customHeight="1" x14ac:dyDescent="0.35">
      <c r="A259" s="596">
        <v>130</v>
      </c>
      <c r="B259" s="28" t="s">
        <v>519</v>
      </c>
      <c r="C259" s="670">
        <f t="shared" si="21"/>
        <v>1.19</v>
      </c>
      <c r="D259" s="10">
        <f>'[23]road inventory 2018'!C257</f>
        <v>6</v>
      </c>
      <c r="E259" s="10">
        <f>[25]CARRIAGEWAY!$V$360</f>
        <v>0</v>
      </c>
      <c r="F259" s="10">
        <f>[25]CARRIAGEWAY!$X$360</f>
        <v>0</v>
      </c>
      <c r="G259" s="10">
        <v>1.19</v>
      </c>
      <c r="H259" s="678">
        <f>[25]CARRIAGEWAY!$Y$360</f>
        <v>0</v>
      </c>
      <c r="I259" s="10">
        <v>0</v>
      </c>
      <c r="J259" s="103" t="str">
        <f>[25]CARRIAGEWAY!$Z$361</f>
        <v>POOR</v>
      </c>
      <c r="K259" s="597" t="s">
        <v>520</v>
      </c>
      <c r="L259" s="28" t="s">
        <v>833</v>
      </c>
      <c r="M259" s="680"/>
      <c r="N259" s="681" t="s">
        <v>521</v>
      </c>
      <c r="O259" s="682" t="s">
        <v>522</v>
      </c>
      <c r="P259" s="683"/>
    </row>
    <row r="260" spans="1:16" s="16" customFormat="1" ht="18" customHeight="1" x14ac:dyDescent="0.35">
      <c r="A260" s="589">
        <v>131</v>
      </c>
      <c r="B260" s="24" t="s">
        <v>523</v>
      </c>
      <c r="C260" s="670">
        <f t="shared" si="21"/>
        <v>5.1999999999999993</v>
      </c>
      <c r="D260" s="590">
        <f>'[23]road inventory 2018'!C258</f>
        <v>5.2</v>
      </c>
      <c r="E260" s="15">
        <v>2.0099999999999998</v>
      </c>
      <c r="F260" s="15">
        <v>0</v>
      </c>
      <c r="G260" s="15">
        <v>0</v>
      </c>
      <c r="H260" s="70">
        <v>3.19</v>
      </c>
      <c r="I260" s="15">
        <v>0</v>
      </c>
      <c r="J260" s="106" t="s">
        <v>12</v>
      </c>
      <c r="K260" s="591"/>
      <c r="L260" s="24"/>
      <c r="M260" s="593"/>
      <c r="N260" s="598"/>
    </row>
    <row r="261" spans="1:16" s="16" customFormat="1" ht="18" customHeight="1" x14ac:dyDescent="0.35">
      <c r="A261" s="589">
        <v>135</v>
      </c>
      <c r="B261" s="24" t="s">
        <v>139</v>
      </c>
      <c r="C261" s="670">
        <f t="shared" si="21"/>
        <v>4.4000000000000004</v>
      </c>
      <c r="D261" s="590">
        <f>'[23]road inventory 2018'!C259</f>
        <v>4.4000000000000004</v>
      </c>
      <c r="E261" s="15">
        <v>0</v>
      </c>
      <c r="F261" s="15">
        <v>0</v>
      </c>
      <c r="G261" s="15">
        <v>0</v>
      </c>
      <c r="H261" s="70">
        <v>4.4000000000000004</v>
      </c>
      <c r="I261" s="15">
        <v>0</v>
      </c>
      <c r="J261" s="106" t="s">
        <v>12</v>
      </c>
      <c r="K261" s="591" t="s">
        <v>525</v>
      </c>
      <c r="L261" s="24"/>
      <c r="M261" s="593"/>
      <c r="N261" s="598"/>
    </row>
    <row r="262" spans="1:16" s="16" customFormat="1" ht="18" customHeight="1" x14ac:dyDescent="0.35">
      <c r="A262" s="626"/>
      <c r="B262" s="60"/>
      <c r="C262" s="61">
        <f t="shared" ref="C262:I262" si="22">SUM(C248:C261)</f>
        <v>70.290000000000006</v>
      </c>
      <c r="D262" s="61">
        <f t="shared" si="22"/>
        <v>88.600000000000009</v>
      </c>
      <c r="E262" s="61">
        <f t="shared" si="22"/>
        <v>18.555</v>
      </c>
      <c r="F262" s="61">
        <f t="shared" si="22"/>
        <v>0</v>
      </c>
      <c r="G262" s="61">
        <f t="shared" si="22"/>
        <v>8.01</v>
      </c>
      <c r="H262" s="61">
        <f t="shared" si="22"/>
        <v>43.724999999999994</v>
      </c>
      <c r="I262" s="61">
        <f t="shared" si="22"/>
        <v>0</v>
      </c>
      <c r="J262" s="628"/>
      <c r="K262" s="629"/>
      <c r="L262" s="24"/>
      <c r="M262" s="593"/>
      <c r="N262" s="598"/>
    </row>
    <row r="263" spans="1:16" ht="18" customHeight="1" thickBot="1" x14ac:dyDescent="0.4">
      <c r="A263" s="53" t="s">
        <v>341</v>
      </c>
      <c r="B263" s="34"/>
      <c r="C263" s="31">
        <f>SUM(E263:I263)</f>
        <v>70.289999999999992</v>
      </c>
      <c r="D263" s="630"/>
      <c r="E263" s="31">
        <f>SUM(E248:E261)</f>
        <v>18.555</v>
      </c>
      <c r="F263" s="31">
        <f>SUM(F248:F261)</f>
        <v>0</v>
      </c>
      <c r="G263" s="31">
        <f>SUM(G248:G261)</f>
        <v>8.01</v>
      </c>
      <c r="H263" s="31">
        <f>SUM(H248:H261)</f>
        <v>43.724999999999994</v>
      </c>
      <c r="I263" s="31">
        <f>SUM(I248:I261)</f>
        <v>0</v>
      </c>
      <c r="J263" s="608"/>
      <c r="K263" s="609"/>
      <c r="L263" s="653"/>
      <c r="M263" s="21"/>
    </row>
    <row r="264" spans="1:16" ht="18" customHeight="1" thickBot="1" x14ac:dyDescent="0.4">
      <c r="L264" s="40"/>
    </row>
    <row r="265" spans="1:16" s="1" customFormat="1" x14ac:dyDescent="0.35">
      <c r="A265" s="1217" t="s">
        <v>526</v>
      </c>
      <c r="B265" s="1218"/>
      <c r="C265" s="1218"/>
      <c r="D265" s="1218"/>
      <c r="E265" s="1218"/>
      <c r="F265" s="1218"/>
      <c r="G265" s="1218"/>
      <c r="H265" s="1218"/>
      <c r="I265" s="1218"/>
      <c r="J265" s="1218"/>
      <c r="K265" s="1218"/>
      <c r="L265" s="1219"/>
      <c r="M265" s="584"/>
      <c r="N265" s="581"/>
    </row>
    <row r="266" spans="1:16" s="1" customFormat="1" ht="16" thickBot="1" x14ac:dyDescent="0.4">
      <c r="A266" s="585"/>
      <c r="B266" s="2"/>
      <c r="C266" s="5"/>
      <c r="D266" s="586"/>
      <c r="E266" s="5"/>
      <c r="F266" s="5"/>
      <c r="G266" s="5"/>
      <c r="H266" s="5"/>
      <c r="I266" s="5"/>
      <c r="J266" s="3"/>
      <c r="K266" s="21"/>
      <c r="L266" s="18"/>
      <c r="M266" s="21"/>
      <c r="N266" s="581"/>
    </row>
    <row r="267" spans="1:16" s="1" customFormat="1" ht="21" customHeight="1" x14ac:dyDescent="0.35">
      <c r="A267" s="1206" t="s">
        <v>302</v>
      </c>
      <c r="B267" s="1208" t="s">
        <v>28</v>
      </c>
      <c r="C267" s="1210" t="s">
        <v>343</v>
      </c>
      <c r="D267" s="613"/>
      <c r="E267" s="1212" t="s">
        <v>305</v>
      </c>
      <c r="F267" s="1212"/>
      <c r="G267" s="1212"/>
      <c r="H267" s="1212"/>
      <c r="I267" s="1212"/>
      <c r="J267" s="1208" t="s">
        <v>29</v>
      </c>
      <c r="K267" s="1213" t="s">
        <v>306</v>
      </c>
      <c r="L267" s="1220" t="s">
        <v>307</v>
      </c>
      <c r="M267" s="588"/>
      <c r="N267" s="581"/>
    </row>
    <row r="268" spans="1:16" s="1" customFormat="1" ht="21" customHeight="1" thickBot="1" x14ac:dyDescent="0.4">
      <c r="A268" s="1207"/>
      <c r="B268" s="1209"/>
      <c r="C268" s="1211"/>
      <c r="D268" s="614"/>
      <c r="E268" s="7" t="s">
        <v>308</v>
      </c>
      <c r="F268" s="7" t="s">
        <v>309</v>
      </c>
      <c r="G268" s="7" t="s">
        <v>310</v>
      </c>
      <c r="H268" s="7" t="s">
        <v>311</v>
      </c>
      <c r="I268" s="7" t="s">
        <v>312</v>
      </c>
      <c r="J268" s="1209"/>
      <c r="K268" s="1214"/>
      <c r="L268" s="1221"/>
      <c r="M268" s="588"/>
      <c r="N268" s="581"/>
    </row>
    <row r="269" spans="1:16" s="16" customFormat="1" ht="18" customHeight="1" x14ac:dyDescent="0.35">
      <c r="A269" s="589">
        <v>160</v>
      </c>
      <c r="B269" s="24" t="s">
        <v>527</v>
      </c>
      <c r="C269" s="15">
        <f>SUM(E269:I269)</f>
        <v>28</v>
      </c>
      <c r="D269" s="590">
        <f>'[23]road inventory 2018'!C266</f>
        <v>28</v>
      </c>
      <c r="E269" s="15">
        <v>11.72</v>
      </c>
      <c r="F269" s="15">
        <v>0</v>
      </c>
      <c r="G269" s="15">
        <v>0</v>
      </c>
      <c r="H269" s="15">
        <v>16.28</v>
      </c>
      <c r="I269" s="15">
        <v>0</v>
      </c>
      <c r="J269" s="106" t="s">
        <v>33</v>
      </c>
      <c r="K269" s="591" t="s">
        <v>528</v>
      </c>
      <c r="L269" s="592"/>
      <c r="M269" s="593"/>
      <c r="N269" s="598"/>
    </row>
    <row r="270" spans="1:16" s="16" customFormat="1" ht="18" customHeight="1" x14ac:dyDescent="0.35">
      <c r="A270" s="589">
        <v>161</v>
      </c>
      <c r="B270" s="24" t="s">
        <v>529</v>
      </c>
      <c r="C270" s="15">
        <f t="shared" ref="C270:C279" si="23">SUM(E270:I270)</f>
        <v>1.8</v>
      </c>
      <c r="D270" s="590">
        <f>'[23]road inventory 2018'!C267</f>
        <v>1.8</v>
      </c>
      <c r="E270" s="15">
        <v>1.8</v>
      </c>
      <c r="F270" s="15">
        <v>0</v>
      </c>
      <c r="G270" s="15">
        <v>0</v>
      </c>
      <c r="H270" s="15">
        <v>0</v>
      </c>
      <c r="I270" s="15">
        <v>0</v>
      </c>
      <c r="J270" s="106" t="s">
        <v>12</v>
      </c>
      <c r="K270" s="591" t="s">
        <v>528</v>
      </c>
      <c r="L270" s="24"/>
      <c r="M270" s="593"/>
      <c r="N270" s="598"/>
    </row>
    <row r="271" spans="1:16" s="16" customFormat="1" ht="18" customHeight="1" x14ac:dyDescent="0.35">
      <c r="A271" s="589">
        <v>162</v>
      </c>
      <c r="B271" s="24" t="s">
        <v>530</v>
      </c>
      <c r="C271" s="15">
        <f t="shared" si="23"/>
        <v>1.9</v>
      </c>
      <c r="D271" s="590">
        <f>'[23]road inventory 2018'!C268</f>
        <v>1.9</v>
      </c>
      <c r="E271" s="15">
        <v>0</v>
      </c>
      <c r="F271" s="15">
        <v>0</v>
      </c>
      <c r="G271" s="15">
        <v>0</v>
      </c>
      <c r="H271" s="15">
        <v>1.9</v>
      </c>
      <c r="I271" s="15">
        <v>0</v>
      </c>
      <c r="J271" s="106" t="s">
        <v>33</v>
      </c>
      <c r="K271" s="591" t="s">
        <v>531</v>
      </c>
      <c r="L271" s="24"/>
      <c r="M271" s="593"/>
      <c r="N271" s="598"/>
    </row>
    <row r="272" spans="1:16" ht="18" customHeight="1" x14ac:dyDescent="0.35">
      <c r="A272" s="596">
        <v>163</v>
      </c>
      <c r="B272" s="28" t="s">
        <v>532</v>
      </c>
      <c r="C272" s="15">
        <f t="shared" si="23"/>
        <v>9</v>
      </c>
      <c r="D272" s="590">
        <f>'[23]road inventory 2018'!C269</f>
        <v>9</v>
      </c>
      <c r="E272" s="10">
        <v>0.65</v>
      </c>
      <c r="F272" s="10">
        <v>0</v>
      </c>
      <c r="G272" s="10">
        <v>0</v>
      </c>
      <c r="H272" s="10">
        <v>8.35</v>
      </c>
      <c r="I272" s="10">
        <v>0</v>
      </c>
      <c r="J272" s="103" t="s">
        <v>33</v>
      </c>
      <c r="K272" s="597" t="s">
        <v>533</v>
      </c>
      <c r="L272" s="28"/>
    </row>
    <row r="273" spans="1:14" s="16" customFormat="1" ht="18" customHeight="1" x14ac:dyDescent="0.35">
      <c r="A273" s="589">
        <v>164</v>
      </c>
      <c r="B273" s="24" t="s">
        <v>534</v>
      </c>
      <c r="C273" s="15">
        <f t="shared" si="23"/>
        <v>2.2000000000000002</v>
      </c>
      <c r="D273" s="590">
        <f>'[23]road inventory 2018'!C270</f>
        <v>2.2000000000000002</v>
      </c>
      <c r="E273" s="15">
        <v>0</v>
      </c>
      <c r="F273" s="15">
        <v>0</v>
      </c>
      <c r="G273" s="15">
        <v>0</v>
      </c>
      <c r="H273" s="15">
        <v>2.2000000000000002</v>
      </c>
      <c r="I273" s="15">
        <v>0</v>
      </c>
      <c r="J273" s="106" t="s">
        <v>33</v>
      </c>
      <c r="K273" s="591" t="s">
        <v>535</v>
      </c>
      <c r="L273" s="24"/>
      <c r="M273" s="593"/>
      <c r="N273" s="598"/>
    </row>
    <row r="274" spans="1:14" ht="18" customHeight="1" x14ac:dyDescent="0.35">
      <c r="A274" s="596">
        <v>165</v>
      </c>
      <c r="B274" s="28" t="s">
        <v>536</v>
      </c>
      <c r="C274" s="15">
        <f t="shared" si="23"/>
        <v>3.5</v>
      </c>
      <c r="D274" s="590">
        <f>'[23]road inventory 2018'!C271</f>
        <v>3.5</v>
      </c>
      <c r="E274" s="10">
        <v>0</v>
      </c>
      <c r="F274" s="10">
        <v>0</v>
      </c>
      <c r="G274" s="10">
        <v>0</v>
      </c>
      <c r="H274" s="10">
        <v>3.5</v>
      </c>
      <c r="I274" s="10">
        <v>0</v>
      </c>
      <c r="J274" s="103" t="s">
        <v>33</v>
      </c>
      <c r="K274" s="597" t="s">
        <v>537</v>
      </c>
      <c r="L274" s="28"/>
    </row>
    <row r="275" spans="1:14" s="16" customFormat="1" ht="18" customHeight="1" x14ac:dyDescent="0.35">
      <c r="A275" s="589">
        <v>166</v>
      </c>
      <c r="B275" s="24" t="s">
        <v>538</v>
      </c>
      <c r="C275" s="15">
        <f t="shared" si="23"/>
        <v>2.8</v>
      </c>
      <c r="D275" s="590">
        <f>'[23]road inventory 2018'!C272</f>
        <v>2.8</v>
      </c>
      <c r="E275" s="15">
        <v>0</v>
      </c>
      <c r="F275" s="15">
        <v>0</v>
      </c>
      <c r="G275" s="15">
        <v>0</v>
      </c>
      <c r="H275" s="15">
        <v>2.8</v>
      </c>
      <c r="I275" s="15">
        <v>0</v>
      </c>
      <c r="J275" s="106" t="s">
        <v>12</v>
      </c>
      <c r="K275" s="591" t="s">
        <v>539</v>
      </c>
      <c r="L275" s="24"/>
      <c r="M275" s="593"/>
      <c r="N275" s="598"/>
    </row>
    <row r="276" spans="1:14" ht="18" customHeight="1" x14ac:dyDescent="0.35">
      <c r="A276" s="596">
        <v>167</v>
      </c>
      <c r="B276" s="28" t="s">
        <v>540</v>
      </c>
      <c r="C276" s="15">
        <f t="shared" si="23"/>
        <v>5.5</v>
      </c>
      <c r="D276" s="590">
        <f>'[23]road inventory 2018'!C273</f>
        <v>5.5</v>
      </c>
      <c r="E276" s="10">
        <v>0</v>
      </c>
      <c r="F276" s="10">
        <v>0</v>
      </c>
      <c r="G276" s="10">
        <v>0</v>
      </c>
      <c r="H276" s="10">
        <v>5.5</v>
      </c>
      <c r="I276" s="10">
        <v>0</v>
      </c>
      <c r="J276" s="103" t="s">
        <v>12</v>
      </c>
      <c r="K276" s="597" t="s">
        <v>541</v>
      </c>
      <c r="L276" s="28"/>
    </row>
    <row r="277" spans="1:14" ht="18" customHeight="1" x14ac:dyDescent="0.35">
      <c r="A277" s="596">
        <v>168</v>
      </c>
      <c r="B277" s="28" t="s">
        <v>542</v>
      </c>
      <c r="C277" s="15">
        <f t="shared" si="23"/>
        <v>2.8</v>
      </c>
      <c r="D277" s="590">
        <f>'[23]road inventory 2018'!C274</f>
        <v>2.8</v>
      </c>
      <c r="E277" s="10">
        <v>0</v>
      </c>
      <c r="F277" s="10">
        <v>0</v>
      </c>
      <c r="G277" s="10">
        <v>0</v>
      </c>
      <c r="H277" s="10">
        <v>2.8</v>
      </c>
      <c r="I277" s="10">
        <v>0</v>
      </c>
      <c r="J277" s="103" t="s">
        <v>33</v>
      </c>
      <c r="K277" s="597" t="s">
        <v>543</v>
      </c>
      <c r="L277" s="28"/>
    </row>
    <row r="278" spans="1:14" ht="18" customHeight="1" x14ac:dyDescent="0.35">
      <c r="A278" s="596">
        <v>170</v>
      </c>
      <c r="B278" s="28" t="s">
        <v>544</v>
      </c>
      <c r="C278" s="15">
        <f t="shared" si="23"/>
        <v>1.3</v>
      </c>
      <c r="D278" s="590">
        <f>'[23]road inventory 2018'!C275</f>
        <v>1.3</v>
      </c>
      <c r="E278" s="10">
        <v>0</v>
      </c>
      <c r="F278" s="10">
        <v>0</v>
      </c>
      <c r="G278" s="10">
        <v>0</v>
      </c>
      <c r="H278" s="10">
        <v>1.3</v>
      </c>
      <c r="I278" s="10">
        <v>0</v>
      </c>
      <c r="J278" s="103" t="s">
        <v>33</v>
      </c>
      <c r="K278" s="597" t="s">
        <v>533</v>
      </c>
      <c r="L278" s="28"/>
    </row>
    <row r="279" spans="1:14" ht="18" customHeight="1" x14ac:dyDescent="0.35">
      <c r="A279" s="596">
        <v>169</v>
      </c>
      <c r="B279" s="28" t="s">
        <v>545</v>
      </c>
      <c r="C279" s="15">
        <f t="shared" si="23"/>
        <v>3.2</v>
      </c>
      <c r="D279" s="590">
        <f>'[23]road inventory 2018'!C276</f>
        <v>3.2</v>
      </c>
      <c r="E279" s="10">
        <v>0</v>
      </c>
      <c r="F279" s="10">
        <v>0</v>
      </c>
      <c r="G279" s="10">
        <v>0</v>
      </c>
      <c r="H279" s="10">
        <v>3.2</v>
      </c>
      <c r="I279" s="10">
        <v>0</v>
      </c>
      <c r="J279" s="103" t="s">
        <v>41</v>
      </c>
      <c r="K279" s="597" t="s">
        <v>546</v>
      </c>
      <c r="L279" s="28"/>
    </row>
    <row r="280" spans="1:14" ht="18" customHeight="1" x14ac:dyDescent="0.35">
      <c r="A280" s="635"/>
      <c r="B280" s="40"/>
      <c r="C280" s="41">
        <f>SUM(C269:C279)</f>
        <v>62</v>
      </c>
      <c r="D280" s="41">
        <f t="shared" ref="D280:I280" si="24">SUM(D269:D279)</f>
        <v>62</v>
      </c>
      <c r="E280" s="41">
        <f t="shared" si="24"/>
        <v>14.170000000000002</v>
      </c>
      <c r="F280" s="41">
        <f t="shared" si="24"/>
        <v>0</v>
      </c>
      <c r="G280" s="41">
        <f t="shared" si="24"/>
        <v>0</v>
      </c>
      <c r="H280" s="41">
        <f t="shared" si="24"/>
        <v>47.83</v>
      </c>
      <c r="I280" s="41">
        <f t="shared" si="24"/>
        <v>0</v>
      </c>
      <c r="J280" s="109"/>
      <c r="K280" s="605"/>
      <c r="L280" s="28"/>
    </row>
    <row r="281" spans="1:14" ht="18" customHeight="1" thickBot="1" x14ac:dyDescent="0.4">
      <c r="A281" s="53" t="s">
        <v>341</v>
      </c>
      <c r="B281" s="34"/>
      <c r="C281" s="31">
        <f>SUM(E281:I281)</f>
        <v>62</v>
      </c>
      <c r="D281" s="630"/>
      <c r="E281" s="31">
        <f>SUM(E269:E279)</f>
        <v>14.170000000000002</v>
      </c>
      <c r="F281" s="31">
        <f>SUM(F269:F279)</f>
        <v>0</v>
      </c>
      <c r="G281" s="31">
        <f>SUM(G269:G279)</f>
        <v>0</v>
      </c>
      <c r="H281" s="31">
        <f>SUM(H269:H279)</f>
        <v>47.83</v>
      </c>
      <c r="I281" s="31">
        <f>SUM(I269:I279)</f>
        <v>0</v>
      </c>
      <c r="J281" s="608"/>
      <c r="K281" s="609"/>
      <c r="L281" s="653"/>
      <c r="M281" s="21"/>
    </row>
    <row r="282" spans="1:14" ht="18" customHeight="1" thickBot="1" x14ac:dyDescent="0.4">
      <c r="L282" s="40"/>
    </row>
    <row r="283" spans="1:14" s="1" customFormat="1" x14ac:dyDescent="0.35">
      <c r="A283" s="1217" t="s">
        <v>547</v>
      </c>
      <c r="B283" s="1218"/>
      <c r="C283" s="1218"/>
      <c r="D283" s="1218"/>
      <c r="E283" s="1218"/>
      <c r="F283" s="1218"/>
      <c r="G283" s="1218"/>
      <c r="H283" s="1218"/>
      <c r="I283" s="1218"/>
      <c r="J283" s="1218"/>
      <c r="K283" s="1218"/>
      <c r="L283" s="684"/>
      <c r="M283" s="584"/>
      <c r="N283" s="581"/>
    </row>
    <row r="284" spans="1:14" s="1" customFormat="1" ht="16" thickBot="1" x14ac:dyDescent="0.4">
      <c r="A284" s="585"/>
      <c r="B284" s="2"/>
      <c r="C284" s="5"/>
      <c r="D284" s="586"/>
      <c r="E284" s="5"/>
      <c r="F284" s="5"/>
      <c r="G284" s="5"/>
      <c r="H284" s="5"/>
      <c r="I284" s="5"/>
      <c r="J284" s="3"/>
      <c r="K284" s="21"/>
      <c r="L284" s="97"/>
      <c r="M284" s="21"/>
      <c r="N284" s="581"/>
    </row>
    <row r="285" spans="1:14" s="1" customFormat="1" ht="21" customHeight="1" x14ac:dyDescent="0.35">
      <c r="A285" s="1206" t="s">
        <v>302</v>
      </c>
      <c r="B285" s="1208" t="s">
        <v>28</v>
      </c>
      <c r="C285" s="1210" t="s">
        <v>343</v>
      </c>
      <c r="D285" s="613"/>
      <c r="E285" s="1212" t="s">
        <v>305</v>
      </c>
      <c r="F285" s="1212"/>
      <c r="G285" s="1212"/>
      <c r="H285" s="1212"/>
      <c r="I285" s="1212"/>
      <c r="J285" s="1208" t="s">
        <v>29</v>
      </c>
      <c r="K285" s="1213" t="s">
        <v>306</v>
      </c>
      <c r="L285" s="1222" t="s">
        <v>307</v>
      </c>
      <c r="M285" s="588"/>
      <c r="N285" s="581"/>
    </row>
    <row r="286" spans="1:14" s="1" customFormat="1" ht="21" customHeight="1" thickBot="1" x14ac:dyDescent="0.4">
      <c r="A286" s="1207"/>
      <c r="B286" s="1209"/>
      <c r="C286" s="1211"/>
      <c r="D286" s="614"/>
      <c r="E286" s="7" t="s">
        <v>308</v>
      </c>
      <c r="F286" s="7" t="s">
        <v>309</v>
      </c>
      <c r="G286" s="7" t="s">
        <v>310</v>
      </c>
      <c r="H286" s="7" t="s">
        <v>311</v>
      </c>
      <c r="I286" s="7" t="s">
        <v>312</v>
      </c>
      <c r="J286" s="1209"/>
      <c r="K286" s="1214"/>
      <c r="L286" s="1223"/>
      <c r="M286" s="588"/>
      <c r="N286" s="581"/>
    </row>
    <row r="287" spans="1:14" ht="28.5" customHeight="1" x14ac:dyDescent="0.35">
      <c r="A287" s="596">
        <v>196</v>
      </c>
      <c r="B287" s="28" t="s">
        <v>548</v>
      </c>
      <c r="C287" s="10">
        <f>SUM(E287:I287)</f>
        <v>12.69</v>
      </c>
      <c r="D287" s="10">
        <f>'[23]road inventory 2018'!C283</f>
        <v>12.700000000000001</v>
      </c>
      <c r="E287" s="10">
        <v>8.1999999999999993</v>
      </c>
      <c r="F287" s="10">
        <v>0</v>
      </c>
      <c r="G287" s="10">
        <v>0</v>
      </c>
      <c r="H287" s="10">
        <v>4.49</v>
      </c>
      <c r="I287" s="10">
        <v>0</v>
      </c>
      <c r="J287" s="103" t="s">
        <v>12</v>
      </c>
      <c r="K287" s="597" t="s">
        <v>549</v>
      </c>
      <c r="L287" s="112" t="s">
        <v>838</v>
      </c>
    </row>
    <row r="288" spans="1:14" s="16" customFormat="1" ht="18" customHeight="1" x14ac:dyDescent="0.35">
      <c r="A288" s="589">
        <v>197</v>
      </c>
      <c r="B288" s="24" t="s">
        <v>550</v>
      </c>
      <c r="C288" s="10">
        <f t="shared" ref="C288:C294" si="25">SUM(E288:I288)</f>
        <v>4.9400000000000004</v>
      </c>
      <c r="D288" s="590">
        <f>'[23]road inventory 2018'!C284</f>
        <v>6.6</v>
      </c>
      <c r="E288" s="15">
        <v>4.9400000000000004</v>
      </c>
      <c r="F288" s="15">
        <v>0</v>
      </c>
      <c r="G288" s="15">
        <v>0</v>
      </c>
      <c r="H288" s="15">
        <v>0</v>
      </c>
      <c r="I288" s="15">
        <v>0</v>
      </c>
      <c r="J288" s="106" t="s">
        <v>12</v>
      </c>
      <c r="K288" s="591" t="s">
        <v>551</v>
      </c>
      <c r="L288" s="24"/>
      <c r="M288" s="593"/>
      <c r="N288" s="598"/>
    </row>
    <row r="289" spans="1:14" ht="18" customHeight="1" x14ac:dyDescent="0.35">
      <c r="A289" s="596">
        <v>199</v>
      </c>
      <c r="B289" s="28" t="s">
        <v>552</v>
      </c>
      <c r="C289" s="10">
        <f t="shared" si="25"/>
        <v>4.13</v>
      </c>
      <c r="D289" s="590">
        <f>'[23]road inventory 2018'!C285</f>
        <v>5</v>
      </c>
      <c r="E289" s="10">
        <v>0</v>
      </c>
      <c r="F289" s="10">
        <v>0</v>
      </c>
      <c r="G289" s="10">
        <v>0</v>
      </c>
      <c r="H289" s="10">
        <v>4.13</v>
      </c>
      <c r="I289" s="10">
        <v>0</v>
      </c>
      <c r="J289" s="103" t="s">
        <v>33</v>
      </c>
      <c r="K289" s="597" t="s">
        <v>553</v>
      </c>
      <c r="L289" s="28"/>
    </row>
    <row r="290" spans="1:14" s="16" customFormat="1" ht="18" customHeight="1" x14ac:dyDescent="0.35">
      <c r="A290" s="589">
        <v>200</v>
      </c>
      <c r="B290" s="24" t="s">
        <v>291</v>
      </c>
      <c r="C290" s="10">
        <f t="shared" si="25"/>
        <v>1.1000000000000001</v>
      </c>
      <c r="D290" s="590">
        <f>'[23]road inventory 2018'!C286</f>
        <v>1.1000000000000001</v>
      </c>
      <c r="E290" s="15">
        <v>1.1000000000000001</v>
      </c>
      <c r="F290" s="15">
        <v>0</v>
      </c>
      <c r="G290" s="15">
        <v>0</v>
      </c>
      <c r="H290" s="15">
        <v>0</v>
      </c>
      <c r="I290" s="15">
        <v>0</v>
      </c>
      <c r="J290" s="106" t="s">
        <v>10</v>
      </c>
      <c r="K290" s="591" t="s">
        <v>554</v>
      </c>
      <c r="L290" s="24"/>
      <c r="M290" s="593"/>
      <c r="N290" s="598"/>
    </row>
    <row r="291" spans="1:14" ht="18" customHeight="1" x14ac:dyDescent="0.35">
      <c r="A291" s="596">
        <v>201</v>
      </c>
      <c r="B291" s="28" t="s">
        <v>555</v>
      </c>
      <c r="C291" s="10">
        <f t="shared" si="25"/>
        <v>4.97</v>
      </c>
      <c r="D291" s="590">
        <f>'[23]road inventory 2018'!C287</f>
        <v>5.2</v>
      </c>
      <c r="E291" s="10">
        <v>4.97</v>
      </c>
      <c r="F291" s="10">
        <v>0</v>
      </c>
      <c r="G291" s="10">
        <v>0</v>
      </c>
      <c r="H291" s="10">
        <v>0</v>
      </c>
      <c r="I291" s="10">
        <v>0</v>
      </c>
      <c r="J291" s="103" t="s">
        <v>12</v>
      </c>
      <c r="K291" s="597" t="s">
        <v>556</v>
      </c>
      <c r="L291" s="28"/>
    </row>
    <row r="292" spans="1:14" s="667" customFormat="1" ht="31" x14ac:dyDescent="0.35">
      <c r="A292" s="618">
        <v>202</v>
      </c>
      <c r="B292" s="619" t="s">
        <v>557</v>
      </c>
      <c r="C292" s="620">
        <f t="shared" si="25"/>
        <v>5.3</v>
      </c>
      <c r="D292" s="620">
        <f>'[23]road inventory 2018'!C288</f>
        <v>5.3000000000000007</v>
      </c>
      <c r="E292" s="620">
        <v>2.4</v>
      </c>
      <c r="F292" s="620">
        <v>0</v>
      </c>
      <c r="G292" s="620">
        <v>0</v>
      </c>
      <c r="H292" s="620">
        <v>2.9</v>
      </c>
      <c r="I292" s="620">
        <v>0</v>
      </c>
      <c r="J292" s="621" t="s">
        <v>12</v>
      </c>
      <c r="K292" s="622" t="s">
        <v>556</v>
      </c>
      <c r="L292" s="619" t="str">
        <f>L287</f>
        <v>FOR VERIFICATION</v>
      </c>
      <c r="M292" s="623"/>
      <c r="N292" s="666"/>
    </row>
    <row r="293" spans="1:14" s="16" customFormat="1" ht="18" customHeight="1" x14ac:dyDescent="0.35">
      <c r="A293" s="589">
        <v>203</v>
      </c>
      <c r="B293" s="24" t="s">
        <v>558</v>
      </c>
      <c r="C293" s="10">
        <f t="shared" si="25"/>
        <v>4</v>
      </c>
      <c r="D293" s="590">
        <f>'[23]road inventory 2018'!C289</f>
        <v>3.8</v>
      </c>
      <c r="E293" s="15">
        <v>2.5499999999999998</v>
      </c>
      <c r="F293" s="15">
        <v>1.45</v>
      </c>
      <c r="G293" s="15">
        <v>0</v>
      </c>
      <c r="H293" s="15">
        <v>0</v>
      </c>
      <c r="I293" s="15">
        <v>0</v>
      </c>
      <c r="J293" s="106" t="s">
        <v>839</v>
      </c>
      <c r="K293" s="591" t="s">
        <v>559</v>
      </c>
      <c r="L293" s="24"/>
      <c r="M293" s="593"/>
      <c r="N293" s="598"/>
    </row>
    <row r="294" spans="1:14" ht="18" customHeight="1" x14ac:dyDescent="0.35">
      <c r="A294" s="596">
        <v>228</v>
      </c>
      <c r="B294" s="28" t="s">
        <v>141</v>
      </c>
      <c r="C294" s="10">
        <f t="shared" si="25"/>
        <v>8.11</v>
      </c>
      <c r="D294" s="590">
        <f>'[23]road inventory 2018'!C290</f>
        <v>9.3000000000000007</v>
      </c>
      <c r="E294" s="10">
        <v>8</v>
      </c>
      <c r="F294" s="10">
        <v>0</v>
      </c>
      <c r="G294" s="10">
        <v>0.11</v>
      </c>
      <c r="H294" s="10">
        <v>0</v>
      </c>
      <c r="I294" s="10">
        <v>0</v>
      </c>
      <c r="J294" s="103" t="s">
        <v>33</v>
      </c>
      <c r="K294" s="597"/>
      <c r="L294" s="28"/>
    </row>
    <row r="295" spans="1:14" ht="18" customHeight="1" x14ac:dyDescent="0.35">
      <c r="A295" s="596"/>
      <c r="B295" s="28"/>
      <c r="C295" s="10">
        <f>SUM(C287:C294)</f>
        <v>45.239999999999995</v>
      </c>
      <c r="D295" s="10">
        <f t="shared" ref="D295:I295" si="26">SUM(D287:D294)</f>
        <v>49</v>
      </c>
      <c r="E295" s="10">
        <f t="shared" si="26"/>
        <v>32.159999999999997</v>
      </c>
      <c r="F295" s="10">
        <f t="shared" si="26"/>
        <v>1.45</v>
      </c>
      <c r="G295" s="10">
        <f t="shared" si="26"/>
        <v>0.11</v>
      </c>
      <c r="H295" s="10">
        <f t="shared" si="26"/>
        <v>11.520000000000001</v>
      </c>
      <c r="I295" s="10">
        <f t="shared" si="26"/>
        <v>0</v>
      </c>
      <c r="J295" s="103"/>
      <c r="K295" s="597"/>
      <c r="L295" s="28"/>
    </row>
    <row r="296" spans="1:14" ht="18" customHeight="1" thickBot="1" x14ac:dyDescent="0.4">
      <c r="A296" s="53" t="s">
        <v>341</v>
      </c>
      <c r="B296" s="34"/>
      <c r="C296" s="31">
        <f>SUM(E296:I296)</f>
        <v>45.24</v>
      </c>
      <c r="D296" s="630"/>
      <c r="E296" s="31">
        <f>SUM(E287:E294)</f>
        <v>32.159999999999997</v>
      </c>
      <c r="F296" s="31">
        <f>SUM(F287:F294)</f>
        <v>1.45</v>
      </c>
      <c r="G296" s="31">
        <f>SUM(G287:G294)</f>
        <v>0.11</v>
      </c>
      <c r="H296" s="31">
        <f>SUM(H287:H294)</f>
        <v>11.520000000000001</v>
      </c>
      <c r="I296" s="31">
        <f>SUM(I287:I294)</f>
        <v>0</v>
      </c>
      <c r="J296" s="608"/>
      <c r="K296" s="609"/>
      <c r="L296" s="653"/>
      <c r="M296" s="21"/>
      <c r="N296" s="685">
        <f>SUM(E296:I296)</f>
        <v>45.24</v>
      </c>
    </row>
    <row r="297" spans="1:14" x14ac:dyDescent="0.35">
      <c r="L297" s="28"/>
    </row>
    <row r="298" spans="1:14" s="1" customFormat="1" x14ac:dyDescent="0.35">
      <c r="A298" s="1203" t="s">
        <v>560</v>
      </c>
      <c r="B298" s="1204"/>
      <c r="C298" s="1204"/>
      <c r="D298" s="1204"/>
      <c r="E298" s="1204"/>
      <c r="F298" s="1204"/>
      <c r="G298" s="1204"/>
      <c r="H298" s="1204"/>
      <c r="I298" s="1204"/>
      <c r="J298" s="1204"/>
      <c r="K298" s="1204"/>
      <c r="L298" s="1205"/>
      <c r="M298" s="584"/>
      <c r="N298" s="581"/>
    </row>
    <row r="299" spans="1:14" s="1" customFormat="1" ht="16" thickBot="1" x14ac:dyDescent="0.4">
      <c r="A299" s="585"/>
      <c r="B299" s="2"/>
      <c r="C299" s="5"/>
      <c r="D299" s="586"/>
      <c r="E299" s="5"/>
      <c r="F299" s="5"/>
      <c r="G299" s="5"/>
      <c r="H299" s="5"/>
      <c r="I299" s="5"/>
      <c r="J299" s="3"/>
      <c r="K299" s="21"/>
      <c r="L299" s="653"/>
      <c r="M299" s="21"/>
      <c r="N299" s="581"/>
    </row>
    <row r="300" spans="1:14" s="1" customFormat="1" ht="21" customHeight="1" x14ac:dyDescent="0.35">
      <c r="A300" s="1206" t="s">
        <v>302</v>
      </c>
      <c r="B300" s="1208" t="s">
        <v>28</v>
      </c>
      <c r="C300" s="1210" t="s">
        <v>343</v>
      </c>
      <c r="D300" s="613"/>
      <c r="E300" s="1212" t="s">
        <v>305</v>
      </c>
      <c r="F300" s="1212"/>
      <c r="G300" s="1212"/>
      <c r="H300" s="1212"/>
      <c r="I300" s="1212"/>
      <c r="J300" s="1208" t="s">
        <v>29</v>
      </c>
      <c r="K300" s="1213" t="s">
        <v>306</v>
      </c>
      <c r="L300" s="1215" t="str">
        <f>L285</f>
        <v>REMARKS</v>
      </c>
      <c r="M300" s="588"/>
      <c r="N300" s="581"/>
    </row>
    <row r="301" spans="1:14" s="1" customFormat="1" ht="21" customHeight="1" thickBot="1" x14ac:dyDescent="0.4">
      <c r="A301" s="1207"/>
      <c r="B301" s="1209"/>
      <c r="C301" s="1211"/>
      <c r="D301" s="614"/>
      <c r="E301" s="7" t="s">
        <v>308</v>
      </c>
      <c r="F301" s="7" t="s">
        <v>309</v>
      </c>
      <c r="G301" s="7" t="s">
        <v>310</v>
      </c>
      <c r="H301" s="7" t="s">
        <v>311</v>
      </c>
      <c r="I301" s="7" t="s">
        <v>312</v>
      </c>
      <c r="J301" s="1209"/>
      <c r="K301" s="1214"/>
      <c r="L301" s="1216"/>
      <c r="M301" s="588"/>
      <c r="N301" s="581"/>
    </row>
    <row r="302" spans="1:14" ht="18" customHeight="1" x14ac:dyDescent="0.35">
      <c r="A302" s="596">
        <v>204</v>
      </c>
      <c r="B302" s="28" t="s">
        <v>561</v>
      </c>
      <c r="C302" s="10">
        <f>SUM(E302:I302)</f>
        <v>15.87</v>
      </c>
      <c r="D302" s="10">
        <f>'[23]road inventory 2018'!C298</f>
        <v>15.87</v>
      </c>
      <c r="E302" s="10">
        <v>6.92</v>
      </c>
      <c r="F302" s="10">
        <v>2.5499999999999998</v>
      </c>
      <c r="G302" s="10">
        <v>0</v>
      </c>
      <c r="H302" s="10">
        <v>6.4</v>
      </c>
      <c r="I302" s="10">
        <v>0</v>
      </c>
      <c r="J302" s="103" t="s">
        <v>33</v>
      </c>
      <c r="K302" s="597" t="s">
        <v>562</v>
      </c>
      <c r="L302" s="28" t="str">
        <f>L292</f>
        <v>FOR VERIFICATION</v>
      </c>
    </row>
    <row r="303" spans="1:14" s="16" customFormat="1" ht="18" customHeight="1" x14ac:dyDescent="0.35">
      <c r="A303" s="589">
        <v>205</v>
      </c>
      <c r="B303" s="24" t="s">
        <v>563</v>
      </c>
      <c r="C303" s="10">
        <f t="shared" ref="C303:C312" si="27">SUM(E303:I303)</f>
        <v>0.37</v>
      </c>
      <c r="D303" s="615">
        <f>'[23]road inventory 2018'!C299</f>
        <v>0.37</v>
      </c>
      <c r="E303" s="15">
        <v>0.37</v>
      </c>
      <c r="F303" s="15">
        <v>0</v>
      </c>
      <c r="G303" s="15">
        <v>0</v>
      </c>
      <c r="H303" s="15">
        <v>0</v>
      </c>
      <c r="I303" s="15">
        <v>0</v>
      </c>
      <c r="J303" s="106" t="s">
        <v>10</v>
      </c>
      <c r="K303" s="591" t="s">
        <v>564</v>
      </c>
      <c r="L303" s="24"/>
      <c r="M303" s="593"/>
      <c r="N303" s="598"/>
    </row>
    <row r="304" spans="1:14" s="16" customFormat="1" ht="31" x14ac:dyDescent="0.35">
      <c r="A304" s="589">
        <v>213</v>
      </c>
      <c r="B304" s="24" t="s">
        <v>293</v>
      </c>
      <c r="C304" s="10">
        <f t="shared" si="27"/>
        <v>2.8499999999999996</v>
      </c>
      <c r="D304" s="615">
        <f>'[23]road inventory 2018'!C300</f>
        <v>1.8599999999999999</v>
      </c>
      <c r="E304" s="15">
        <v>2.11</v>
      </c>
      <c r="F304" s="15">
        <v>0.74</v>
      </c>
      <c r="G304" s="15">
        <v>0</v>
      </c>
      <c r="H304" s="15">
        <v>0</v>
      </c>
      <c r="I304" s="15">
        <v>0</v>
      </c>
      <c r="J304" s="106" t="s">
        <v>10</v>
      </c>
      <c r="K304" s="591" t="s">
        <v>565</v>
      </c>
      <c r="L304" s="24"/>
      <c r="M304" s="593"/>
      <c r="N304" s="598"/>
    </row>
    <row r="305" spans="1:14" ht="18" customHeight="1" x14ac:dyDescent="0.35">
      <c r="A305" s="596">
        <v>206</v>
      </c>
      <c r="B305" s="28" t="s">
        <v>295</v>
      </c>
      <c r="C305" s="10">
        <f t="shared" si="27"/>
        <v>1.94</v>
      </c>
      <c r="D305" s="615">
        <f>'[23]road inventory 2018'!C301</f>
        <v>2</v>
      </c>
      <c r="E305" s="10">
        <v>1.94</v>
      </c>
      <c r="F305" s="10">
        <v>0</v>
      </c>
      <c r="G305" s="10">
        <v>0</v>
      </c>
      <c r="H305" s="10">
        <v>0</v>
      </c>
      <c r="I305" s="10">
        <v>0</v>
      </c>
      <c r="J305" s="103" t="s">
        <v>10</v>
      </c>
      <c r="K305" s="597" t="s">
        <v>566</v>
      </c>
      <c r="L305" s="28"/>
    </row>
    <row r="306" spans="1:14" ht="31" x14ac:dyDescent="0.35">
      <c r="A306" s="596">
        <v>207</v>
      </c>
      <c r="B306" s="28" t="s">
        <v>292</v>
      </c>
      <c r="C306" s="10">
        <f t="shared" si="27"/>
        <v>2.0099999999999998</v>
      </c>
      <c r="D306" s="615">
        <f>'[23]road inventory 2018'!C302</f>
        <v>3.38</v>
      </c>
      <c r="E306" s="10">
        <v>0</v>
      </c>
      <c r="F306" s="10">
        <v>0</v>
      </c>
      <c r="G306" s="10">
        <v>0</v>
      </c>
      <c r="H306" s="10">
        <v>0</v>
      </c>
      <c r="I306" s="10">
        <v>2.0099999999999998</v>
      </c>
      <c r="J306" s="103" t="s">
        <v>10</v>
      </c>
      <c r="K306" s="597" t="s">
        <v>567</v>
      </c>
      <c r="L306" s="28"/>
    </row>
    <row r="307" spans="1:14" ht="18" customHeight="1" thickBot="1" x14ac:dyDescent="0.4">
      <c r="A307" s="686">
        <v>229</v>
      </c>
      <c r="B307" s="687" t="s">
        <v>568</v>
      </c>
      <c r="C307" s="10">
        <f t="shared" si="27"/>
        <v>0.1</v>
      </c>
      <c r="D307" s="10">
        <f>'[23]road inventory 2018'!C303</f>
        <v>0.1</v>
      </c>
      <c r="E307" s="688">
        <v>0.1</v>
      </c>
      <c r="F307" s="688">
        <v>0</v>
      </c>
      <c r="G307" s="688">
        <v>0</v>
      </c>
      <c r="H307" s="688">
        <v>0</v>
      </c>
      <c r="I307" s="688">
        <v>0</v>
      </c>
      <c r="J307" s="643" t="s">
        <v>33</v>
      </c>
      <c r="K307" s="644" t="s">
        <v>569</v>
      </c>
      <c r="L307" s="28" t="str">
        <f>L292</f>
        <v>FOR VERIFICATION</v>
      </c>
    </row>
    <row r="308" spans="1:14" ht="31" x14ac:dyDescent="0.35">
      <c r="A308" s="596">
        <v>215</v>
      </c>
      <c r="B308" s="28" t="s">
        <v>570</v>
      </c>
      <c r="C308" s="10">
        <f t="shared" si="27"/>
        <v>3.8</v>
      </c>
      <c r="D308" s="10">
        <f>'[23]road inventory 2018'!C307</f>
        <v>3.8</v>
      </c>
      <c r="E308" s="10">
        <v>0</v>
      </c>
      <c r="F308" s="10">
        <v>0</v>
      </c>
      <c r="G308" s="10">
        <v>0</v>
      </c>
      <c r="H308" s="10">
        <v>3.8</v>
      </c>
      <c r="I308" s="10">
        <v>0</v>
      </c>
      <c r="J308" s="103" t="s">
        <v>33</v>
      </c>
      <c r="K308" s="597" t="s">
        <v>571</v>
      </c>
      <c r="L308" s="28" t="str">
        <f>L302</f>
        <v>FOR VERIFICATION</v>
      </c>
    </row>
    <row r="309" spans="1:14" ht="18" customHeight="1" x14ac:dyDescent="0.35">
      <c r="A309" s="596">
        <v>208</v>
      </c>
      <c r="B309" s="28" t="s">
        <v>572</v>
      </c>
      <c r="C309" s="10">
        <f t="shared" si="27"/>
        <v>4.3</v>
      </c>
      <c r="D309" s="10">
        <f>'[23]road inventory 2018'!C308</f>
        <v>4.3</v>
      </c>
      <c r="E309" s="10">
        <v>0</v>
      </c>
      <c r="F309" s="10">
        <v>0</v>
      </c>
      <c r="G309" s="10">
        <v>0</v>
      </c>
      <c r="H309" s="10">
        <v>4.3</v>
      </c>
      <c r="I309" s="10">
        <v>0</v>
      </c>
      <c r="J309" s="103" t="s">
        <v>33</v>
      </c>
      <c r="K309" s="597" t="s">
        <v>573</v>
      </c>
      <c r="L309" s="28" t="str">
        <f>L302</f>
        <v>FOR VERIFICATION</v>
      </c>
    </row>
    <row r="310" spans="1:14" ht="18" customHeight="1" x14ac:dyDescent="0.35">
      <c r="A310" s="596">
        <v>209</v>
      </c>
      <c r="B310" s="28" t="s">
        <v>294</v>
      </c>
      <c r="C310" s="10">
        <f t="shared" si="27"/>
        <v>1.92</v>
      </c>
      <c r="D310" s="10">
        <f>'[23]road inventory 2018'!C309</f>
        <v>2.6</v>
      </c>
      <c r="E310" s="10">
        <v>1.92</v>
      </c>
      <c r="F310" s="10">
        <v>0</v>
      </c>
      <c r="G310" s="10">
        <v>0</v>
      </c>
      <c r="H310" s="10">
        <v>0</v>
      </c>
      <c r="I310" s="10">
        <v>0</v>
      </c>
      <c r="J310" s="103" t="s">
        <v>33</v>
      </c>
      <c r="K310" s="597" t="s">
        <v>574</v>
      </c>
      <c r="L310" s="28"/>
    </row>
    <row r="311" spans="1:14" ht="18" customHeight="1" x14ac:dyDescent="0.35">
      <c r="A311" s="596">
        <v>210</v>
      </c>
      <c r="B311" s="28" t="s">
        <v>575</v>
      </c>
      <c r="C311" s="10">
        <f t="shared" si="27"/>
        <v>0.8</v>
      </c>
      <c r="D311" s="10">
        <f>'[23]road inventory 2018'!C310</f>
        <v>0.8</v>
      </c>
      <c r="E311" s="10">
        <v>0.8</v>
      </c>
      <c r="F311" s="10">
        <v>0</v>
      </c>
      <c r="G311" s="10">
        <v>0</v>
      </c>
      <c r="H311" s="10">
        <v>0</v>
      </c>
      <c r="I311" s="10">
        <v>0</v>
      </c>
      <c r="J311" s="103" t="s">
        <v>12</v>
      </c>
      <c r="K311" s="597" t="s">
        <v>576</v>
      </c>
      <c r="L311" s="28" t="str">
        <f>L302</f>
        <v>FOR VERIFICATION</v>
      </c>
    </row>
    <row r="312" spans="1:14" ht="18" customHeight="1" x14ac:dyDescent="0.35">
      <c r="A312" s="596">
        <v>211</v>
      </c>
      <c r="B312" s="28" t="s">
        <v>577</v>
      </c>
      <c r="C312" s="10">
        <f t="shared" si="27"/>
        <v>0.85</v>
      </c>
      <c r="D312" s="10">
        <f>'[23]road inventory 2018'!C311</f>
        <v>0.7</v>
      </c>
      <c r="E312" s="10">
        <v>0.85</v>
      </c>
      <c r="F312" s="10">
        <v>0</v>
      </c>
      <c r="G312" s="10">
        <v>0</v>
      </c>
      <c r="H312" s="10">
        <v>0</v>
      </c>
      <c r="I312" s="10">
        <v>0</v>
      </c>
      <c r="J312" s="103" t="s">
        <v>10</v>
      </c>
      <c r="K312" s="597" t="s">
        <v>578</v>
      </c>
      <c r="L312" s="28"/>
    </row>
    <row r="313" spans="1:14" s="16" customFormat="1" ht="18" customHeight="1" x14ac:dyDescent="0.35">
      <c r="A313" s="626"/>
      <c r="B313" s="60"/>
      <c r="C313" s="61">
        <f t="shared" ref="C313:I313" si="28">SUM(C302:C312)</f>
        <v>34.81</v>
      </c>
      <c r="D313" s="61">
        <f t="shared" si="28"/>
        <v>35.78</v>
      </c>
      <c r="E313" s="61">
        <f t="shared" si="28"/>
        <v>15.01</v>
      </c>
      <c r="F313" s="61">
        <f t="shared" si="28"/>
        <v>3.29</v>
      </c>
      <c r="G313" s="61">
        <f t="shared" si="28"/>
        <v>0</v>
      </c>
      <c r="H313" s="61">
        <f t="shared" si="28"/>
        <v>14.5</v>
      </c>
      <c r="I313" s="61">
        <f t="shared" si="28"/>
        <v>2.0099999999999998</v>
      </c>
      <c r="J313" s="628"/>
      <c r="K313" s="629"/>
      <c r="L313" s="24"/>
      <c r="M313" s="593"/>
      <c r="N313" s="598"/>
    </row>
    <row r="314" spans="1:14" ht="18" customHeight="1" thickBot="1" x14ac:dyDescent="0.4">
      <c r="A314" s="53" t="s">
        <v>341</v>
      </c>
      <c r="B314" s="34"/>
      <c r="C314" s="31">
        <f>SUM(E314:I314)</f>
        <v>34.809999999999995</v>
      </c>
      <c r="D314" s="630"/>
      <c r="E314" s="31">
        <f>SUM(E302:E312)</f>
        <v>15.01</v>
      </c>
      <c r="F314" s="31">
        <f>SUM(F302:F312)</f>
        <v>3.29</v>
      </c>
      <c r="G314" s="31">
        <f>SUM(G302:G312)</f>
        <v>0</v>
      </c>
      <c r="H314" s="31">
        <f>SUM(H302:H312)</f>
        <v>14.5</v>
      </c>
      <c r="I314" s="31">
        <f>SUM(I302:I312)</f>
        <v>2.0099999999999998</v>
      </c>
      <c r="J314" s="608"/>
      <c r="K314" s="609"/>
      <c r="L314" s="653"/>
      <c r="M314" s="21"/>
      <c r="N314" s="685">
        <f>SUM(E314:I314)</f>
        <v>34.809999999999995</v>
      </c>
    </row>
    <row r="315" spans="1:14" ht="18" customHeight="1" x14ac:dyDescent="0.35">
      <c r="L315" s="28"/>
    </row>
    <row r="316" spans="1:14" s="1" customFormat="1" x14ac:dyDescent="0.35">
      <c r="A316" s="1203" t="s">
        <v>579</v>
      </c>
      <c r="B316" s="1204"/>
      <c r="C316" s="1204"/>
      <c r="D316" s="1204"/>
      <c r="E316" s="1204"/>
      <c r="F316" s="1204"/>
      <c r="G316" s="1204"/>
      <c r="H316" s="1204"/>
      <c r="I316" s="1204"/>
      <c r="J316" s="1204"/>
      <c r="K316" s="1204"/>
      <c r="L316" s="1205"/>
      <c r="M316" s="584"/>
      <c r="N316" s="581"/>
    </row>
    <row r="317" spans="1:14" s="1" customFormat="1" ht="16" thickBot="1" x14ac:dyDescent="0.4">
      <c r="A317" s="585"/>
      <c r="B317" s="2"/>
      <c r="C317" s="5"/>
      <c r="D317" s="586"/>
      <c r="E317" s="5"/>
      <c r="F317" s="5"/>
      <c r="G317" s="5"/>
      <c r="H317" s="5"/>
      <c r="I317" s="5"/>
      <c r="J317" s="3"/>
      <c r="K317" s="21"/>
      <c r="L317" s="653"/>
      <c r="M317" s="21"/>
      <c r="N317" s="581"/>
    </row>
    <row r="318" spans="1:14" s="1" customFormat="1" x14ac:dyDescent="0.35">
      <c r="A318" s="1206" t="s">
        <v>302</v>
      </c>
      <c r="B318" s="1208" t="s">
        <v>28</v>
      </c>
      <c r="C318" s="1210" t="s">
        <v>343</v>
      </c>
      <c r="D318" s="613"/>
      <c r="E318" s="1212" t="s">
        <v>305</v>
      </c>
      <c r="F318" s="1212"/>
      <c r="G318" s="1212"/>
      <c r="H318" s="1212"/>
      <c r="I318" s="1212"/>
      <c r="J318" s="1208" t="s">
        <v>29</v>
      </c>
      <c r="K318" s="1213" t="s">
        <v>306</v>
      </c>
      <c r="L318" s="1215" t="str">
        <f>L300</f>
        <v>REMARKS</v>
      </c>
      <c r="M318" s="588"/>
      <c r="N318" s="581"/>
    </row>
    <row r="319" spans="1:14" s="1" customFormat="1" ht="21" customHeight="1" thickBot="1" x14ac:dyDescent="0.4">
      <c r="A319" s="1207"/>
      <c r="B319" s="1209"/>
      <c r="C319" s="1211"/>
      <c r="D319" s="614"/>
      <c r="E319" s="7" t="s">
        <v>308</v>
      </c>
      <c r="F319" s="7" t="s">
        <v>309</v>
      </c>
      <c r="G319" s="7" t="s">
        <v>310</v>
      </c>
      <c r="H319" s="7" t="s">
        <v>311</v>
      </c>
      <c r="I319" s="7" t="s">
        <v>312</v>
      </c>
      <c r="J319" s="1209"/>
      <c r="K319" s="1214"/>
      <c r="L319" s="1216"/>
      <c r="M319" s="588"/>
      <c r="N319" s="581"/>
    </row>
    <row r="320" spans="1:14" ht="18" customHeight="1" x14ac:dyDescent="0.35">
      <c r="A320" s="596">
        <v>214</v>
      </c>
      <c r="B320" s="28" t="s">
        <v>580</v>
      </c>
      <c r="C320" s="10">
        <f>SUM(E320:I320)</f>
        <v>4.5</v>
      </c>
      <c r="D320" s="10">
        <f>'[23]road inventory 2018'!C318</f>
        <v>4.5</v>
      </c>
      <c r="E320" s="633">
        <v>0.7</v>
      </c>
      <c r="F320" s="633">
        <v>0</v>
      </c>
      <c r="G320" s="633">
        <v>0</v>
      </c>
      <c r="H320" s="10">
        <v>3.8</v>
      </c>
      <c r="I320" s="10">
        <v>0</v>
      </c>
      <c r="J320" s="103" t="s">
        <v>12</v>
      </c>
      <c r="K320" s="597" t="s">
        <v>581</v>
      </c>
      <c r="L320" s="28" t="str">
        <f>L330</f>
        <v>FOR VERIFICATION</v>
      </c>
    </row>
    <row r="321" spans="1:19" ht="18" customHeight="1" x14ac:dyDescent="0.35">
      <c r="A321" s="596">
        <v>212</v>
      </c>
      <c r="B321" s="28" t="s">
        <v>582</v>
      </c>
      <c r="C321" s="10">
        <f>SUM(E321:I321)</f>
        <v>2.75</v>
      </c>
      <c r="D321" s="10">
        <f>'[23]road inventory 2018'!C319</f>
        <v>2.75</v>
      </c>
      <c r="E321" s="633">
        <v>2.6</v>
      </c>
      <c r="F321" s="633">
        <v>0</v>
      </c>
      <c r="G321" s="633">
        <v>0</v>
      </c>
      <c r="H321" s="10">
        <v>0.15</v>
      </c>
      <c r="I321" s="10">
        <v>0</v>
      </c>
      <c r="J321" s="103" t="s">
        <v>12</v>
      </c>
      <c r="K321" s="597" t="s">
        <v>528</v>
      </c>
      <c r="L321" s="28" t="str">
        <f>L320</f>
        <v>FOR VERIFICATION</v>
      </c>
    </row>
    <row r="322" spans="1:19" s="16" customFormat="1" ht="18" customHeight="1" x14ac:dyDescent="0.35">
      <c r="A322" s="626"/>
      <c r="B322" s="60"/>
      <c r="C322" s="61">
        <f>SUM(C320:C321)</f>
        <v>7.25</v>
      </c>
      <c r="D322" s="61">
        <f t="shared" ref="D322:I322" si="29">SUM(D320:D321)</f>
        <v>7.25</v>
      </c>
      <c r="E322" s="61">
        <f t="shared" si="29"/>
        <v>3.3</v>
      </c>
      <c r="F322" s="61">
        <f t="shared" si="29"/>
        <v>0</v>
      </c>
      <c r="G322" s="61">
        <f t="shared" si="29"/>
        <v>0</v>
      </c>
      <c r="H322" s="61">
        <f t="shared" si="29"/>
        <v>3.9499999999999997</v>
      </c>
      <c r="I322" s="61">
        <f t="shared" si="29"/>
        <v>0</v>
      </c>
      <c r="J322" s="628"/>
      <c r="K322" s="629"/>
      <c r="L322" s="24"/>
      <c r="M322" s="593"/>
      <c r="N322" s="598"/>
    </row>
    <row r="323" spans="1:19" ht="18" customHeight="1" thickBot="1" x14ac:dyDescent="0.4">
      <c r="A323" s="53" t="s">
        <v>341</v>
      </c>
      <c r="B323" s="69"/>
      <c r="C323" s="31">
        <f>SUM(E323:I323)</f>
        <v>7.25</v>
      </c>
      <c r="D323" s="630"/>
      <c r="E323" s="31">
        <f>SUM(E320:E321)</f>
        <v>3.3</v>
      </c>
      <c r="F323" s="31">
        <f>SUM(F320:F321)</f>
        <v>0</v>
      </c>
      <c r="G323" s="31">
        <f>SUM(G320:G321)</f>
        <v>0</v>
      </c>
      <c r="H323" s="31">
        <f>SUM(H320:H321)</f>
        <v>3.9499999999999997</v>
      </c>
      <c r="I323" s="31">
        <f>SUM(I320:I321)</f>
        <v>0</v>
      </c>
      <c r="J323" s="608"/>
      <c r="K323" s="609"/>
      <c r="L323" s="653"/>
      <c r="M323" s="21"/>
    </row>
    <row r="324" spans="1:19" ht="18" customHeight="1" x14ac:dyDescent="0.35">
      <c r="L324" s="28"/>
    </row>
    <row r="325" spans="1:19" s="1" customFormat="1" x14ac:dyDescent="0.35">
      <c r="A325" s="1203" t="s">
        <v>583</v>
      </c>
      <c r="B325" s="1204"/>
      <c r="C325" s="1204"/>
      <c r="D325" s="1204"/>
      <c r="E325" s="1204"/>
      <c r="F325" s="1204"/>
      <c r="G325" s="1204"/>
      <c r="H325" s="1204"/>
      <c r="I325" s="1204"/>
      <c r="J325" s="1204"/>
      <c r="K325" s="1204"/>
      <c r="L325" s="1205"/>
      <c r="M325" s="584"/>
      <c r="N325" s="581"/>
    </row>
    <row r="326" spans="1:19" s="1" customFormat="1" ht="16" thickBot="1" x14ac:dyDescent="0.4">
      <c r="A326" s="585"/>
      <c r="B326" s="2"/>
      <c r="C326" s="5"/>
      <c r="D326" s="586"/>
      <c r="E326" s="5"/>
      <c r="F326" s="5"/>
      <c r="G326" s="5"/>
      <c r="H326" s="5"/>
      <c r="I326" s="5"/>
      <c r="J326" s="3"/>
      <c r="K326" s="21"/>
      <c r="L326" s="653"/>
      <c r="M326" s="21"/>
      <c r="N326" s="581"/>
    </row>
    <row r="327" spans="1:19" s="1" customFormat="1" x14ac:dyDescent="0.35">
      <c r="A327" s="1206" t="s">
        <v>302</v>
      </c>
      <c r="B327" s="1208" t="s">
        <v>28</v>
      </c>
      <c r="C327" s="1210" t="s">
        <v>343</v>
      </c>
      <c r="D327" s="613"/>
      <c r="E327" s="1212" t="s">
        <v>305</v>
      </c>
      <c r="F327" s="1212"/>
      <c r="G327" s="1212"/>
      <c r="H327" s="1212"/>
      <c r="I327" s="1212"/>
      <c r="J327" s="1208" t="s">
        <v>29</v>
      </c>
      <c r="K327" s="1213" t="s">
        <v>306</v>
      </c>
      <c r="L327" s="1215" t="str">
        <f>L318</f>
        <v>REMARKS</v>
      </c>
      <c r="M327" s="588"/>
      <c r="N327" s="581"/>
    </row>
    <row r="328" spans="1:19" s="1" customFormat="1" ht="21" customHeight="1" thickBot="1" x14ac:dyDescent="0.4">
      <c r="A328" s="1207"/>
      <c r="B328" s="1209"/>
      <c r="C328" s="1211"/>
      <c r="D328" s="614"/>
      <c r="E328" s="7" t="s">
        <v>308</v>
      </c>
      <c r="F328" s="7" t="s">
        <v>309</v>
      </c>
      <c r="G328" s="7" t="s">
        <v>310</v>
      </c>
      <c r="H328" s="7" t="s">
        <v>311</v>
      </c>
      <c r="I328" s="7" t="s">
        <v>312</v>
      </c>
      <c r="J328" s="1209"/>
      <c r="K328" s="1214"/>
      <c r="L328" s="1216"/>
      <c r="M328" s="588"/>
      <c r="N328" s="581"/>
    </row>
    <row r="329" spans="1:19" s="697" customFormat="1" ht="18" customHeight="1" x14ac:dyDescent="0.35">
      <c r="A329" s="689">
        <v>173</v>
      </c>
      <c r="B329" s="690" t="s">
        <v>584</v>
      </c>
      <c r="C329" s="691">
        <f>SUM(E329:I329)</f>
        <v>1.04</v>
      </c>
      <c r="D329" s="692">
        <f>'[23]road inventory 2018'!C326</f>
        <v>1.5</v>
      </c>
      <c r="E329" s="691">
        <v>1.04</v>
      </c>
      <c r="F329" s="691">
        <v>0</v>
      </c>
      <c r="G329" s="691">
        <v>0</v>
      </c>
      <c r="H329" s="691">
        <v>0</v>
      </c>
      <c r="I329" s="691">
        <v>0</v>
      </c>
      <c r="J329" s="693" t="s">
        <v>839</v>
      </c>
      <c r="K329" s="694"/>
      <c r="L329" s="690"/>
      <c r="M329" s="695"/>
      <c r="N329" s="696"/>
    </row>
    <row r="330" spans="1:19" ht="18" customHeight="1" x14ac:dyDescent="0.35">
      <c r="A330" s="596">
        <v>174</v>
      </c>
      <c r="B330" s="28" t="s">
        <v>585</v>
      </c>
      <c r="C330" s="691">
        <f t="shared" ref="C330:C341" si="30">SUM(E330:I330)</f>
        <v>0.2</v>
      </c>
      <c r="D330" s="10">
        <f>'[23]road inventory 2018'!C327</f>
        <v>0.2</v>
      </c>
      <c r="E330" s="10">
        <v>0.2</v>
      </c>
      <c r="F330" s="10">
        <v>0</v>
      </c>
      <c r="G330" s="10">
        <v>0</v>
      </c>
      <c r="H330" s="10">
        <v>0</v>
      </c>
      <c r="I330" s="10">
        <v>0</v>
      </c>
      <c r="J330" s="28" t="s">
        <v>33</v>
      </c>
      <c r="K330" s="597"/>
      <c r="L330" s="28" t="str">
        <f>L308</f>
        <v>FOR VERIFICATION</v>
      </c>
    </row>
    <row r="331" spans="1:19" s="697" customFormat="1" ht="18" customHeight="1" x14ac:dyDescent="0.35">
      <c r="A331" s="689">
        <v>175</v>
      </c>
      <c r="B331" s="690" t="s">
        <v>586</v>
      </c>
      <c r="C331" s="691">
        <f t="shared" si="30"/>
        <v>3.31</v>
      </c>
      <c r="D331" s="692">
        <f>'[23]road inventory 2018'!C328</f>
        <v>3.6</v>
      </c>
      <c r="E331" s="691">
        <v>3.31</v>
      </c>
      <c r="F331" s="691">
        <v>0</v>
      </c>
      <c r="G331" s="691">
        <v>0</v>
      </c>
      <c r="H331" s="691">
        <v>0</v>
      </c>
      <c r="I331" s="691">
        <v>0</v>
      </c>
      <c r="J331" s="690" t="s">
        <v>12</v>
      </c>
      <c r="K331" s="694"/>
      <c r="L331" s="690"/>
      <c r="M331" s="695"/>
      <c r="N331" s="696"/>
    </row>
    <row r="332" spans="1:19" s="697" customFormat="1" ht="18" customHeight="1" x14ac:dyDescent="0.35">
      <c r="A332" s="689">
        <v>176</v>
      </c>
      <c r="B332" s="690" t="s">
        <v>587</v>
      </c>
      <c r="C332" s="691">
        <f t="shared" si="30"/>
        <v>22.21</v>
      </c>
      <c r="D332" s="692">
        <f>'[23]road inventory 2018'!C329</f>
        <v>20.5</v>
      </c>
      <c r="E332" s="691">
        <v>5.21</v>
      </c>
      <c r="F332" s="691">
        <v>0</v>
      </c>
      <c r="G332" s="691">
        <v>0</v>
      </c>
      <c r="H332" s="691">
        <v>17</v>
      </c>
      <c r="I332" s="691">
        <v>0</v>
      </c>
      <c r="J332" s="690" t="s">
        <v>12</v>
      </c>
      <c r="K332" s="694"/>
      <c r="L332" s="690"/>
      <c r="M332" s="695"/>
      <c r="N332" s="696"/>
    </row>
    <row r="333" spans="1:19" s="697" customFormat="1" ht="18" customHeight="1" x14ac:dyDescent="0.35">
      <c r="A333" s="689">
        <v>177</v>
      </c>
      <c r="B333" s="690" t="s">
        <v>588</v>
      </c>
      <c r="C333" s="691">
        <f t="shared" si="30"/>
        <v>13.55</v>
      </c>
      <c r="D333" s="692">
        <f>'[23]road inventory 2018'!C330</f>
        <v>13.5</v>
      </c>
      <c r="E333" s="691">
        <v>13.55</v>
      </c>
      <c r="F333" s="691">
        <v>0</v>
      </c>
      <c r="G333" s="691">
        <v>0</v>
      </c>
      <c r="H333" s="691">
        <v>0</v>
      </c>
      <c r="I333" s="691">
        <v>0</v>
      </c>
      <c r="J333" s="693" t="s">
        <v>10</v>
      </c>
      <c r="K333" s="694"/>
      <c r="L333" s="690"/>
      <c r="M333" s="695"/>
      <c r="N333" s="696"/>
    </row>
    <row r="334" spans="1:19" s="697" customFormat="1" ht="18" customHeight="1" x14ac:dyDescent="0.35">
      <c r="A334" s="689">
        <v>172</v>
      </c>
      <c r="B334" s="690" t="s">
        <v>589</v>
      </c>
      <c r="C334" s="691">
        <f t="shared" si="30"/>
        <v>4.4399999999999995</v>
      </c>
      <c r="D334" s="692">
        <f>'[23]road inventory 2018'!C331</f>
        <v>5.7</v>
      </c>
      <c r="E334" s="691">
        <v>1.02</v>
      </c>
      <c r="F334" s="691">
        <v>0</v>
      </c>
      <c r="G334" s="691">
        <v>0</v>
      </c>
      <c r="H334" s="691">
        <v>0</v>
      </c>
      <c r="I334" s="691">
        <v>3.42</v>
      </c>
      <c r="J334" s="693" t="str">
        <f>J291</f>
        <v>Fair</v>
      </c>
      <c r="K334" s="694"/>
      <c r="L334" s="690"/>
      <c r="M334" s="695"/>
      <c r="N334" s="696"/>
      <c r="S334" s="698">
        <f>C375+D353+D354+D355+D356+D340+D337+D335+D330+D311+D309+D308+D307+D302+D292+D287</f>
        <v>114.55099999999999</v>
      </c>
    </row>
    <row r="335" spans="1:19" ht="31" x14ac:dyDescent="0.35">
      <c r="A335" s="596">
        <v>178</v>
      </c>
      <c r="B335" s="28" t="s">
        <v>296</v>
      </c>
      <c r="C335" s="691">
        <f t="shared" si="30"/>
        <v>25.54</v>
      </c>
      <c r="D335" s="10">
        <f>'[23]road inventory 2018'!C332</f>
        <v>25.54</v>
      </c>
      <c r="E335" s="10">
        <v>1.23</v>
      </c>
      <c r="F335" s="10">
        <v>0</v>
      </c>
      <c r="G335" s="10">
        <v>0</v>
      </c>
      <c r="H335" s="10">
        <v>24.31</v>
      </c>
      <c r="I335" s="10">
        <v>0</v>
      </c>
      <c r="J335" s="28" t="s">
        <v>33</v>
      </c>
      <c r="K335" s="597"/>
      <c r="L335" s="28" t="str">
        <f>L311</f>
        <v>FOR VERIFICATION</v>
      </c>
    </row>
    <row r="336" spans="1:19" ht="18" customHeight="1" x14ac:dyDescent="0.35">
      <c r="A336" s="596">
        <v>179</v>
      </c>
      <c r="B336" s="28" t="s">
        <v>590</v>
      </c>
      <c r="C336" s="691">
        <f t="shared" si="30"/>
        <v>9.4499999999999993</v>
      </c>
      <c r="D336" s="10">
        <f>'[23]road inventory 2018'!C333</f>
        <v>9.4</v>
      </c>
      <c r="E336" s="10">
        <v>0.43</v>
      </c>
      <c r="F336" s="10">
        <v>0</v>
      </c>
      <c r="G336" s="10">
        <v>0</v>
      </c>
      <c r="H336" s="10">
        <v>9.02</v>
      </c>
      <c r="I336" s="10">
        <v>0</v>
      </c>
      <c r="J336" s="103" t="s">
        <v>33</v>
      </c>
      <c r="K336" s="597"/>
      <c r="L336" s="28"/>
    </row>
    <row r="337" spans="1:14" ht="18" customHeight="1" x14ac:dyDescent="0.35">
      <c r="A337" s="596">
        <v>180</v>
      </c>
      <c r="B337" s="28" t="s">
        <v>591</v>
      </c>
      <c r="C337" s="691">
        <f t="shared" si="30"/>
        <v>2.42</v>
      </c>
      <c r="D337" s="10">
        <f>'[23]road inventory 2018'!C334</f>
        <v>2.42</v>
      </c>
      <c r="E337" s="10">
        <v>0</v>
      </c>
      <c r="F337" s="10">
        <v>0</v>
      </c>
      <c r="G337" s="10">
        <v>0</v>
      </c>
      <c r="H337" s="10">
        <v>2.42</v>
      </c>
      <c r="I337" s="10">
        <v>0</v>
      </c>
      <c r="J337" s="28" t="s">
        <v>12</v>
      </c>
      <c r="K337" s="597"/>
      <c r="L337" s="28" t="str">
        <f>L335</f>
        <v>FOR VERIFICATION</v>
      </c>
    </row>
    <row r="338" spans="1:14" ht="31" x14ac:dyDescent="0.35">
      <c r="A338" s="596">
        <v>181</v>
      </c>
      <c r="B338" s="28" t="s">
        <v>592</v>
      </c>
      <c r="C338" s="691">
        <f t="shared" si="30"/>
        <v>4.03</v>
      </c>
      <c r="D338" s="10">
        <f>'[23]road inventory 2018'!C335</f>
        <v>4.9000000000000004</v>
      </c>
      <c r="E338" s="10">
        <v>4.03</v>
      </c>
      <c r="F338" s="10">
        <v>0</v>
      </c>
      <c r="G338" s="10">
        <v>0</v>
      </c>
      <c r="H338" s="10">
        <v>0</v>
      </c>
      <c r="I338" s="10">
        <v>0</v>
      </c>
      <c r="J338" s="103" t="s">
        <v>10</v>
      </c>
      <c r="K338" s="597"/>
      <c r="L338" s="28"/>
    </row>
    <row r="339" spans="1:14" ht="31" x14ac:dyDescent="0.35">
      <c r="A339" s="596">
        <v>182</v>
      </c>
      <c r="B339" s="28" t="s">
        <v>593</v>
      </c>
      <c r="C339" s="691">
        <f t="shared" si="30"/>
        <v>16.57</v>
      </c>
      <c r="D339" s="10">
        <f>'[23]road inventory 2018'!C336</f>
        <v>16</v>
      </c>
      <c r="E339" s="10">
        <v>16.57</v>
      </c>
      <c r="F339" s="10">
        <v>0</v>
      </c>
      <c r="G339" s="10">
        <v>0</v>
      </c>
      <c r="H339" s="10">
        <v>0</v>
      </c>
      <c r="I339" s="10">
        <v>0</v>
      </c>
      <c r="J339" s="28" t="s">
        <v>10</v>
      </c>
      <c r="K339" s="597"/>
      <c r="L339" s="28"/>
    </row>
    <row r="340" spans="1:14" ht="18" customHeight="1" x14ac:dyDescent="0.35">
      <c r="A340" s="596">
        <v>183</v>
      </c>
      <c r="B340" s="28" t="s">
        <v>594</v>
      </c>
      <c r="C340" s="691">
        <f t="shared" si="30"/>
        <v>1.7</v>
      </c>
      <c r="D340" s="10">
        <f>'[23]road inventory 2018'!C337</f>
        <v>1.7</v>
      </c>
      <c r="E340" s="10">
        <v>0</v>
      </c>
      <c r="F340" s="10">
        <v>0</v>
      </c>
      <c r="G340" s="10">
        <v>0</v>
      </c>
      <c r="H340" s="10">
        <v>1.7</v>
      </c>
      <c r="I340" s="10">
        <v>0</v>
      </c>
      <c r="J340" s="28" t="s">
        <v>33</v>
      </c>
      <c r="K340" s="597"/>
      <c r="L340" s="28" t="str">
        <f>L337</f>
        <v>FOR VERIFICATION</v>
      </c>
    </row>
    <row r="341" spans="1:14" s="697" customFormat="1" ht="18" customHeight="1" x14ac:dyDescent="0.35">
      <c r="A341" s="689">
        <v>184</v>
      </c>
      <c r="B341" s="690" t="s">
        <v>595</v>
      </c>
      <c r="C341" s="691">
        <f t="shared" si="30"/>
        <v>12.03</v>
      </c>
      <c r="D341" s="692">
        <f>'[23]road inventory 2018'!C338</f>
        <v>12</v>
      </c>
      <c r="E341" s="691">
        <v>10.01</v>
      </c>
      <c r="F341" s="691">
        <v>0</v>
      </c>
      <c r="G341" s="691">
        <v>0</v>
      </c>
      <c r="H341" s="691">
        <v>2.02</v>
      </c>
      <c r="I341" s="691">
        <v>0</v>
      </c>
      <c r="J341" s="690" t="s">
        <v>10</v>
      </c>
      <c r="K341" s="694"/>
      <c r="L341" s="690"/>
      <c r="M341" s="695"/>
      <c r="N341" s="696"/>
    </row>
    <row r="342" spans="1:14" s="677" customFormat="1" ht="18" customHeight="1" x14ac:dyDescent="0.35">
      <c r="A342" s="699"/>
      <c r="B342" s="108"/>
      <c r="C342" s="700">
        <f>SUM(C329:C341)</f>
        <v>116.49</v>
      </c>
      <c r="D342" s="700">
        <f t="shared" ref="D342:I342" si="31">SUM(D329:D341)</f>
        <v>116.96000000000001</v>
      </c>
      <c r="E342" s="700">
        <f t="shared" si="31"/>
        <v>56.6</v>
      </c>
      <c r="F342" s="700">
        <f t="shared" si="31"/>
        <v>0</v>
      </c>
      <c r="G342" s="700">
        <f t="shared" si="31"/>
        <v>0</v>
      </c>
      <c r="H342" s="700">
        <f t="shared" si="31"/>
        <v>56.470000000000006</v>
      </c>
      <c r="I342" s="700">
        <f t="shared" si="31"/>
        <v>3.42</v>
      </c>
      <c r="J342" s="108"/>
      <c r="K342" s="701"/>
      <c r="L342" s="107"/>
      <c r="M342" s="675"/>
      <c r="N342" s="676"/>
    </row>
    <row r="343" spans="1:14" ht="18" customHeight="1" thickBot="1" x14ac:dyDescent="0.4">
      <c r="A343" s="53" t="s">
        <v>341</v>
      </c>
      <c r="B343" s="34"/>
      <c r="C343" s="31">
        <f>SUM(E343:I343)</f>
        <v>116.49000000000001</v>
      </c>
      <c r="D343" s="630"/>
      <c r="E343" s="31">
        <f>SUM(E329:E341)</f>
        <v>56.6</v>
      </c>
      <c r="F343" s="31">
        <f>SUM(F329:F341)</f>
        <v>0</v>
      </c>
      <c r="G343" s="31">
        <f>SUM(G329:G341)</f>
        <v>0</v>
      </c>
      <c r="H343" s="31">
        <f>SUM(H329:H341)</f>
        <v>56.470000000000006</v>
      </c>
      <c r="I343" s="31">
        <f>SUM(I329:I341)</f>
        <v>3.42</v>
      </c>
      <c r="J343" s="608"/>
      <c r="K343" s="609"/>
      <c r="L343" s="653"/>
      <c r="M343" s="21"/>
      <c r="N343" s="685">
        <f>SUM(E343:I343)</f>
        <v>116.49000000000001</v>
      </c>
    </row>
    <row r="344" spans="1:14" ht="18" customHeight="1" x14ac:dyDescent="0.35">
      <c r="L344" s="28"/>
    </row>
    <row r="345" spans="1:14" s="1" customFormat="1" x14ac:dyDescent="0.35">
      <c r="A345" s="1203" t="s">
        <v>596</v>
      </c>
      <c r="B345" s="1204"/>
      <c r="C345" s="1204"/>
      <c r="D345" s="1204"/>
      <c r="E345" s="1204"/>
      <c r="F345" s="1204"/>
      <c r="G345" s="1204"/>
      <c r="H345" s="1204"/>
      <c r="I345" s="1204"/>
      <c r="J345" s="1204"/>
      <c r="K345" s="1204"/>
      <c r="L345" s="1205"/>
      <c r="M345" s="584"/>
      <c r="N345" s="581"/>
    </row>
    <row r="346" spans="1:14" s="1" customFormat="1" ht="16" thickBot="1" x14ac:dyDescent="0.4">
      <c r="A346" s="585"/>
      <c r="B346" s="2"/>
      <c r="C346" s="5"/>
      <c r="D346" s="586"/>
      <c r="E346" s="5"/>
      <c r="F346" s="5"/>
      <c r="G346" s="5"/>
      <c r="H346" s="5"/>
      <c r="I346" s="5"/>
      <c r="J346" s="3"/>
      <c r="K346" s="21"/>
      <c r="L346" s="653"/>
      <c r="M346" s="21"/>
      <c r="N346" s="581"/>
    </row>
    <row r="347" spans="1:14" s="1" customFormat="1" x14ac:dyDescent="0.35">
      <c r="A347" s="1206" t="s">
        <v>302</v>
      </c>
      <c r="B347" s="1208" t="s">
        <v>28</v>
      </c>
      <c r="C347" s="1210" t="s">
        <v>343</v>
      </c>
      <c r="D347" s="613"/>
      <c r="E347" s="1212" t="s">
        <v>305</v>
      </c>
      <c r="F347" s="1212"/>
      <c r="G347" s="1212"/>
      <c r="H347" s="1212"/>
      <c r="I347" s="1212"/>
      <c r="J347" s="1208" t="s">
        <v>29</v>
      </c>
      <c r="K347" s="1213" t="s">
        <v>306</v>
      </c>
      <c r="L347" s="1215" t="str">
        <f>L327</f>
        <v>REMARKS</v>
      </c>
      <c r="M347" s="588"/>
      <c r="N347" s="581"/>
    </row>
    <row r="348" spans="1:14" s="1" customFormat="1" ht="21" customHeight="1" thickBot="1" x14ac:dyDescent="0.4">
      <c r="A348" s="1207"/>
      <c r="B348" s="1209"/>
      <c r="C348" s="1211"/>
      <c r="D348" s="614"/>
      <c r="E348" s="7" t="s">
        <v>308</v>
      </c>
      <c r="F348" s="7" t="s">
        <v>309</v>
      </c>
      <c r="G348" s="7" t="s">
        <v>310</v>
      </c>
      <c r="H348" s="7" t="s">
        <v>311</v>
      </c>
      <c r="I348" s="7" t="s">
        <v>312</v>
      </c>
      <c r="J348" s="1209"/>
      <c r="K348" s="1214"/>
      <c r="L348" s="1216"/>
      <c r="M348" s="588"/>
      <c r="N348" s="581"/>
    </row>
    <row r="349" spans="1:14" s="16" customFormat="1" ht="18" customHeight="1" x14ac:dyDescent="0.35">
      <c r="A349" s="589">
        <v>187</v>
      </c>
      <c r="B349" s="24" t="s">
        <v>597</v>
      </c>
      <c r="C349" s="15">
        <f>SUM(E349:I349)</f>
        <v>0.44600000000000001</v>
      </c>
      <c r="D349" s="702">
        <f>'[23]road inventory 2018'!C345</f>
        <v>0.504</v>
      </c>
      <c r="E349" s="15">
        <v>0.44600000000000001</v>
      </c>
      <c r="F349" s="15">
        <v>0</v>
      </c>
      <c r="G349" s="15">
        <v>0</v>
      </c>
      <c r="H349" s="15">
        <v>0</v>
      </c>
      <c r="I349" s="15">
        <v>0</v>
      </c>
      <c r="J349" s="24" t="str">
        <f>J340</f>
        <v>Poor</v>
      </c>
      <c r="K349" s="591"/>
      <c r="L349" s="24"/>
      <c r="M349" s="593"/>
      <c r="N349" s="598"/>
    </row>
    <row r="350" spans="1:14" s="16" customFormat="1" ht="18" customHeight="1" x14ac:dyDescent="0.35">
      <c r="A350" s="589">
        <v>188</v>
      </c>
      <c r="B350" s="24" t="s">
        <v>598</v>
      </c>
      <c r="C350" s="15">
        <f t="shared" ref="C350:C356" si="32">SUM(E350:I350)</f>
        <v>0.158</v>
      </c>
      <c r="D350" s="702">
        <f>'[23]road inventory 2018'!C346</f>
        <v>0.158</v>
      </c>
      <c r="E350" s="15">
        <v>0.158</v>
      </c>
      <c r="F350" s="15">
        <v>0</v>
      </c>
      <c r="G350" s="15">
        <v>0</v>
      </c>
      <c r="H350" s="15">
        <v>0</v>
      </c>
      <c r="I350" s="15">
        <v>0</v>
      </c>
      <c r="J350" s="24" t="str">
        <f>J340</f>
        <v>Poor</v>
      </c>
      <c r="K350" s="591"/>
      <c r="L350" s="24"/>
      <c r="M350" s="593"/>
      <c r="N350" s="598"/>
    </row>
    <row r="351" spans="1:14" s="16" customFormat="1" ht="18" customHeight="1" x14ac:dyDescent="0.35">
      <c r="A351" s="589">
        <v>189</v>
      </c>
      <c r="B351" s="24" t="s">
        <v>599</v>
      </c>
      <c r="C351" s="15">
        <f t="shared" si="32"/>
        <v>0.998</v>
      </c>
      <c r="D351" s="702">
        <f>'[23]road inventory 2018'!C347</f>
        <v>0.74199999999999999</v>
      </c>
      <c r="E351" s="15">
        <v>0.998</v>
      </c>
      <c r="F351" s="15">
        <v>0</v>
      </c>
      <c r="G351" s="15">
        <v>0</v>
      </c>
      <c r="H351" s="15">
        <v>0</v>
      </c>
      <c r="I351" s="15">
        <v>0</v>
      </c>
      <c r="J351" s="24" t="s">
        <v>12</v>
      </c>
      <c r="K351" s="591"/>
      <c r="L351" s="24"/>
      <c r="M351" s="593"/>
      <c r="N351" s="598"/>
    </row>
    <row r="352" spans="1:14" s="677" customFormat="1" ht="31" x14ac:dyDescent="0.35">
      <c r="A352" s="669">
        <v>185</v>
      </c>
      <c r="B352" s="107" t="s">
        <v>840</v>
      </c>
      <c r="C352" s="15">
        <f t="shared" si="32"/>
        <v>12.03</v>
      </c>
      <c r="D352" s="702">
        <f>'[23]road inventory 2018'!C348</f>
        <v>10.9</v>
      </c>
      <c r="E352" s="670">
        <v>10.01</v>
      </c>
      <c r="F352" s="670">
        <v>0</v>
      </c>
      <c r="G352" s="670">
        <v>0</v>
      </c>
      <c r="H352" s="670">
        <v>2.02</v>
      </c>
      <c r="I352" s="670">
        <v>0</v>
      </c>
      <c r="J352" s="107" t="s">
        <v>10</v>
      </c>
      <c r="K352" s="674"/>
      <c r="L352" s="107"/>
      <c r="M352" s="675"/>
      <c r="N352" s="676"/>
    </row>
    <row r="353" spans="1:14" ht="18" customHeight="1" x14ac:dyDescent="0.35">
      <c r="A353" s="596">
        <v>186</v>
      </c>
      <c r="B353" s="28" t="s">
        <v>601</v>
      </c>
      <c r="C353" s="15">
        <f t="shared" si="32"/>
        <v>10.75</v>
      </c>
      <c r="D353" s="103">
        <f>'[23]road inventory 2018'!C349</f>
        <v>10.5</v>
      </c>
      <c r="E353" s="10">
        <v>0</v>
      </c>
      <c r="F353" s="10">
        <v>0</v>
      </c>
      <c r="G353" s="10">
        <v>0</v>
      </c>
      <c r="H353" s="10">
        <v>10.75</v>
      </c>
      <c r="I353" s="10">
        <v>0</v>
      </c>
      <c r="J353" s="28" t="s">
        <v>33</v>
      </c>
      <c r="K353" s="597"/>
      <c r="L353" s="28" t="str">
        <f>L340</f>
        <v>FOR VERIFICATION</v>
      </c>
    </row>
    <row r="354" spans="1:14" ht="18" customHeight="1" x14ac:dyDescent="0.35">
      <c r="A354" s="596">
        <v>190</v>
      </c>
      <c r="B354" s="28" t="s">
        <v>602</v>
      </c>
      <c r="C354" s="15">
        <f t="shared" si="32"/>
        <v>17.5</v>
      </c>
      <c r="D354" s="103">
        <f>'[23]road inventory 2018'!C350</f>
        <v>17.5</v>
      </c>
      <c r="E354" s="10">
        <v>0</v>
      </c>
      <c r="F354" s="10">
        <v>0</v>
      </c>
      <c r="G354" s="10">
        <v>0</v>
      </c>
      <c r="H354" s="10">
        <v>17.5</v>
      </c>
      <c r="I354" s="10">
        <v>0</v>
      </c>
      <c r="J354" s="28" t="s">
        <v>12</v>
      </c>
      <c r="K354" s="597"/>
      <c r="L354" s="28" t="str">
        <f>L353</f>
        <v>FOR VERIFICATION</v>
      </c>
    </row>
    <row r="355" spans="1:14" ht="18" customHeight="1" x14ac:dyDescent="0.35">
      <c r="A355" s="596">
        <v>191</v>
      </c>
      <c r="B355" s="28" t="s">
        <v>603</v>
      </c>
      <c r="C355" s="15">
        <f t="shared" si="32"/>
        <v>3.5</v>
      </c>
      <c r="D355" s="103">
        <f>'[23]road inventory 2018'!C351</f>
        <v>3.5</v>
      </c>
      <c r="E355" s="10">
        <v>0</v>
      </c>
      <c r="F355" s="10">
        <v>0</v>
      </c>
      <c r="G355" s="10">
        <v>0</v>
      </c>
      <c r="H355" s="10">
        <v>3.5</v>
      </c>
      <c r="I355" s="10">
        <v>0</v>
      </c>
      <c r="J355" s="28" t="s">
        <v>12</v>
      </c>
      <c r="K355" s="597"/>
      <c r="L355" s="28" t="str">
        <f>L354</f>
        <v>FOR VERIFICATION</v>
      </c>
    </row>
    <row r="356" spans="1:14" ht="18" customHeight="1" x14ac:dyDescent="0.35">
      <c r="A356" s="596">
        <v>230</v>
      </c>
      <c r="B356" s="28" t="s">
        <v>604</v>
      </c>
      <c r="C356" s="15">
        <f t="shared" si="32"/>
        <v>1.58</v>
      </c>
      <c r="D356" s="103">
        <f>'[23]road inventory 2018'!C352</f>
        <v>1.58</v>
      </c>
      <c r="E356" s="10">
        <v>0</v>
      </c>
      <c r="F356" s="10">
        <v>0</v>
      </c>
      <c r="G356" s="10">
        <v>0</v>
      </c>
      <c r="H356" s="10">
        <v>1.58</v>
      </c>
      <c r="I356" s="10">
        <v>0</v>
      </c>
      <c r="J356" s="28" t="s">
        <v>41</v>
      </c>
      <c r="K356" s="597"/>
      <c r="L356" s="28" t="str">
        <f>L354</f>
        <v>FOR VERIFICATION</v>
      </c>
    </row>
    <row r="357" spans="1:14" ht="18" customHeight="1" x14ac:dyDescent="0.35">
      <c r="A357" s="635"/>
      <c r="B357" s="40"/>
      <c r="C357" s="703">
        <f>SUM(C349:C356)</f>
        <v>46.961999999999996</v>
      </c>
      <c r="D357" s="703">
        <f t="shared" ref="D357:I357" si="33">SUM(D349:D356)</f>
        <v>45.384</v>
      </c>
      <c r="E357" s="703">
        <f t="shared" si="33"/>
        <v>11.612</v>
      </c>
      <c r="F357" s="703">
        <f t="shared" si="33"/>
        <v>0</v>
      </c>
      <c r="G357" s="703">
        <f t="shared" si="33"/>
        <v>0</v>
      </c>
      <c r="H357" s="703">
        <f t="shared" si="33"/>
        <v>35.349999999999994</v>
      </c>
      <c r="I357" s="703">
        <f t="shared" si="33"/>
        <v>0</v>
      </c>
      <c r="J357" s="40"/>
      <c r="K357" s="605"/>
      <c r="L357" s="28"/>
    </row>
    <row r="358" spans="1:14" ht="18" customHeight="1" thickBot="1" x14ac:dyDescent="0.4">
      <c r="A358" s="53" t="s">
        <v>341</v>
      </c>
      <c r="B358" s="34"/>
      <c r="C358" s="31">
        <f>SUM(E358:I358)</f>
        <v>46.961999999999996</v>
      </c>
      <c r="D358" s="630">
        <f t="shared" ref="D358:I358" si="34">SUM(D349:D356)</f>
        <v>45.384</v>
      </c>
      <c r="E358" s="31">
        <f t="shared" si="34"/>
        <v>11.612</v>
      </c>
      <c r="F358" s="31">
        <f t="shared" si="34"/>
        <v>0</v>
      </c>
      <c r="G358" s="31">
        <f t="shared" si="34"/>
        <v>0</v>
      </c>
      <c r="H358" s="31">
        <f t="shared" si="34"/>
        <v>35.349999999999994</v>
      </c>
      <c r="I358" s="31">
        <f t="shared" si="34"/>
        <v>0</v>
      </c>
      <c r="J358" s="608"/>
      <c r="K358" s="609"/>
      <c r="L358" s="653"/>
      <c r="M358" s="21"/>
      <c r="N358" s="685">
        <f>SUM(E358:I358)</f>
        <v>46.961999999999996</v>
      </c>
    </row>
    <row r="359" spans="1:14" ht="18" customHeight="1" x14ac:dyDescent="0.35">
      <c r="L359" s="28"/>
    </row>
    <row r="360" spans="1:14" s="1" customFormat="1" x14ac:dyDescent="0.35">
      <c r="A360" s="1203" t="s">
        <v>605</v>
      </c>
      <c r="B360" s="1204"/>
      <c r="C360" s="1204"/>
      <c r="D360" s="1204"/>
      <c r="E360" s="1204"/>
      <c r="F360" s="1204"/>
      <c r="G360" s="1204"/>
      <c r="H360" s="1204"/>
      <c r="I360" s="1204"/>
      <c r="J360" s="1204"/>
      <c r="K360" s="1204"/>
      <c r="L360" s="1205"/>
      <c r="M360" s="584"/>
      <c r="N360" s="581"/>
    </row>
    <row r="361" spans="1:14" s="1" customFormat="1" ht="16" thickBot="1" x14ac:dyDescent="0.4">
      <c r="A361" s="585"/>
      <c r="B361" s="2"/>
      <c r="C361" s="5"/>
      <c r="D361" s="586"/>
      <c r="E361" s="5"/>
      <c r="F361" s="5"/>
      <c r="G361" s="5"/>
      <c r="H361" s="5"/>
      <c r="I361" s="5"/>
      <c r="J361" s="3"/>
      <c r="K361" s="21"/>
      <c r="L361" s="653"/>
      <c r="M361" s="21"/>
      <c r="N361" s="581"/>
    </row>
    <row r="362" spans="1:14" s="1" customFormat="1" x14ac:dyDescent="0.35">
      <c r="A362" s="1206" t="s">
        <v>302</v>
      </c>
      <c r="B362" s="1208" t="s">
        <v>28</v>
      </c>
      <c r="C362" s="1210" t="s">
        <v>343</v>
      </c>
      <c r="D362" s="613"/>
      <c r="E362" s="1212" t="s">
        <v>305</v>
      </c>
      <c r="F362" s="1212"/>
      <c r="G362" s="1212"/>
      <c r="H362" s="1212"/>
      <c r="I362" s="1212"/>
      <c r="J362" s="1208" t="s">
        <v>29</v>
      </c>
      <c r="K362" s="1213" t="s">
        <v>306</v>
      </c>
      <c r="L362" s="1215" t="str">
        <f>L347</f>
        <v>REMARKS</v>
      </c>
      <c r="M362" s="588"/>
      <c r="N362" s="581"/>
    </row>
    <row r="363" spans="1:14" s="1" customFormat="1" ht="21" customHeight="1" thickBot="1" x14ac:dyDescent="0.4">
      <c r="A363" s="1207"/>
      <c r="B363" s="1209"/>
      <c r="C363" s="1211"/>
      <c r="D363" s="614"/>
      <c r="E363" s="7" t="s">
        <v>308</v>
      </c>
      <c r="F363" s="7" t="s">
        <v>309</v>
      </c>
      <c r="G363" s="7" t="s">
        <v>310</v>
      </c>
      <c r="H363" s="7" t="s">
        <v>311</v>
      </c>
      <c r="I363" s="7" t="s">
        <v>312</v>
      </c>
      <c r="J363" s="1209"/>
      <c r="K363" s="1214"/>
      <c r="L363" s="1216"/>
      <c r="M363" s="588"/>
      <c r="N363" s="581"/>
    </row>
    <row r="364" spans="1:14" s="667" customFormat="1" x14ac:dyDescent="0.35">
      <c r="A364" s="618">
        <v>192</v>
      </c>
      <c r="B364" s="619" t="s">
        <v>606</v>
      </c>
      <c r="C364" s="704">
        <f>SUM(E364:I364)</f>
        <v>13.02</v>
      </c>
      <c r="D364" s="705">
        <f>'[23]road inventory 2018'!C359</f>
        <v>17</v>
      </c>
      <c r="E364" s="620">
        <v>10.754</v>
      </c>
      <c r="F364" s="620">
        <v>0</v>
      </c>
      <c r="G364" s="620">
        <v>0</v>
      </c>
      <c r="H364" s="620">
        <v>2.266</v>
      </c>
      <c r="I364" s="620">
        <v>0</v>
      </c>
      <c r="J364" s="619" t="s">
        <v>12</v>
      </c>
      <c r="K364" s="622"/>
      <c r="L364" s="619"/>
      <c r="M364" s="623"/>
      <c r="N364" s="666"/>
    </row>
    <row r="365" spans="1:14" s="16" customFormat="1" ht="31" x14ac:dyDescent="0.35">
      <c r="A365" s="589">
        <v>193</v>
      </c>
      <c r="B365" s="24" t="s">
        <v>607</v>
      </c>
      <c r="C365" s="73">
        <f>SUM(E365:I365)</f>
        <v>1.53</v>
      </c>
      <c r="D365" s="706">
        <f>'[23]road inventory 2018'!C360</f>
        <v>1.8</v>
      </c>
      <c r="E365" s="15">
        <v>1.53</v>
      </c>
      <c r="F365" s="15">
        <v>0</v>
      </c>
      <c r="G365" s="15">
        <v>0</v>
      </c>
      <c r="H365" s="15">
        <v>0</v>
      </c>
      <c r="I365" s="15">
        <v>0</v>
      </c>
      <c r="J365" s="24" t="s">
        <v>12</v>
      </c>
      <c r="K365" s="591"/>
      <c r="L365" s="24"/>
      <c r="M365" s="593"/>
      <c r="N365" s="598"/>
    </row>
    <row r="366" spans="1:14" s="16" customFormat="1" ht="31.5" thickBot="1" x14ac:dyDescent="0.4">
      <c r="A366" s="649">
        <v>194</v>
      </c>
      <c r="B366" s="64" t="s">
        <v>608</v>
      </c>
      <c r="C366" s="73">
        <f>SUM(E366:I366)</f>
        <v>5.12</v>
      </c>
      <c r="D366" s="707">
        <f>'[23]road inventory 2018'!C361</f>
        <v>5.3</v>
      </c>
      <c r="E366" s="65">
        <v>4.12</v>
      </c>
      <c r="F366" s="65">
        <v>0</v>
      </c>
      <c r="G366" s="65">
        <v>0</v>
      </c>
      <c r="H366" s="65">
        <v>1</v>
      </c>
      <c r="I366" s="65">
        <v>0</v>
      </c>
      <c r="J366" s="64" t="s">
        <v>12</v>
      </c>
      <c r="K366" s="652"/>
      <c r="L366" s="24"/>
      <c r="M366" s="593"/>
      <c r="N366" s="598"/>
    </row>
    <row r="367" spans="1:14" s="16" customFormat="1" ht="31" x14ac:dyDescent="0.35">
      <c r="A367" s="589">
        <v>195</v>
      </c>
      <c r="B367" s="24" t="s">
        <v>609</v>
      </c>
      <c r="C367" s="73">
        <f>SUM(E367:I367)</f>
        <v>5.01</v>
      </c>
      <c r="D367" s="706">
        <f>'[23]road inventory 2018'!C365</f>
        <v>3.9000000000000004</v>
      </c>
      <c r="E367" s="15">
        <v>1.06</v>
      </c>
      <c r="F367" s="15">
        <v>0</v>
      </c>
      <c r="G367" s="15">
        <v>0</v>
      </c>
      <c r="H367" s="15">
        <v>3.95</v>
      </c>
      <c r="I367" s="15">
        <v>0</v>
      </c>
      <c r="J367" s="24" t="s">
        <v>12</v>
      </c>
      <c r="K367" s="591"/>
      <c r="L367" s="24"/>
      <c r="M367" s="593"/>
      <c r="N367" s="598"/>
    </row>
    <row r="368" spans="1:14" s="16" customFormat="1" x14ac:dyDescent="0.35">
      <c r="A368" s="626"/>
      <c r="B368" s="60"/>
      <c r="C368" s="75">
        <f t="shared" ref="C368:I368" si="35">SUM(C364:C367)</f>
        <v>24.68</v>
      </c>
      <c r="D368" s="75">
        <f t="shared" si="35"/>
        <v>28</v>
      </c>
      <c r="E368" s="75">
        <f t="shared" si="35"/>
        <v>17.463999999999999</v>
      </c>
      <c r="F368" s="75">
        <f t="shared" si="35"/>
        <v>0</v>
      </c>
      <c r="G368" s="75">
        <f t="shared" si="35"/>
        <v>0</v>
      </c>
      <c r="H368" s="75">
        <f t="shared" si="35"/>
        <v>7.2160000000000002</v>
      </c>
      <c r="I368" s="75">
        <f t="shared" si="35"/>
        <v>0</v>
      </c>
      <c r="J368" s="60"/>
      <c r="K368" s="629"/>
      <c r="L368" s="24"/>
      <c r="M368" s="593"/>
      <c r="N368" s="598"/>
    </row>
    <row r="369" spans="1:14" ht="18" customHeight="1" thickBot="1" x14ac:dyDescent="0.4">
      <c r="A369" s="53" t="s">
        <v>341</v>
      </c>
      <c r="B369" s="34"/>
      <c r="C369" s="31">
        <f>SUM(E369:I369)</f>
        <v>24.68</v>
      </c>
      <c r="D369" s="630">
        <f t="shared" ref="D369:I369" si="36">SUM(D364:D367)</f>
        <v>28</v>
      </c>
      <c r="E369" s="31">
        <f t="shared" si="36"/>
        <v>17.463999999999999</v>
      </c>
      <c r="F369" s="31">
        <f t="shared" si="36"/>
        <v>0</v>
      </c>
      <c r="G369" s="31">
        <f t="shared" si="36"/>
        <v>0</v>
      </c>
      <c r="H369" s="31">
        <f t="shared" si="36"/>
        <v>7.2160000000000002</v>
      </c>
      <c r="I369" s="31">
        <f t="shared" si="36"/>
        <v>0</v>
      </c>
      <c r="J369" s="608"/>
      <c r="K369" s="609"/>
      <c r="L369" s="653"/>
      <c r="M369" s="21"/>
    </row>
    <row r="370" spans="1:14" ht="18" customHeight="1" x14ac:dyDescent="0.35">
      <c r="A370" s="544"/>
      <c r="B370" s="35"/>
      <c r="C370" s="22"/>
      <c r="D370" s="610"/>
      <c r="E370" s="22"/>
      <c r="F370" s="22"/>
      <c r="G370" s="22"/>
      <c r="H370" s="22"/>
      <c r="I370" s="22"/>
      <c r="J370" s="1"/>
      <c r="K370" s="21"/>
      <c r="L370" s="653"/>
      <c r="M370" s="21"/>
      <c r="N370" s="685">
        <f>SUM(E369:I369)</f>
        <v>24.68</v>
      </c>
    </row>
    <row r="371" spans="1:14" s="1" customFormat="1" x14ac:dyDescent="0.35">
      <c r="A371" s="1203" t="s">
        <v>610</v>
      </c>
      <c r="B371" s="1204"/>
      <c r="C371" s="1204"/>
      <c r="D371" s="1204"/>
      <c r="E371" s="1204"/>
      <c r="F371" s="1204"/>
      <c r="G371" s="1204"/>
      <c r="H371" s="1204"/>
      <c r="I371" s="1204"/>
      <c r="J371" s="1204"/>
      <c r="K371" s="1204"/>
      <c r="L371" s="1205"/>
      <c r="M371" s="584"/>
      <c r="N371" s="581"/>
    </row>
    <row r="372" spans="1:14" s="1" customFormat="1" ht="16" thickBot="1" x14ac:dyDescent="0.4">
      <c r="A372" s="585"/>
      <c r="B372" s="2"/>
      <c r="C372" s="5"/>
      <c r="D372" s="586"/>
      <c r="E372" s="5"/>
      <c r="F372" s="5"/>
      <c r="G372" s="5"/>
      <c r="H372" s="5"/>
      <c r="I372" s="5"/>
      <c r="J372" s="3"/>
      <c r="K372" s="21"/>
      <c r="L372" s="653"/>
      <c r="M372" s="21"/>
      <c r="N372" s="581"/>
    </row>
    <row r="373" spans="1:14" s="1" customFormat="1" x14ac:dyDescent="0.35">
      <c r="A373" s="1206" t="s">
        <v>302</v>
      </c>
      <c r="B373" s="1208" t="s">
        <v>28</v>
      </c>
      <c r="C373" s="1210" t="s">
        <v>343</v>
      </c>
      <c r="D373" s="613"/>
      <c r="E373" s="1212" t="s">
        <v>305</v>
      </c>
      <c r="F373" s="1212"/>
      <c r="G373" s="1212"/>
      <c r="H373" s="1212"/>
      <c r="I373" s="1212"/>
      <c r="J373" s="1208" t="s">
        <v>29</v>
      </c>
      <c r="K373" s="1213" t="s">
        <v>306</v>
      </c>
      <c r="L373" s="1215" t="str">
        <f>L362</f>
        <v>REMARKS</v>
      </c>
      <c r="M373" s="588"/>
      <c r="N373" s="581"/>
    </row>
    <row r="374" spans="1:14" s="1" customFormat="1" ht="21" customHeight="1" thickBot="1" x14ac:dyDescent="0.4">
      <c r="A374" s="1207"/>
      <c r="B374" s="1209"/>
      <c r="C374" s="1211"/>
      <c r="D374" s="614"/>
      <c r="E374" s="7" t="s">
        <v>308</v>
      </c>
      <c r="F374" s="7" t="s">
        <v>309</v>
      </c>
      <c r="G374" s="7" t="s">
        <v>310</v>
      </c>
      <c r="H374" s="7" t="s">
        <v>311</v>
      </c>
      <c r="I374" s="7" t="s">
        <v>312</v>
      </c>
      <c r="J374" s="1209"/>
      <c r="K374" s="1214"/>
      <c r="L374" s="1216"/>
      <c r="M374" s="588"/>
      <c r="N374" s="581"/>
    </row>
    <row r="375" spans="1:14" ht="18" customHeight="1" x14ac:dyDescent="0.35">
      <c r="A375" s="596">
        <v>171</v>
      </c>
      <c r="B375" s="28" t="s">
        <v>611</v>
      </c>
      <c r="C375" s="10">
        <f>SUM(E375:H375)</f>
        <v>8.7409999999999997</v>
      </c>
      <c r="D375" s="10"/>
      <c r="E375" s="10">
        <v>1.18</v>
      </c>
      <c r="F375" s="10">
        <v>0</v>
      </c>
      <c r="G375" s="10">
        <v>0</v>
      </c>
      <c r="H375" s="10">
        <v>7.5609999999999999</v>
      </c>
      <c r="I375" s="10">
        <v>0</v>
      </c>
      <c r="J375" s="103" t="s">
        <v>12</v>
      </c>
      <c r="K375" s="597"/>
      <c r="L375" s="28" t="str">
        <f>L356</f>
        <v>FOR VERIFICATION</v>
      </c>
    </row>
    <row r="376" spans="1:14" ht="18" customHeight="1" x14ac:dyDescent="0.35">
      <c r="A376" s="596"/>
      <c r="B376" s="28"/>
      <c r="C376" s="10"/>
      <c r="D376" s="615"/>
      <c r="E376" s="10"/>
      <c r="F376" s="10"/>
      <c r="G376" s="10"/>
      <c r="H376" s="10"/>
      <c r="I376" s="10"/>
      <c r="J376" s="102"/>
      <c r="K376" s="659"/>
      <c r="L376" s="653"/>
      <c r="M376" s="21"/>
    </row>
    <row r="377" spans="1:14" x14ac:dyDescent="0.35">
      <c r="A377" s="658" t="s">
        <v>341</v>
      </c>
      <c r="B377" s="81"/>
      <c r="C377" s="82">
        <f t="shared" ref="C377:I377" si="37">+C375</f>
        <v>8.7409999999999997</v>
      </c>
      <c r="D377" s="708"/>
      <c r="E377" s="82">
        <f t="shared" si="37"/>
        <v>1.18</v>
      </c>
      <c r="F377" s="82">
        <f t="shared" si="37"/>
        <v>0</v>
      </c>
      <c r="G377" s="82">
        <f t="shared" si="37"/>
        <v>0</v>
      </c>
      <c r="H377" s="82">
        <f t="shared" si="37"/>
        <v>7.5609999999999999</v>
      </c>
      <c r="I377" s="82">
        <f t="shared" si="37"/>
        <v>0</v>
      </c>
      <c r="J377" s="102"/>
      <c r="K377" s="659"/>
      <c r="L377" s="653"/>
      <c r="M377" s="21"/>
    </row>
    <row r="378" spans="1:14" ht="18" customHeight="1" x14ac:dyDescent="0.35">
      <c r="A378" s="596"/>
      <c r="B378" s="84"/>
      <c r="C378" s="11"/>
      <c r="D378" s="656"/>
      <c r="E378" s="11"/>
      <c r="F378" s="11"/>
      <c r="G378" s="11"/>
      <c r="H378" s="11"/>
      <c r="I378" s="11"/>
      <c r="J378" s="102"/>
      <c r="K378" s="709"/>
      <c r="L378" s="653"/>
      <c r="M378" s="21"/>
    </row>
    <row r="379" spans="1:14" ht="18" customHeight="1" thickBot="1" x14ac:dyDescent="0.4">
      <c r="A379" s="1199" t="s">
        <v>612</v>
      </c>
      <c r="B379" s="1200"/>
      <c r="C379" s="19">
        <f>C377+C369+C358+C343+C323+C314+C296+C281+C263+C242+C230+C215+C200</f>
        <v>755.56</v>
      </c>
      <c r="D379" s="607"/>
      <c r="E379" s="19">
        <f>+E377+E369+E358+E343+E323+E314+E296+E281+E263+E242+E230+E215+E200</f>
        <v>261.2</v>
      </c>
      <c r="F379" s="19">
        <f>+F377+F369+F358+F343+F323+F314+F296+F281+F263+F242+F230+F215+F200</f>
        <v>4.74</v>
      </c>
      <c r="G379" s="19">
        <f>+G377+G369+G358+G343+G323+G314+G296+G281+G263+G242+G230+G215+G200</f>
        <v>9.84</v>
      </c>
      <c r="H379" s="19">
        <f>+H377+H369+H358+H343+H323+H314+H296+H281+H263+H242+H230+H215+H200</f>
        <v>474.34999999999991</v>
      </c>
      <c r="I379" s="19">
        <f>+I377+I369+I358+I343+I323+I314+I296+I281+I263+I242+I230+I215+I200</f>
        <v>5.43</v>
      </c>
      <c r="J379" s="608"/>
      <c r="K379" s="710"/>
      <c r="L379" s="653"/>
      <c r="M379" s="21"/>
    </row>
    <row r="380" spans="1:14" ht="16" thickBot="1" x14ac:dyDescent="0.4">
      <c r="A380" s="1201" t="s">
        <v>204</v>
      </c>
      <c r="B380" s="1202"/>
      <c r="C380" s="87">
        <f>C379+C176</f>
        <v>1224.1799999999998</v>
      </c>
      <c r="D380" s="711"/>
      <c r="E380" s="87">
        <f>+E379+E176</f>
        <v>412.161</v>
      </c>
      <c r="F380" s="87">
        <f>+F379+F176</f>
        <v>4.74</v>
      </c>
      <c r="G380" s="87">
        <f>+G379+G176</f>
        <v>15.64</v>
      </c>
      <c r="H380" s="87">
        <f>+H379+H176</f>
        <v>786.20899999999983</v>
      </c>
      <c r="I380" s="87">
        <f>+I379+I176</f>
        <v>5.43</v>
      </c>
      <c r="J380" s="712"/>
      <c r="K380" s="713"/>
      <c r="L380" s="714"/>
      <c r="M380" s="715"/>
    </row>
    <row r="381" spans="1:14" ht="15" customHeight="1" x14ac:dyDescent="0.35">
      <c r="A381" s="716"/>
      <c r="B381" s="716"/>
      <c r="C381" s="22"/>
      <c r="D381" s="610"/>
      <c r="E381" s="22"/>
      <c r="F381" s="22"/>
      <c r="G381" s="22"/>
      <c r="H381" s="22"/>
      <c r="I381" s="22"/>
      <c r="J381" s="1"/>
      <c r="K381" s="21"/>
      <c r="L381" s="21"/>
      <c r="M381" s="21"/>
    </row>
    <row r="382" spans="1:14" ht="15" customHeight="1" x14ac:dyDescent="0.35">
      <c r="A382" s="3"/>
      <c r="B382" s="716" t="s">
        <v>841</v>
      </c>
      <c r="C382" s="22">
        <f>SUM(E380:I380)</f>
        <v>1224.1799999999998</v>
      </c>
      <c r="D382" s="610"/>
      <c r="E382" s="22"/>
      <c r="F382" s="22"/>
      <c r="G382" s="22"/>
      <c r="H382" s="22"/>
      <c r="I382" s="22"/>
      <c r="J382" s="1"/>
      <c r="K382" s="21"/>
      <c r="L382" s="21"/>
      <c r="M382" s="21"/>
    </row>
    <row r="383" spans="1:14" ht="15" customHeight="1" x14ac:dyDescent="0.35">
      <c r="A383" s="3"/>
      <c r="B383" s="716"/>
      <c r="C383" s="22"/>
      <c r="D383" s="610"/>
      <c r="E383" s="22"/>
      <c r="F383" s="22"/>
      <c r="G383" s="22"/>
      <c r="H383" s="22"/>
      <c r="I383" s="22"/>
      <c r="J383" s="1"/>
      <c r="K383" s="21"/>
      <c r="L383" s="21"/>
      <c r="M383" s="21"/>
    </row>
    <row r="384" spans="1:14" ht="15" customHeight="1" x14ac:dyDescent="0.35">
      <c r="A384" s="3"/>
      <c r="B384" s="716"/>
      <c r="C384" s="22"/>
      <c r="D384" s="610"/>
      <c r="E384" s="22"/>
      <c r="F384" s="22"/>
      <c r="G384" s="22"/>
      <c r="H384" s="22"/>
      <c r="I384" s="22"/>
      <c r="J384" s="1"/>
      <c r="K384" s="21"/>
      <c r="L384" s="21"/>
      <c r="M384" s="21"/>
    </row>
    <row r="385" spans="1:14" ht="15" customHeight="1" x14ac:dyDescent="0.35">
      <c r="A385" s="3"/>
      <c r="B385" s="717" t="s">
        <v>154</v>
      </c>
      <c r="C385" s="22"/>
      <c r="D385" s="610"/>
      <c r="E385" s="22"/>
      <c r="F385" s="22"/>
      <c r="G385" s="22"/>
      <c r="H385" s="22"/>
      <c r="I385" s="22"/>
      <c r="J385" s="1"/>
      <c r="K385" s="21"/>
      <c r="L385" s="21"/>
      <c r="M385" s="21"/>
    </row>
    <row r="386" spans="1:14" ht="15" customHeight="1" x14ac:dyDescent="0.35">
      <c r="A386" s="3"/>
      <c r="B386" s="583" t="s">
        <v>155</v>
      </c>
      <c r="C386" s="22"/>
      <c r="D386" s="610"/>
      <c r="E386" s="22"/>
      <c r="F386" s="22"/>
      <c r="G386" s="22"/>
      <c r="H386" s="22"/>
      <c r="I386" s="22"/>
      <c r="J386" s="1"/>
      <c r="K386" s="21"/>
      <c r="L386" s="21"/>
      <c r="M386" s="21"/>
    </row>
    <row r="387" spans="1:14" ht="15" customHeight="1" x14ac:dyDescent="0.35">
      <c r="A387" s="3"/>
      <c r="B387" s="583" t="s">
        <v>842</v>
      </c>
      <c r="C387" s="22"/>
      <c r="D387" s="610"/>
      <c r="E387" s="22"/>
      <c r="F387" s="22"/>
      <c r="G387" s="22"/>
      <c r="H387" s="22"/>
      <c r="I387" s="22"/>
      <c r="J387" s="1"/>
      <c r="K387" s="21"/>
      <c r="L387" s="21"/>
      <c r="M387" s="21"/>
    </row>
    <row r="388" spans="1:14" ht="38.25" customHeight="1" thickBot="1" x14ac:dyDescent="0.4">
      <c r="A388" s="718"/>
      <c r="B388" s="718"/>
      <c r="C388" s="719"/>
      <c r="D388" s="720"/>
      <c r="E388" s="719"/>
      <c r="F388" s="719"/>
      <c r="G388" s="719"/>
      <c r="H388" s="719"/>
      <c r="I388" s="719"/>
      <c r="J388" s="721"/>
      <c r="K388" s="715"/>
      <c r="L388" s="715"/>
      <c r="M388" s="715"/>
    </row>
    <row r="389" spans="1:14" x14ac:dyDescent="0.35">
      <c r="B389" s="722" t="s">
        <v>10</v>
      </c>
      <c r="C389" s="723">
        <f>C12+C15+C17+C18+C19+C20+C21+C22+C27+C41+C44+C48+C50+C51+C52+C76+C98+C99+C100+C102+C117+C118+C123+C125+C126+C143+C151+C152+C153+C172+C182+C183+C189+C192+C206+C207+C209+C226+C228+C252+C255+C290+C293+C303+C304+C305+C306+C312+C329+C333+C338+C339+C341+C352+C161</f>
        <v>287.98699999999997</v>
      </c>
      <c r="D389" s="724">
        <v>285.47999999999996</v>
      </c>
      <c r="E389" s="725"/>
      <c r="F389" s="726"/>
      <c r="G389" s="727"/>
    </row>
    <row r="390" spans="1:14" x14ac:dyDescent="0.35">
      <c r="B390" s="728" t="s">
        <v>12</v>
      </c>
      <c r="C390" s="729">
        <f>C10+C11+C13+C16+C23+C24+C29+C30+C31+C32+C42+C43+C45+C46+C47+C49+C55+C56+C57+C58+C59+C60+C61+C64+C67+C74+C75+C77+C78+C79+C80+C88+C96+C101+C104+C112+C113+C114+C115+C116+C119+C120+C124+C127+C128+C129+C130+C131+C132+C133+C136+C137+C138+C139++C140+C142+C159+C173+C186+C188+C190+C193+C194+C195+C196+C197+C198+C210+C212+C213+C221+C222+C223+C224+C227+C239+C237+C248+C249+C250+C251+C256+C257+C260+C261+C270+C275+C276+C287+C288+C291+C292+C311+C320+C321+C331+C332+C334+C337+C351+C354+C355+C364+C365+C366+C367+C375</f>
        <v>630.22900000000004</v>
      </c>
      <c r="D390" s="724">
        <v>595.79900000000009</v>
      </c>
      <c r="E390" s="730">
        <f>C389+C390</f>
        <v>918.21600000000001</v>
      </c>
      <c r="F390" s="731">
        <f>'[26]GOOD TO FAIR'!C315</f>
        <v>918.02600000000007</v>
      </c>
      <c r="G390" s="729">
        <f>F390-E390</f>
        <v>-0.18999999999994088</v>
      </c>
      <c r="H390" s="38"/>
    </row>
    <row r="391" spans="1:14" x14ac:dyDescent="0.35">
      <c r="B391" s="728" t="s">
        <v>33</v>
      </c>
      <c r="C391" s="729">
        <f>C14+C25+C26+C28+C54+C62+C63+C95+C97+C103+C121+C122+C134+C135+C141+C157+C158+C164+C184+C185+C187+C208+C211+C238+C240+C254+C258+C259+C269+C271+C272+C273+C274+C277+C278+C289+C294+C302+C307+C308+C309+C310+C330+C335+C336+C340+C349+C350+C353</f>
        <v>240.79399999999995</v>
      </c>
      <c r="D391" s="724">
        <v>260.23399999999992</v>
      </c>
      <c r="E391" s="732"/>
      <c r="F391" s="731"/>
      <c r="G391" s="733"/>
    </row>
    <row r="392" spans="1:14" ht="16" thickBot="1" x14ac:dyDescent="0.4">
      <c r="B392" s="734" t="s">
        <v>41</v>
      </c>
      <c r="C392" s="735">
        <f>C33+C53+C65+C66+C154+C155+C156+C160+C162+C163+C191+C225+C236+C253+C279+C356</f>
        <v>65.17</v>
      </c>
      <c r="D392" s="724">
        <v>72.97</v>
      </c>
      <c r="E392" s="736">
        <f>C389+C390+C391+C392</f>
        <v>1224.18</v>
      </c>
      <c r="F392" s="737">
        <f>C380</f>
        <v>1224.1799999999998</v>
      </c>
      <c r="G392" s="735">
        <f>F392-E392</f>
        <v>0</v>
      </c>
    </row>
    <row r="393" spans="1:14" x14ac:dyDescent="0.35">
      <c r="D393" s="724">
        <f>SUBTOTAL(9,D389:D392)</f>
        <v>1214.4829999999999</v>
      </c>
    </row>
    <row r="394" spans="1:14" ht="18" customHeight="1" thickBot="1" x14ac:dyDescent="0.4"/>
    <row r="395" spans="1:14" ht="18" customHeight="1" thickBot="1" x14ac:dyDescent="0.4">
      <c r="A395" s="738" t="s">
        <v>204</v>
      </c>
      <c r="B395" s="739"/>
      <c r="C395" s="740">
        <v>1216.4829999999999</v>
      </c>
      <c r="D395" s="740"/>
      <c r="E395" s="741">
        <v>389.78899999999999</v>
      </c>
      <c r="F395" s="741">
        <v>4.74</v>
      </c>
      <c r="G395" s="741">
        <v>6.7200000000000006</v>
      </c>
      <c r="H395" s="741">
        <v>809.86399999999981</v>
      </c>
      <c r="I395" s="742">
        <v>5.43</v>
      </c>
    </row>
    <row r="396" spans="1:14" ht="18" customHeight="1" x14ac:dyDescent="0.35">
      <c r="C396" s="38">
        <f>E392-C395</f>
        <v>7.6970000000001164</v>
      </c>
    </row>
    <row r="397" spans="1:14" ht="18" customHeight="1" x14ac:dyDescent="0.35">
      <c r="B397" s="37"/>
      <c r="C397" s="38"/>
      <c r="D397" s="645"/>
    </row>
    <row r="398" spans="1:14" ht="18" customHeight="1" thickBot="1" x14ac:dyDescent="0.4">
      <c r="C398" s="743">
        <f>C375+C367+C366+C365+C364+C355+C354+C353+C352+C351+C350+C349+C341+C340+C339+C337+C333+C332+C331+C330+C329+C321+C320+C312+C311+C304+C303+C293+C290+C288+C287+C275+C273+C271+C270+C269+C261+C260+C256+C255+C251+C250+C249+C248+C239+C237+C228+C227+C226+C224+C223+C221+C213+C210+C209+C207+C206+C197+C196+C195+C194+C193+C192+C189+C186+C183+C182+C173+C161+C158+C157+C153+C152+C151+C143+C141+C140+C139+C138+C137+C136+C133+C132+C131+C130+C129+C128+C127+C126+C125+C124+C123+C120+C119+C118+C117+C116+C115+C114+C113+C112+C102+C101+C100+C99+C98+C88+C79+C78+C77+C76+C75+C74+C67+C64+C61+C60+C59+C58+C57+C56+C52+C51+C50+C49+C48+C47+C46+C45+C44+C43+C42+C32+C31+C30+C29+C27+C26+C24+C23+C22+C21+C20+C19+C17+C16+C13+C11+C10</f>
        <v>822.43999999999983</v>
      </c>
      <c r="D398" s="744"/>
      <c r="E398" s="743">
        <f>E375+E367+E366+E365+E364+E355+E354+E353+E352+E351+E350+E349+E341+E340+E339+E337+E333+E332+E331+E330+E329+E321+E320+E312+E311+E304+E303+E293+E290+E288+E287+E275+E273+E271+E270+E269+E261+E260+E256+E255+E251+E250+E249+E248+E239+E237+E228+E227+E226+E224+E223+E221+E213+E210+E209+E207+E206+E197+E196+E195+E194+E193+E192+E189+E186+E183+E182+E173+E161+E158+E157+E153+E152+E151+E143+E141+E140+E139+E138+E137+E136+E133+E132+E131+E130+E129+E128+E127+E126+E125+E124+E123+E120+E119+E118+E117+E116+E115+E114+E113+E112+E102+E101+E100+E99+E98+E88+E79+E78+E77+E76+E75+E74+E67+E64+E61+E60+E59+E58+E57+E56+E52+E51+E50+E49+E48+E47+E46+E45+E44+E43+E42+E32+E31+E30+E29+E27+E26+E24+E23+E22+E21+E20+E19+E17+E16+E13+E11+E10</f>
        <v>331.09100000000007</v>
      </c>
      <c r="F398" s="743">
        <f>F375+F367+F366+F365+F364+F355+F354+F353+F352+F351+F350+F349+F341+F340+F339+F337+F333+F332+F331+F330+F329+F321+F320+F312+F311+F304+F303+F293+F290+F288+F287+F275+F273+F271+F270+F269+F261+F260+F256+F255+F251+F250+F249+F248+F239+F237+F228+F227+F226+F224+F223+F221+F213+F210+F209+F207+F206+F197+F196+F195+F194+F193+F192+F189+F186+F183+F182+F173+F161+F158+F157+F153+F152+F151+F143+F141+F140+F139+F138+F137+F136+F133+F132+F131+F130+F129+F128+F127+F126+F125+F124+F123+F120+F119+F118+F117+F116+F115+F114+F113+F112+F102+F101+F100+F99+F98+F88+F79+F78+F77+F76+F75+F74+F67+F64+F61+F60+F59+F58+F57+F56+F52+F51+F50+F49+F48+F47+F46+F45+F44+F43+F42+F32+F31+F30+F29+F27+F26+F24+F23+F22+F21+F20+F19+F17+F16+F13+F11+F10</f>
        <v>2.19</v>
      </c>
      <c r="G398" s="743">
        <f>G375+G367+G366+G365+G364+G355+G354+G353+G352+G351+G350+G349+G341+G340+G339+G337+G333+G332+G331+G330+G329+G321+G320+G312+G311+G304+G303+G293+G290+G288+G287+G275+G273+G271+G270+G269+G261+G260+G256+G255+G251+G250+G249+G248+G239+G237+G228+G227+G226+G224+G223+G221+G213+G210+G209+G207+G206+G197+G196+G195+G194+G193+G192+G189+G186+G183+G182+G173+G161+G158+G157+G153+G152+G151+G143+G141+G140+G139+G138+G137+G136+G133+G132+G131+G130+G129+G128+G127+G126+G125+G124+G123+G120+G119+G118+G117+G116+G115+G114+G113+G112+G102+G101+G100+G99+G98+G88+G79+G78+G77+G76+G75+G74+G67+G64+G61+G60+G59+G58+G57+G56+G52+G51+G50+G49+G48+G47+G46+G45+G44+G43+G42+G32+G31+G30+G29+G27+G26+G24+G23+G22+G21+G20+G19+G17+G16+G13+G11+G10</f>
        <v>1.72</v>
      </c>
      <c r="H398" s="743">
        <f>H375+H367+H366+H365+H364+H355+H354+H353+H352+H351+H350+H349+H341+H340+H339+H337+H333+H332+H331+H330+H329+H321+H320+H312+H311+H304+H303+H293+H290+H288+H287+H275+H273+H271+H270+H269+H261+H260+H256+H255+H251+H250+H249+H248+H239+H237+H228+H227+H226+H224+H223+H221+H213+H210+H209+H207+H206+H197+H196+H195+H194+H193+H192+H189+H186+H183+H182+H173+H161+H158+H157+H153+H152+H151+H143+H141+H140+H139+H138+H137+H136+H133+H132+H131+H130+H129+H128+H127+H126+H125+H124+H123+H120+H119+H118+H117+H116+H115+H114+H113+H112+H102+H101+H100+H99+H98+H88+H79+H78+H77+H76+H75+H74+H67+H64+H61+H60+H59+H58+H57+H56+H52+H51+H50+H49+H48+H47+H46+H45+H44+H43+H42+H32+H31+H30+H29+H27+H26+H24+H23+H22+H21+H20+H19+H17+H16+H13+H11+H10</f>
        <v>487.43900000000002</v>
      </c>
      <c r="I398" s="743">
        <f>I375+I367+I366+I365+I364+I355+I354+I353+I352+I351+I350+I349+I341+I340+I339+I337+I333+I332+I331+I330+I329+I321+I320+I312+I311+I304+I303+I293+I290+I288+I287+I275+I273+I271+I270+I269+I261+I260+I256+I255+I251+I250+I249+I248+I239+I237+I228+I227+I226+I224+I223+I221+I213+I210+I209+I207+I206+I197+I196+I195+I194+I193+I192+I189+I186+I183+I182+I173+I161+I158+I157+I153+I152+I151+I143+I141+I140+I139+I138+I137+I136+I133+I132+I131+I130+I129+I128+I127+I126+I125+I124+I123+I120+I119+I118+I117+I116+I115+I114+I113+I112+I102+I101+I100+I99+I98+I88+I79+I78+I77+I76+I75+I74+I67+I64+I61+I60+I59+I58+I57+I56+I52+I51+I50+I49+I48+I47+I46+I45+I44+I43+I42+I32+I31+I30+I29+I27+I26+I24+I23+I22+I21+I20+I19+I17+I16+I13+I11+I10</f>
        <v>0</v>
      </c>
      <c r="K398" s="37"/>
      <c r="L398" s="37"/>
      <c r="M398" s="37"/>
      <c r="N398" s="685">
        <f>E380+F380+G380+H380+I380</f>
        <v>1224.1799999999998</v>
      </c>
    </row>
    <row r="399" spans="1:14" ht="18" customHeight="1" thickTop="1" x14ac:dyDescent="0.35">
      <c r="B399" s="37">
        <f>E392-C395</f>
        <v>7.6970000000001164</v>
      </c>
      <c r="H399" s="38"/>
    </row>
    <row r="400" spans="1:14" ht="18" customHeight="1" x14ac:dyDescent="0.35">
      <c r="C400" s="38"/>
      <c r="D400" s="645"/>
    </row>
    <row r="401" spans="2:14" s="95" customFormat="1" ht="18" customHeight="1" x14ac:dyDescent="0.35">
      <c r="B401" s="2"/>
      <c r="C401" s="3"/>
      <c r="D401" s="582"/>
      <c r="E401" s="3"/>
      <c r="F401" s="3"/>
      <c r="G401" s="3"/>
      <c r="H401" s="3"/>
      <c r="I401" s="3"/>
      <c r="J401" s="3"/>
      <c r="K401" s="2"/>
      <c r="L401" s="2"/>
      <c r="M401" s="2"/>
      <c r="N401" s="745"/>
    </row>
    <row r="402" spans="2:14" s="95" customFormat="1" ht="18" customHeight="1" x14ac:dyDescent="0.35">
      <c r="B402" s="2"/>
      <c r="C402" s="3"/>
      <c r="D402" s="582"/>
      <c r="E402" s="3"/>
      <c r="F402" s="3"/>
      <c r="G402" s="3"/>
      <c r="H402" s="3"/>
      <c r="I402" s="3"/>
      <c r="J402" s="3"/>
      <c r="K402" s="2"/>
      <c r="L402" s="2"/>
      <c r="M402" s="2"/>
      <c r="N402" s="745"/>
    </row>
    <row r="403" spans="2:14" s="95" customFormat="1" ht="18" customHeight="1" x14ac:dyDescent="0.35">
      <c r="B403" s="2"/>
      <c r="C403" s="3"/>
      <c r="D403" s="582"/>
      <c r="E403" s="3"/>
      <c r="F403" s="3"/>
      <c r="G403" s="3"/>
      <c r="H403" s="3"/>
      <c r="I403" s="3"/>
      <c r="J403" s="3"/>
      <c r="K403" s="2"/>
      <c r="L403" s="2"/>
      <c r="M403" s="2"/>
      <c r="N403" s="745"/>
    </row>
    <row r="404" spans="2:14" s="95" customFormat="1" ht="18" customHeight="1" x14ac:dyDescent="0.35">
      <c r="B404" s="2"/>
      <c r="C404" s="3"/>
      <c r="D404" s="582"/>
      <c r="E404" s="3"/>
      <c r="F404" s="3"/>
      <c r="G404" s="3"/>
      <c r="H404" s="3"/>
      <c r="I404" s="3"/>
      <c r="J404" s="3"/>
      <c r="K404" s="2"/>
      <c r="L404" s="2"/>
      <c r="M404" s="2"/>
      <c r="N404" s="745"/>
    </row>
    <row r="405" spans="2:14" s="95" customFormat="1" ht="18" customHeight="1" x14ac:dyDescent="0.35">
      <c r="B405" s="2"/>
      <c r="C405" s="3"/>
      <c r="D405" s="582"/>
      <c r="E405" s="3"/>
      <c r="F405" s="3"/>
      <c r="G405" s="3"/>
      <c r="H405" s="3"/>
      <c r="I405" s="3"/>
      <c r="J405" s="3"/>
      <c r="K405" s="2"/>
      <c r="L405" s="2"/>
      <c r="M405" s="2"/>
      <c r="N405" s="745"/>
    </row>
    <row r="406" spans="2:14" s="95" customFormat="1" ht="18" customHeight="1" x14ac:dyDescent="0.35">
      <c r="B406" s="2"/>
      <c r="C406" s="3"/>
      <c r="D406" s="582"/>
      <c r="E406" s="3"/>
      <c r="F406" s="3"/>
      <c r="G406" s="3"/>
      <c r="H406" s="3"/>
      <c r="I406" s="3"/>
      <c r="J406" s="3"/>
      <c r="K406" s="2"/>
      <c r="L406" s="2"/>
      <c r="M406" s="2"/>
      <c r="N406" s="745"/>
    </row>
    <row r="407" spans="2:14" s="95" customFormat="1" ht="18" customHeight="1" x14ac:dyDescent="0.35">
      <c r="B407" s="2"/>
      <c r="C407" s="3"/>
      <c r="D407" s="582"/>
      <c r="E407" s="3"/>
      <c r="F407" s="3"/>
      <c r="G407" s="3"/>
      <c r="H407" s="3"/>
      <c r="I407" s="3"/>
      <c r="J407" s="3"/>
      <c r="K407" s="2"/>
      <c r="L407" s="2"/>
      <c r="M407" s="2"/>
      <c r="N407" s="745"/>
    </row>
    <row r="408" spans="2:14" s="95" customFormat="1" ht="18" customHeight="1" x14ac:dyDescent="0.35">
      <c r="B408" s="2"/>
      <c r="C408" s="3"/>
      <c r="D408" s="582"/>
      <c r="E408" s="3"/>
      <c r="F408" s="3"/>
      <c r="G408" s="3"/>
      <c r="H408" s="3"/>
      <c r="I408" s="3"/>
      <c r="J408" s="3"/>
      <c r="K408" s="2"/>
      <c r="L408" s="2"/>
      <c r="M408" s="2"/>
      <c r="N408" s="745"/>
    </row>
    <row r="409" spans="2:14" s="95" customFormat="1" ht="18" customHeight="1" x14ac:dyDescent="0.35">
      <c r="B409" s="2"/>
      <c r="C409" s="3"/>
      <c r="D409" s="582"/>
      <c r="E409" s="3"/>
      <c r="F409" s="3"/>
      <c r="G409" s="3"/>
      <c r="H409" s="3"/>
      <c r="I409" s="3"/>
      <c r="J409" s="3"/>
      <c r="K409" s="2"/>
      <c r="L409" s="2"/>
      <c r="M409" s="2"/>
      <c r="N409" s="745"/>
    </row>
    <row r="410" spans="2:14" s="95" customFormat="1" ht="18" customHeight="1" x14ac:dyDescent="0.35">
      <c r="B410" s="2"/>
      <c r="C410" s="3"/>
      <c r="D410" s="582"/>
      <c r="E410" s="3"/>
      <c r="F410" s="3"/>
      <c r="G410" s="3"/>
      <c r="H410" s="3"/>
      <c r="I410" s="3"/>
      <c r="J410" s="3"/>
      <c r="K410" s="2"/>
      <c r="L410" s="2"/>
      <c r="M410" s="2"/>
      <c r="N410" s="745"/>
    </row>
    <row r="411" spans="2:14" s="95" customFormat="1" ht="18" customHeight="1" x14ac:dyDescent="0.35">
      <c r="B411" s="2"/>
      <c r="C411" s="3"/>
      <c r="D411" s="582"/>
      <c r="E411" s="3"/>
      <c r="F411" s="3"/>
      <c r="G411" s="3"/>
      <c r="H411" s="3"/>
      <c r="I411" s="3"/>
      <c r="J411" s="3"/>
      <c r="K411" s="2"/>
      <c r="L411" s="2"/>
      <c r="M411" s="2"/>
      <c r="N411" s="745"/>
    </row>
    <row r="412" spans="2:14" s="95" customFormat="1" ht="18" customHeight="1" x14ac:dyDescent="0.35">
      <c r="B412" s="2"/>
      <c r="C412" s="3"/>
      <c r="D412" s="582"/>
      <c r="E412" s="3"/>
      <c r="F412" s="3"/>
      <c r="G412" s="3"/>
      <c r="H412" s="3"/>
      <c r="I412" s="3"/>
      <c r="J412" s="3"/>
      <c r="K412" s="2"/>
      <c r="L412" s="2"/>
      <c r="M412" s="2"/>
      <c r="N412" s="745"/>
    </row>
    <row r="413" spans="2:14" s="95" customFormat="1" ht="18" customHeight="1" x14ac:dyDescent="0.35">
      <c r="B413" s="2"/>
      <c r="C413" s="3"/>
      <c r="D413" s="582"/>
      <c r="E413" s="3"/>
      <c r="F413" s="3"/>
      <c r="G413" s="3"/>
      <c r="H413" s="3"/>
      <c r="I413" s="3"/>
      <c r="J413" s="3"/>
      <c r="K413" s="2"/>
      <c r="L413" s="2"/>
      <c r="M413" s="2"/>
      <c r="N413" s="745"/>
    </row>
    <row r="414" spans="2:14" s="95" customFormat="1" ht="18" customHeight="1" x14ac:dyDescent="0.35">
      <c r="B414" s="2"/>
      <c r="C414" s="3"/>
      <c r="D414" s="582"/>
      <c r="E414" s="3"/>
      <c r="F414" s="3"/>
      <c r="G414" s="3"/>
      <c r="H414" s="3"/>
      <c r="I414" s="3"/>
      <c r="J414" s="3"/>
      <c r="K414" s="2"/>
      <c r="L414" s="2"/>
      <c r="M414" s="2"/>
      <c r="N414" s="745"/>
    </row>
    <row r="415" spans="2:14" s="95" customFormat="1" ht="18" customHeight="1" x14ac:dyDescent="0.35">
      <c r="B415" s="2"/>
      <c r="C415" s="3"/>
      <c r="D415" s="582"/>
      <c r="E415" s="3"/>
      <c r="F415" s="3"/>
      <c r="G415" s="3"/>
      <c r="H415" s="3"/>
      <c r="I415" s="3"/>
      <c r="J415" s="3"/>
      <c r="K415" s="2"/>
      <c r="L415" s="2"/>
      <c r="M415" s="2"/>
      <c r="N415" s="745"/>
    </row>
    <row r="416" spans="2:14" s="95" customFormat="1" ht="18" customHeight="1" x14ac:dyDescent="0.35">
      <c r="B416" s="2"/>
      <c r="C416" s="3"/>
      <c r="D416" s="582"/>
      <c r="E416" s="3"/>
      <c r="F416" s="3"/>
      <c r="G416" s="3"/>
      <c r="H416" s="3"/>
      <c r="I416" s="3"/>
      <c r="J416" s="3"/>
      <c r="K416" s="2"/>
      <c r="L416" s="2"/>
      <c r="M416" s="2"/>
      <c r="N416" s="745"/>
    </row>
    <row r="417" spans="2:14" s="95" customFormat="1" ht="18" customHeight="1" x14ac:dyDescent="0.35">
      <c r="B417" s="2"/>
      <c r="C417" s="3"/>
      <c r="D417" s="582"/>
      <c r="E417" s="3"/>
      <c r="F417" s="3"/>
      <c r="G417" s="3"/>
      <c r="H417" s="3"/>
      <c r="I417" s="3"/>
      <c r="J417" s="3"/>
      <c r="K417" s="2"/>
      <c r="L417" s="2"/>
      <c r="M417" s="2"/>
      <c r="N417" s="745"/>
    </row>
    <row r="418" spans="2:14" s="95" customFormat="1" ht="18" customHeight="1" x14ac:dyDescent="0.35">
      <c r="B418" s="2"/>
      <c r="C418" s="3"/>
      <c r="D418" s="582"/>
      <c r="E418" s="3"/>
      <c r="F418" s="3"/>
      <c r="G418" s="3"/>
      <c r="H418" s="3"/>
      <c r="I418" s="3"/>
      <c r="J418" s="3"/>
      <c r="K418" s="2"/>
      <c r="L418" s="2"/>
      <c r="M418" s="2"/>
      <c r="N418" s="745"/>
    </row>
    <row r="419" spans="2:14" s="95" customFormat="1" ht="18" customHeight="1" x14ac:dyDescent="0.35">
      <c r="B419" s="2"/>
      <c r="C419" s="3"/>
      <c r="D419" s="582"/>
      <c r="E419" s="3"/>
      <c r="F419" s="3"/>
      <c r="G419" s="3"/>
      <c r="H419" s="3"/>
      <c r="I419" s="3"/>
      <c r="J419" s="3"/>
      <c r="K419" s="2"/>
      <c r="L419" s="2"/>
      <c r="M419" s="2"/>
      <c r="N419" s="745"/>
    </row>
    <row r="420" spans="2:14" s="95" customFormat="1" ht="18" customHeight="1" x14ac:dyDescent="0.35">
      <c r="B420" s="2"/>
      <c r="C420" s="3"/>
      <c r="D420" s="582"/>
      <c r="E420" s="3"/>
      <c r="F420" s="3"/>
      <c r="G420" s="3"/>
      <c r="H420" s="3"/>
      <c r="I420" s="3"/>
      <c r="J420" s="3"/>
      <c r="K420" s="2"/>
      <c r="L420" s="2"/>
      <c r="M420" s="2"/>
      <c r="N420" s="745"/>
    </row>
    <row r="421" spans="2:14" s="95" customFormat="1" ht="18" customHeight="1" x14ac:dyDescent="0.35">
      <c r="B421" s="2"/>
      <c r="C421" s="3"/>
      <c r="D421" s="582"/>
      <c r="E421" s="3"/>
      <c r="F421" s="3"/>
      <c r="G421" s="3"/>
      <c r="H421" s="3"/>
      <c r="I421" s="3"/>
      <c r="J421" s="3"/>
      <c r="K421" s="2"/>
      <c r="L421" s="2"/>
      <c r="M421" s="2"/>
      <c r="N421" s="745"/>
    </row>
    <row r="422" spans="2:14" s="95" customFormat="1" ht="18" customHeight="1" x14ac:dyDescent="0.35">
      <c r="B422" s="2"/>
      <c r="C422" s="3"/>
      <c r="D422" s="582"/>
      <c r="E422" s="3"/>
      <c r="F422" s="3"/>
      <c r="G422" s="3"/>
      <c r="H422" s="3"/>
      <c r="I422" s="3"/>
      <c r="J422" s="3"/>
      <c r="K422" s="2"/>
      <c r="L422" s="2"/>
      <c r="M422" s="2"/>
      <c r="N422" s="745"/>
    </row>
    <row r="423" spans="2:14" s="95" customFormat="1" ht="18" customHeight="1" x14ac:dyDescent="0.35">
      <c r="B423" s="2"/>
      <c r="C423" s="3"/>
      <c r="D423" s="582"/>
      <c r="E423" s="3"/>
      <c r="F423" s="3"/>
      <c r="G423" s="3"/>
      <c r="H423" s="3"/>
      <c r="I423" s="3"/>
      <c r="J423" s="3"/>
      <c r="K423" s="2"/>
      <c r="L423" s="2"/>
      <c r="M423" s="2"/>
      <c r="N423" s="745"/>
    </row>
    <row r="424" spans="2:14" s="95" customFormat="1" ht="18" customHeight="1" x14ac:dyDescent="0.35">
      <c r="B424" s="2"/>
      <c r="C424" s="3"/>
      <c r="D424" s="582"/>
      <c r="E424" s="3"/>
      <c r="F424" s="3"/>
      <c r="G424" s="3"/>
      <c r="H424" s="3"/>
      <c r="I424" s="3"/>
      <c r="J424" s="3"/>
      <c r="K424" s="2"/>
      <c r="L424" s="2"/>
      <c r="M424" s="2"/>
      <c r="N424" s="745"/>
    </row>
    <row r="425" spans="2:14" s="95" customFormat="1" ht="18" customHeight="1" x14ac:dyDescent="0.35">
      <c r="B425" s="2"/>
      <c r="C425" s="3"/>
      <c r="D425" s="582"/>
      <c r="E425" s="3"/>
      <c r="F425" s="3"/>
      <c r="G425" s="3"/>
      <c r="H425" s="3"/>
      <c r="I425" s="3"/>
      <c r="J425" s="3"/>
      <c r="K425" s="2"/>
      <c r="L425" s="2"/>
      <c r="M425" s="2"/>
      <c r="N425" s="745"/>
    </row>
    <row r="426" spans="2:14" s="95" customFormat="1" ht="18" customHeight="1" x14ac:dyDescent="0.35">
      <c r="B426" s="2"/>
      <c r="C426" s="3"/>
      <c r="D426" s="582"/>
      <c r="E426" s="3"/>
      <c r="F426" s="3"/>
      <c r="G426" s="3"/>
      <c r="H426" s="3"/>
      <c r="I426" s="3"/>
      <c r="J426" s="3"/>
      <c r="K426" s="2"/>
      <c r="L426" s="2"/>
      <c r="M426" s="2"/>
      <c r="N426" s="745"/>
    </row>
    <row r="427" spans="2:14" s="95" customFormat="1" ht="18" customHeight="1" x14ac:dyDescent="0.35">
      <c r="B427" s="2"/>
      <c r="C427" s="3"/>
      <c r="D427" s="582"/>
      <c r="E427" s="3"/>
      <c r="F427" s="3"/>
      <c r="G427" s="3"/>
      <c r="H427" s="3"/>
      <c r="I427" s="3"/>
      <c r="J427" s="3"/>
      <c r="K427" s="2"/>
      <c r="L427" s="2"/>
      <c r="M427" s="2"/>
      <c r="N427" s="745"/>
    </row>
    <row r="428" spans="2:14" s="95" customFormat="1" ht="18" customHeight="1" x14ac:dyDescent="0.35">
      <c r="B428" s="2"/>
      <c r="C428" s="3"/>
      <c r="D428" s="582"/>
      <c r="E428" s="3"/>
      <c r="F428" s="3"/>
      <c r="G428" s="3"/>
      <c r="H428" s="3"/>
      <c r="I428" s="3"/>
      <c r="J428" s="3"/>
      <c r="K428" s="2"/>
      <c r="L428" s="2"/>
      <c r="M428" s="2"/>
      <c r="N428" s="745"/>
    </row>
    <row r="429" spans="2:14" s="95" customFormat="1" ht="18" customHeight="1" x14ac:dyDescent="0.35">
      <c r="B429" s="2"/>
      <c r="C429" s="3"/>
      <c r="D429" s="582"/>
      <c r="E429" s="3"/>
      <c r="F429" s="3"/>
      <c r="G429" s="3"/>
      <c r="H429" s="3"/>
      <c r="I429" s="3"/>
      <c r="J429" s="3"/>
      <c r="K429" s="2"/>
      <c r="L429" s="2"/>
      <c r="M429" s="2"/>
      <c r="N429" s="745"/>
    </row>
    <row r="430" spans="2:14" s="95" customFormat="1" ht="18" customHeight="1" x14ac:dyDescent="0.35">
      <c r="B430" s="2"/>
      <c r="C430" s="3"/>
      <c r="D430" s="582"/>
      <c r="E430" s="3"/>
      <c r="F430" s="3"/>
      <c r="G430" s="3"/>
      <c r="H430" s="3"/>
      <c r="I430" s="3"/>
      <c r="J430" s="3"/>
      <c r="K430" s="2"/>
      <c r="L430" s="2"/>
      <c r="M430" s="2"/>
      <c r="N430" s="745"/>
    </row>
    <row r="431" spans="2:14" s="95" customFormat="1" ht="18" customHeight="1" x14ac:dyDescent="0.35">
      <c r="B431" s="2"/>
      <c r="C431" s="3"/>
      <c r="D431" s="582"/>
      <c r="E431" s="3"/>
      <c r="F431" s="3"/>
      <c r="G431" s="3"/>
      <c r="H431" s="3"/>
      <c r="I431" s="3"/>
      <c r="J431" s="3"/>
      <c r="K431" s="2"/>
      <c r="L431" s="2"/>
      <c r="M431" s="2"/>
      <c r="N431" s="745"/>
    </row>
    <row r="432" spans="2:14" s="95" customFormat="1" ht="18" customHeight="1" x14ac:dyDescent="0.35">
      <c r="B432" s="2"/>
      <c r="C432" s="3"/>
      <c r="D432" s="582"/>
      <c r="E432" s="3"/>
      <c r="F432" s="3"/>
      <c r="G432" s="3"/>
      <c r="H432" s="3"/>
      <c r="I432" s="3"/>
      <c r="J432" s="3"/>
      <c r="K432" s="2"/>
      <c r="L432" s="2"/>
      <c r="M432" s="2"/>
      <c r="N432" s="745"/>
    </row>
    <row r="433" spans="2:14" s="95" customFormat="1" ht="18" customHeight="1" x14ac:dyDescent="0.35">
      <c r="B433" s="2"/>
      <c r="C433" s="3"/>
      <c r="D433" s="582"/>
      <c r="E433" s="3"/>
      <c r="F433" s="3"/>
      <c r="G433" s="3"/>
      <c r="H433" s="3"/>
      <c r="I433" s="3"/>
      <c r="J433" s="3"/>
      <c r="K433" s="2"/>
      <c r="L433" s="2"/>
      <c r="M433" s="2"/>
      <c r="N433" s="745"/>
    </row>
    <row r="434" spans="2:14" s="95" customFormat="1" ht="18" customHeight="1" x14ac:dyDescent="0.35">
      <c r="B434" s="2"/>
      <c r="C434" s="3"/>
      <c r="D434" s="582"/>
      <c r="E434" s="3"/>
      <c r="F434" s="3"/>
      <c r="G434" s="3"/>
      <c r="H434" s="3"/>
      <c r="I434" s="3"/>
      <c r="J434" s="3"/>
      <c r="K434" s="2"/>
      <c r="L434" s="2"/>
      <c r="M434" s="2"/>
      <c r="N434" s="745"/>
    </row>
    <row r="435" spans="2:14" s="95" customFormat="1" ht="18" customHeight="1" x14ac:dyDescent="0.35">
      <c r="B435" s="2"/>
      <c r="C435" s="3"/>
      <c r="D435" s="582"/>
      <c r="E435" s="3"/>
      <c r="F435" s="3"/>
      <c r="G435" s="3"/>
      <c r="H435" s="3"/>
      <c r="I435" s="3"/>
      <c r="J435" s="3"/>
      <c r="K435" s="2"/>
      <c r="L435" s="2"/>
      <c r="M435" s="2"/>
      <c r="N435" s="745"/>
    </row>
    <row r="436" spans="2:14" s="95" customFormat="1" ht="18" customHeight="1" x14ac:dyDescent="0.35">
      <c r="B436" s="2"/>
      <c r="C436" s="3"/>
      <c r="D436" s="582"/>
      <c r="E436" s="3"/>
      <c r="F436" s="3"/>
      <c r="G436" s="3"/>
      <c r="H436" s="3"/>
      <c r="I436" s="3"/>
      <c r="J436" s="3"/>
      <c r="K436" s="2"/>
      <c r="L436" s="2"/>
      <c r="M436" s="2"/>
      <c r="N436" s="745"/>
    </row>
    <row r="437" spans="2:14" s="95" customFormat="1" ht="18" customHeight="1" x14ac:dyDescent="0.35">
      <c r="B437" s="2"/>
      <c r="C437" s="3"/>
      <c r="D437" s="582"/>
      <c r="E437" s="3"/>
      <c r="F437" s="3"/>
      <c r="G437" s="3"/>
      <c r="H437" s="3"/>
      <c r="I437" s="3"/>
      <c r="J437" s="3"/>
      <c r="K437" s="2"/>
      <c r="L437" s="2"/>
      <c r="M437" s="2"/>
      <c r="N437" s="745"/>
    </row>
    <row r="438" spans="2:14" s="95" customFormat="1" ht="18" customHeight="1" x14ac:dyDescent="0.35">
      <c r="B438" s="2"/>
      <c r="C438" s="3"/>
      <c r="D438" s="582"/>
      <c r="E438" s="3"/>
      <c r="F438" s="3"/>
      <c r="G438" s="3"/>
      <c r="H438" s="3"/>
      <c r="I438" s="3"/>
      <c r="J438" s="3"/>
      <c r="K438" s="2"/>
      <c r="L438" s="2"/>
      <c r="M438" s="2"/>
      <c r="N438" s="745"/>
    </row>
    <row r="439" spans="2:14" s="95" customFormat="1" ht="18" customHeight="1" x14ac:dyDescent="0.35">
      <c r="B439" s="2"/>
      <c r="C439" s="3"/>
      <c r="D439" s="582"/>
      <c r="E439" s="3"/>
      <c r="F439" s="3"/>
      <c r="G439" s="3"/>
      <c r="H439" s="3"/>
      <c r="I439" s="3"/>
      <c r="J439" s="3"/>
      <c r="K439" s="2"/>
      <c r="L439" s="2"/>
      <c r="M439" s="2"/>
      <c r="N439" s="745"/>
    </row>
    <row r="440" spans="2:14" s="95" customFormat="1" ht="18" customHeight="1" x14ac:dyDescent="0.35">
      <c r="B440" s="2"/>
      <c r="C440" s="3"/>
      <c r="D440" s="582"/>
      <c r="E440" s="3"/>
      <c r="F440" s="3"/>
      <c r="G440" s="3"/>
      <c r="H440" s="3"/>
      <c r="I440" s="3"/>
      <c r="J440" s="3"/>
      <c r="K440" s="2"/>
      <c r="L440" s="2"/>
      <c r="M440" s="2"/>
      <c r="N440" s="745"/>
    </row>
    <row r="441" spans="2:14" s="95" customFormat="1" ht="18" customHeight="1" x14ac:dyDescent="0.35">
      <c r="B441" s="2"/>
      <c r="C441" s="3"/>
      <c r="D441" s="582"/>
      <c r="E441" s="3"/>
      <c r="F441" s="3"/>
      <c r="G441" s="3"/>
      <c r="H441" s="3"/>
      <c r="I441" s="3"/>
      <c r="J441" s="3"/>
      <c r="K441" s="2"/>
      <c r="L441" s="2"/>
      <c r="M441" s="2"/>
      <c r="N441" s="745"/>
    </row>
    <row r="442" spans="2:14" s="95" customFormat="1" ht="18" customHeight="1" x14ac:dyDescent="0.35">
      <c r="B442" s="2"/>
      <c r="C442" s="3"/>
      <c r="D442" s="582"/>
      <c r="E442" s="3"/>
      <c r="F442" s="3"/>
      <c r="G442" s="3"/>
      <c r="H442" s="3"/>
      <c r="I442" s="3"/>
      <c r="J442" s="3"/>
      <c r="K442" s="2"/>
      <c r="L442" s="2"/>
      <c r="M442" s="2"/>
      <c r="N442" s="745"/>
    </row>
    <row r="443" spans="2:14" s="95" customFormat="1" ht="18" customHeight="1" x14ac:dyDescent="0.35">
      <c r="B443" s="2"/>
      <c r="C443" s="3"/>
      <c r="D443" s="582"/>
      <c r="E443" s="3"/>
      <c r="F443" s="3"/>
      <c r="G443" s="3"/>
      <c r="H443" s="3"/>
      <c r="I443" s="3"/>
      <c r="J443" s="3"/>
      <c r="K443" s="2"/>
      <c r="L443" s="2"/>
      <c r="M443" s="2"/>
      <c r="N443" s="745"/>
    </row>
    <row r="444" spans="2:14" s="95" customFormat="1" ht="18" customHeight="1" x14ac:dyDescent="0.35">
      <c r="B444" s="2"/>
      <c r="C444" s="3"/>
      <c r="D444" s="582"/>
      <c r="E444" s="3"/>
      <c r="F444" s="3"/>
      <c r="G444" s="3"/>
      <c r="H444" s="3"/>
      <c r="I444" s="3"/>
      <c r="J444" s="3"/>
      <c r="K444" s="2"/>
      <c r="L444" s="2"/>
      <c r="M444" s="2"/>
      <c r="N444" s="745"/>
    </row>
    <row r="445" spans="2:14" s="95" customFormat="1" ht="18" customHeight="1" x14ac:dyDescent="0.35">
      <c r="B445" s="2"/>
      <c r="C445" s="3"/>
      <c r="D445" s="582"/>
      <c r="E445" s="3"/>
      <c r="F445" s="3"/>
      <c r="G445" s="3"/>
      <c r="H445" s="3"/>
      <c r="I445" s="3"/>
      <c r="J445" s="3"/>
      <c r="K445" s="2"/>
      <c r="L445" s="2"/>
      <c r="M445" s="2"/>
      <c r="N445" s="745"/>
    </row>
    <row r="446" spans="2:14" s="95" customFormat="1" ht="18" customHeight="1" x14ac:dyDescent="0.35">
      <c r="B446" s="2"/>
      <c r="C446" s="3"/>
      <c r="D446" s="582"/>
      <c r="E446" s="3"/>
      <c r="F446" s="3"/>
      <c r="G446" s="3"/>
      <c r="H446" s="3"/>
      <c r="I446" s="3"/>
      <c r="J446" s="3"/>
      <c r="K446" s="2"/>
      <c r="L446" s="2"/>
      <c r="M446" s="2"/>
      <c r="N446" s="745"/>
    </row>
    <row r="447" spans="2:14" s="95" customFormat="1" ht="18" customHeight="1" x14ac:dyDescent="0.35">
      <c r="B447" s="2"/>
      <c r="C447" s="3"/>
      <c r="D447" s="582"/>
      <c r="E447" s="3"/>
      <c r="F447" s="3"/>
      <c r="G447" s="3"/>
      <c r="H447" s="3"/>
      <c r="I447" s="3"/>
      <c r="J447" s="3"/>
      <c r="K447" s="2"/>
      <c r="L447" s="2"/>
      <c r="M447" s="2"/>
      <c r="N447" s="745"/>
    </row>
    <row r="448" spans="2:14" s="95" customFormat="1" ht="18" customHeight="1" x14ac:dyDescent="0.35">
      <c r="B448" s="2"/>
      <c r="C448" s="3"/>
      <c r="D448" s="582"/>
      <c r="E448" s="3"/>
      <c r="F448" s="3"/>
      <c r="G448" s="3"/>
      <c r="H448" s="3"/>
      <c r="I448" s="3"/>
      <c r="J448" s="3"/>
      <c r="K448" s="2"/>
      <c r="L448" s="2"/>
      <c r="M448" s="2"/>
      <c r="N448" s="745"/>
    </row>
    <row r="449" spans="2:14" s="95" customFormat="1" ht="18" customHeight="1" x14ac:dyDescent="0.35">
      <c r="B449" s="2"/>
      <c r="C449" s="3"/>
      <c r="D449" s="582"/>
      <c r="E449" s="3"/>
      <c r="F449" s="3"/>
      <c r="G449" s="3"/>
      <c r="H449" s="3"/>
      <c r="I449" s="3"/>
      <c r="J449" s="3"/>
      <c r="K449" s="2"/>
      <c r="L449" s="2"/>
      <c r="M449" s="2"/>
      <c r="N449" s="745"/>
    </row>
    <row r="450" spans="2:14" s="95" customFormat="1" ht="18" customHeight="1" x14ac:dyDescent="0.35">
      <c r="B450" s="2"/>
      <c r="C450" s="3"/>
      <c r="D450" s="582"/>
      <c r="E450" s="3"/>
      <c r="F450" s="3"/>
      <c r="G450" s="3"/>
      <c r="H450" s="3"/>
      <c r="I450" s="3"/>
      <c r="J450" s="3"/>
      <c r="K450" s="2"/>
      <c r="L450" s="2"/>
      <c r="M450" s="2"/>
      <c r="N450" s="745"/>
    </row>
    <row r="451" spans="2:14" s="95" customFormat="1" ht="18" customHeight="1" x14ac:dyDescent="0.35">
      <c r="B451" s="2"/>
      <c r="C451" s="3"/>
      <c r="D451" s="582"/>
      <c r="E451" s="3"/>
      <c r="F451" s="3"/>
      <c r="G451" s="3"/>
      <c r="H451" s="3"/>
      <c r="I451" s="3"/>
      <c r="J451" s="3"/>
      <c r="K451" s="2"/>
      <c r="L451" s="2"/>
      <c r="M451" s="2"/>
      <c r="N451" s="745"/>
    </row>
    <row r="452" spans="2:14" s="95" customFormat="1" ht="18" customHeight="1" x14ac:dyDescent="0.35">
      <c r="B452" s="2"/>
      <c r="C452" s="3"/>
      <c r="D452" s="582"/>
      <c r="E452" s="3"/>
      <c r="F452" s="3"/>
      <c r="G452" s="3"/>
      <c r="H452" s="3"/>
      <c r="I452" s="3"/>
      <c r="J452" s="3"/>
      <c r="K452" s="2"/>
      <c r="L452" s="2"/>
      <c r="M452" s="2"/>
      <c r="N452" s="745"/>
    </row>
    <row r="453" spans="2:14" s="95" customFormat="1" ht="18" customHeight="1" x14ac:dyDescent="0.35">
      <c r="B453" s="2"/>
      <c r="C453" s="3"/>
      <c r="D453" s="582"/>
      <c r="E453" s="3"/>
      <c r="F453" s="3"/>
      <c r="G453" s="3"/>
      <c r="H453" s="3"/>
      <c r="I453" s="3"/>
      <c r="J453" s="3"/>
      <c r="K453" s="2"/>
      <c r="L453" s="2"/>
      <c r="M453" s="2"/>
      <c r="N453" s="745"/>
    </row>
    <row r="454" spans="2:14" s="95" customFormat="1" ht="18" customHeight="1" x14ac:dyDescent="0.35">
      <c r="B454" s="2"/>
      <c r="C454" s="3"/>
      <c r="D454" s="582"/>
      <c r="E454" s="3"/>
      <c r="F454" s="3"/>
      <c r="G454" s="3"/>
      <c r="H454" s="3"/>
      <c r="I454" s="3"/>
      <c r="J454" s="3"/>
      <c r="K454" s="2"/>
      <c r="L454" s="2"/>
      <c r="M454" s="2"/>
      <c r="N454" s="745"/>
    </row>
    <row r="455" spans="2:14" s="95" customFormat="1" ht="18" customHeight="1" x14ac:dyDescent="0.35">
      <c r="B455" s="2"/>
      <c r="C455" s="3"/>
      <c r="D455" s="582"/>
      <c r="E455" s="3"/>
      <c r="F455" s="3"/>
      <c r="G455" s="3"/>
      <c r="H455" s="3"/>
      <c r="I455" s="3"/>
      <c r="J455" s="3"/>
      <c r="K455" s="2"/>
      <c r="L455" s="2"/>
      <c r="M455" s="2"/>
      <c r="N455" s="745"/>
    </row>
    <row r="456" spans="2:14" s="95" customFormat="1" ht="18" customHeight="1" x14ac:dyDescent="0.35">
      <c r="B456" s="2"/>
      <c r="C456" s="3"/>
      <c r="D456" s="582"/>
      <c r="E456" s="3"/>
      <c r="F456" s="3"/>
      <c r="G456" s="3"/>
      <c r="H456" s="3"/>
      <c r="I456" s="3"/>
      <c r="J456" s="3"/>
      <c r="K456" s="2"/>
      <c r="L456" s="2"/>
      <c r="M456" s="2"/>
      <c r="N456" s="745"/>
    </row>
    <row r="457" spans="2:14" s="95" customFormat="1" ht="18" customHeight="1" x14ac:dyDescent="0.35">
      <c r="B457" s="2"/>
      <c r="C457" s="3"/>
      <c r="D457" s="582"/>
      <c r="E457" s="3"/>
      <c r="F457" s="3"/>
      <c r="G457" s="3"/>
      <c r="H457" s="3"/>
      <c r="I457" s="3"/>
      <c r="J457" s="3"/>
      <c r="K457" s="2"/>
      <c r="L457" s="2"/>
      <c r="M457" s="2"/>
      <c r="N457" s="745"/>
    </row>
    <row r="458" spans="2:14" s="95" customFormat="1" ht="18" customHeight="1" x14ac:dyDescent="0.35">
      <c r="B458" s="2"/>
      <c r="C458" s="3"/>
      <c r="D458" s="582"/>
      <c r="E458" s="3"/>
      <c r="F458" s="3"/>
      <c r="G458" s="3"/>
      <c r="H458" s="3"/>
      <c r="I458" s="3"/>
      <c r="J458" s="3"/>
      <c r="K458" s="2"/>
      <c r="L458" s="2"/>
      <c r="M458" s="2"/>
      <c r="N458" s="745"/>
    </row>
    <row r="459" spans="2:14" s="95" customFormat="1" ht="18" customHeight="1" x14ac:dyDescent="0.35">
      <c r="B459" s="2"/>
      <c r="C459" s="3"/>
      <c r="D459" s="582"/>
      <c r="E459" s="3"/>
      <c r="F459" s="3"/>
      <c r="G459" s="3"/>
      <c r="H459" s="3"/>
      <c r="I459" s="3"/>
      <c r="J459" s="3"/>
      <c r="K459" s="2"/>
      <c r="L459" s="2"/>
      <c r="M459" s="2"/>
      <c r="N459" s="745"/>
    </row>
    <row r="460" spans="2:14" s="95" customFormat="1" ht="18" customHeight="1" x14ac:dyDescent="0.35">
      <c r="B460" s="2"/>
      <c r="C460" s="3"/>
      <c r="D460" s="582"/>
      <c r="E460" s="3"/>
      <c r="F460" s="3"/>
      <c r="G460" s="3"/>
      <c r="H460" s="3"/>
      <c r="I460" s="3"/>
      <c r="J460" s="3"/>
      <c r="K460" s="2"/>
      <c r="L460" s="2"/>
      <c r="M460" s="2"/>
      <c r="N460" s="745"/>
    </row>
    <row r="461" spans="2:14" s="95" customFormat="1" ht="18" customHeight="1" x14ac:dyDescent="0.35">
      <c r="B461" s="2"/>
      <c r="C461" s="3"/>
      <c r="D461" s="582"/>
      <c r="E461" s="3"/>
      <c r="F461" s="3"/>
      <c r="G461" s="3"/>
      <c r="H461" s="3"/>
      <c r="I461" s="3"/>
      <c r="J461" s="3"/>
      <c r="K461" s="2"/>
      <c r="L461" s="2"/>
      <c r="M461" s="2"/>
      <c r="N461" s="745"/>
    </row>
    <row r="462" spans="2:14" s="95" customFormat="1" ht="18" customHeight="1" x14ac:dyDescent="0.35">
      <c r="B462" s="2"/>
      <c r="C462" s="3"/>
      <c r="D462" s="582"/>
      <c r="E462" s="3"/>
      <c r="F462" s="3"/>
      <c r="G462" s="3"/>
      <c r="H462" s="3"/>
      <c r="I462" s="3"/>
      <c r="J462" s="3"/>
      <c r="K462" s="2"/>
      <c r="L462" s="2"/>
      <c r="M462" s="2"/>
      <c r="N462" s="745"/>
    </row>
    <row r="463" spans="2:14" s="95" customFormat="1" ht="18" customHeight="1" x14ac:dyDescent="0.35">
      <c r="B463" s="2"/>
      <c r="C463" s="3"/>
      <c r="D463" s="582"/>
      <c r="E463" s="3"/>
      <c r="F463" s="3"/>
      <c r="G463" s="3"/>
      <c r="H463" s="3"/>
      <c r="I463" s="3"/>
      <c r="J463" s="3"/>
      <c r="K463" s="2"/>
      <c r="L463" s="2"/>
      <c r="M463" s="2"/>
      <c r="N463" s="745"/>
    </row>
    <row r="464" spans="2:14" s="95" customFormat="1" ht="18" customHeight="1" x14ac:dyDescent="0.35">
      <c r="B464" s="2"/>
      <c r="C464" s="3"/>
      <c r="D464" s="582"/>
      <c r="E464" s="3"/>
      <c r="F464" s="3"/>
      <c r="G464" s="3"/>
      <c r="H464" s="3"/>
      <c r="I464" s="3"/>
      <c r="J464" s="3"/>
      <c r="K464" s="2"/>
      <c r="L464" s="2"/>
      <c r="M464" s="2"/>
      <c r="N464" s="745"/>
    </row>
    <row r="465" spans="1:13" ht="18" customHeight="1" x14ac:dyDescent="0.35"/>
    <row r="466" spans="1:13" ht="18" customHeight="1" x14ac:dyDescent="0.35"/>
    <row r="467" spans="1:13" ht="18" customHeight="1" x14ac:dyDescent="0.35"/>
    <row r="468" spans="1:13" ht="18" customHeight="1" x14ac:dyDescent="0.35"/>
    <row r="469" spans="1:13" ht="18" customHeight="1" x14ac:dyDescent="0.35"/>
    <row r="470" spans="1:13" ht="18" customHeight="1" x14ac:dyDescent="0.35"/>
    <row r="471" spans="1:13" ht="18" customHeight="1" x14ac:dyDescent="0.35">
      <c r="A471" s="95" t="s">
        <v>614</v>
      </c>
      <c r="B471" s="37"/>
      <c r="C471" s="38"/>
      <c r="D471" s="645"/>
      <c r="E471" s="38"/>
      <c r="F471" s="38"/>
      <c r="G471" s="38"/>
      <c r="H471" s="38"/>
      <c r="I471" s="38"/>
    </row>
    <row r="472" spans="1:13" ht="18" customHeight="1" x14ac:dyDescent="0.35">
      <c r="A472" s="544"/>
      <c r="B472" s="35"/>
      <c r="C472" s="22"/>
      <c r="D472" s="610"/>
      <c r="E472" s="22"/>
      <c r="F472" s="22"/>
      <c r="G472" s="22"/>
      <c r="H472" s="22"/>
      <c r="I472" s="22"/>
      <c r="J472" s="1"/>
      <c r="K472" s="21"/>
      <c r="L472" s="21"/>
      <c r="M472" s="21"/>
    </row>
    <row r="473" spans="1:13" ht="18" customHeight="1" x14ac:dyDescent="0.35">
      <c r="A473" s="544"/>
      <c r="B473" s="21" t="s">
        <v>157</v>
      </c>
      <c r="C473" s="22"/>
      <c r="D473" s="610"/>
      <c r="E473" s="22"/>
      <c r="F473" s="22"/>
      <c r="G473" s="22"/>
      <c r="H473" s="22"/>
      <c r="I473" s="22"/>
      <c r="J473" s="1"/>
      <c r="K473" s="21"/>
      <c r="L473" s="21"/>
      <c r="M473" s="21"/>
    </row>
    <row r="474" spans="1:13" ht="18" customHeight="1" x14ac:dyDescent="0.35">
      <c r="A474" s="544"/>
      <c r="B474" s="2" t="s">
        <v>158</v>
      </c>
      <c r="C474" s="22"/>
      <c r="D474" s="610"/>
      <c r="E474" s="22"/>
      <c r="F474" s="22"/>
      <c r="G474" s="22"/>
      <c r="H474" s="22"/>
      <c r="I474" s="22"/>
      <c r="J474" s="1"/>
    </row>
    <row r="475" spans="1:13" ht="18" customHeight="1" x14ac:dyDescent="0.35">
      <c r="A475" s="544"/>
      <c r="B475" s="35"/>
      <c r="C475" s="22"/>
      <c r="D475" s="610"/>
      <c r="E475" s="22"/>
      <c r="F475" s="22"/>
      <c r="G475" s="22"/>
      <c r="H475" s="22"/>
      <c r="I475" s="22"/>
      <c r="J475" s="1"/>
      <c r="K475" s="21"/>
      <c r="L475" s="21"/>
      <c r="M475" s="21"/>
    </row>
    <row r="476" spans="1:13" ht="18" customHeight="1" x14ac:dyDescent="0.35">
      <c r="A476" s="544"/>
      <c r="B476" s="35"/>
      <c r="C476" s="22"/>
      <c r="D476" s="610"/>
      <c r="E476" s="22"/>
      <c r="F476" s="22"/>
      <c r="G476" s="22"/>
      <c r="H476" s="22"/>
      <c r="I476" s="22"/>
      <c r="J476" s="1"/>
      <c r="K476" s="21"/>
      <c r="L476" s="21"/>
      <c r="M476" s="21"/>
    </row>
    <row r="477" spans="1:13" x14ac:dyDescent="0.35">
      <c r="E477" s="38"/>
    </row>
    <row r="478" spans="1:13" x14ac:dyDescent="0.35">
      <c r="A478" s="544" t="s">
        <v>615</v>
      </c>
      <c r="E478" s="38"/>
    </row>
    <row r="479" spans="1:13" x14ac:dyDescent="0.35">
      <c r="A479" s="95" t="s">
        <v>616</v>
      </c>
      <c r="B479" s="2" t="s">
        <v>159</v>
      </c>
      <c r="E479" s="38"/>
    </row>
    <row r="480" spans="1:13" ht="31" x14ac:dyDescent="0.35">
      <c r="A480" s="95" t="s">
        <v>617</v>
      </c>
      <c r="B480" s="2" t="s">
        <v>160</v>
      </c>
      <c r="E480" s="38"/>
    </row>
    <row r="481" spans="1:5" ht="31" x14ac:dyDescent="0.35">
      <c r="A481" s="95" t="s">
        <v>618</v>
      </c>
      <c r="B481" s="2" t="s">
        <v>161</v>
      </c>
      <c r="E481" s="38"/>
    </row>
    <row r="482" spans="1:5" x14ac:dyDescent="0.35">
      <c r="A482" s="95" t="s">
        <v>619</v>
      </c>
      <c r="B482" s="2" t="s">
        <v>162</v>
      </c>
      <c r="E482" s="38"/>
    </row>
    <row r="483" spans="1:5" x14ac:dyDescent="0.35">
      <c r="E483" s="38"/>
    </row>
    <row r="484" spans="1:5" x14ac:dyDescent="0.35">
      <c r="A484" s="95" t="s">
        <v>620</v>
      </c>
      <c r="E484" s="38"/>
    </row>
    <row r="485" spans="1:5" x14ac:dyDescent="0.35">
      <c r="A485" s="95" t="s">
        <v>621</v>
      </c>
      <c r="E485" s="38"/>
    </row>
    <row r="486" spans="1:5" x14ac:dyDescent="0.35">
      <c r="E486" s="38"/>
    </row>
    <row r="487" spans="1:5" x14ac:dyDescent="0.35">
      <c r="A487" s="544" t="s">
        <v>622</v>
      </c>
      <c r="B487" s="21"/>
      <c r="E487" s="38"/>
    </row>
    <row r="488" spans="1:5" ht="46.5" x14ac:dyDescent="0.35">
      <c r="A488" s="95" t="s">
        <v>10</v>
      </c>
      <c r="B488" s="2" t="s">
        <v>163</v>
      </c>
      <c r="E488" s="38"/>
    </row>
    <row r="489" spans="1:5" ht="46.5" x14ac:dyDescent="0.35">
      <c r="A489" s="95" t="s">
        <v>12</v>
      </c>
      <c r="B489" s="2" t="s">
        <v>164</v>
      </c>
      <c r="E489" s="38"/>
    </row>
    <row r="490" spans="1:5" ht="31" x14ac:dyDescent="0.35">
      <c r="A490" s="95" t="s">
        <v>33</v>
      </c>
      <c r="B490" s="2" t="s">
        <v>165</v>
      </c>
      <c r="E490" s="38"/>
    </row>
    <row r="491" spans="1:5" ht="46.5" x14ac:dyDescent="0.35">
      <c r="A491" s="95" t="s">
        <v>41</v>
      </c>
      <c r="B491" s="2" t="s">
        <v>166</v>
      </c>
      <c r="E491" s="38"/>
    </row>
    <row r="492" spans="1:5" x14ac:dyDescent="0.35">
      <c r="E492" s="38"/>
    </row>
    <row r="493" spans="1:5" x14ac:dyDescent="0.35">
      <c r="A493" s="544" t="s">
        <v>623</v>
      </c>
      <c r="B493" s="21"/>
      <c r="E493" s="38"/>
    </row>
    <row r="494" spans="1:5" ht="46.5" x14ac:dyDescent="0.35">
      <c r="A494" s="95" t="s">
        <v>10</v>
      </c>
      <c r="B494" s="2" t="s">
        <v>167</v>
      </c>
      <c r="E494" s="38"/>
    </row>
    <row r="495" spans="1:5" ht="46.5" x14ac:dyDescent="0.35">
      <c r="A495" s="95" t="s">
        <v>12</v>
      </c>
      <c r="B495" s="2" t="s">
        <v>168</v>
      </c>
      <c r="E495" s="38"/>
    </row>
    <row r="496" spans="1:5" ht="31" x14ac:dyDescent="0.35">
      <c r="A496" s="95" t="s">
        <v>33</v>
      </c>
      <c r="B496" s="2" t="s">
        <v>169</v>
      </c>
      <c r="E496" s="38"/>
    </row>
    <row r="497" spans="1:7" x14ac:dyDescent="0.35">
      <c r="A497" s="95" t="s">
        <v>41</v>
      </c>
      <c r="B497" s="2" t="s">
        <v>170</v>
      </c>
      <c r="E497" s="38"/>
    </row>
    <row r="498" spans="1:7" x14ac:dyDescent="0.35">
      <c r="E498" s="38"/>
    </row>
    <row r="499" spans="1:7" x14ac:dyDescent="0.35">
      <c r="A499" s="544" t="s">
        <v>624</v>
      </c>
      <c r="B499" s="21"/>
      <c r="E499" s="1" t="s">
        <v>625</v>
      </c>
      <c r="F499" s="1"/>
    </row>
    <row r="500" spans="1:7" x14ac:dyDescent="0.35">
      <c r="A500" s="95" t="s">
        <v>10</v>
      </c>
      <c r="B500" s="2" t="s">
        <v>171</v>
      </c>
      <c r="E500" s="3" t="s">
        <v>10</v>
      </c>
      <c r="F500" s="3" t="s">
        <v>626</v>
      </c>
    </row>
    <row r="501" spans="1:7" x14ac:dyDescent="0.35">
      <c r="A501" s="95" t="s">
        <v>12</v>
      </c>
      <c r="B501" s="2" t="s">
        <v>172</v>
      </c>
      <c r="E501" s="3" t="s">
        <v>12</v>
      </c>
      <c r="F501" s="3" t="s">
        <v>627</v>
      </c>
    </row>
    <row r="502" spans="1:7" ht="31" x14ac:dyDescent="0.35">
      <c r="A502" s="95" t="s">
        <v>33</v>
      </c>
      <c r="B502" s="2" t="s">
        <v>173</v>
      </c>
      <c r="E502" s="3" t="s">
        <v>33</v>
      </c>
      <c r="F502" s="3" t="s">
        <v>628</v>
      </c>
    </row>
    <row r="503" spans="1:7" x14ac:dyDescent="0.35">
      <c r="A503" s="95" t="s">
        <v>629</v>
      </c>
      <c r="B503" s="2" t="s">
        <v>174</v>
      </c>
      <c r="E503" s="3" t="s">
        <v>41</v>
      </c>
      <c r="F503" s="3" t="s">
        <v>630</v>
      </c>
    </row>
    <row r="504" spans="1:7" x14ac:dyDescent="0.35">
      <c r="F504" s="38"/>
    </row>
    <row r="505" spans="1:7" x14ac:dyDescent="0.35">
      <c r="A505" s="544" t="s">
        <v>631</v>
      </c>
      <c r="B505" s="21"/>
      <c r="E505" s="1" t="s">
        <v>632</v>
      </c>
      <c r="F505" s="38"/>
    </row>
    <row r="506" spans="1:7" x14ac:dyDescent="0.35">
      <c r="A506" s="95" t="s">
        <v>10</v>
      </c>
      <c r="B506" s="2" t="s">
        <v>175</v>
      </c>
      <c r="E506" s="3" t="s">
        <v>633</v>
      </c>
      <c r="F506" s="3" t="s">
        <v>634</v>
      </c>
    </row>
    <row r="507" spans="1:7" x14ac:dyDescent="0.35">
      <c r="A507" s="95" t="s">
        <v>635</v>
      </c>
      <c r="B507" s="2" t="s">
        <v>176</v>
      </c>
      <c r="E507" s="3" t="s">
        <v>636</v>
      </c>
      <c r="F507" s="3" t="s">
        <v>637</v>
      </c>
    </row>
    <row r="508" spans="1:7" ht="31" x14ac:dyDescent="0.35">
      <c r="A508" s="95" t="s">
        <v>638</v>
      </c>
      <c r="B508" s="2" t="s">
        <v>177</v>
      </c>
      <c r="E508" s="3" t="s">
        <v>639</v>
      </c>
    </row>
    <row r="509" spans="1:7" ht="31" x14ac:dyDescent="0.35">
      <c r="A509" s="95" t="s">
        <v>640</v>
      </c>
      <c r="B509" s="2" t="s">
        <v>178</v>
      </c>
      <c r="E509" s="38"/>
    </row>
    <row r="510" spans="1:7" x14ac:dyDescent="0.35">
      <c r="C510" s="96"/>
      <c r="D510" s="746"/>
      <c r="G510" s="3" t="s">
        <v>641</v>
      </c>
    </row>
    <row r="517" spans="1:14" s="1" customFormat="1" ht="18" customHeight="1" x14ac:dyDescent="0.35">
      <c r="A517" s="747"/>
      <c r="B517" s="97" t="s">
        <v>179</v>
      </c>
      <c r="C517" s="98" t="s">
        <v>180</v>
      </c>
      <c r="D517" s="748"/>
      <c r="E517" s="98" t="s">
        <v>642</v>
      </c>
      <c r="F517" s="98" t="s">
        <v>643</v>
      </c>
      <c r="G517" s="98" t="s">
        <v>644</v>
      </c>
      <c r="H517" s="98" t="s">
        <v>645</v>
      </c>
      <c r="I517" s="98"/>
      <c r="J517" s="98"/>
      <c r="K517" s="97"/>
      <c r="L517" s="21"/>
      <c r="M517" s="21"/>
      <c r="N517" s="581"/>
    </row>
    <row r="518" spans="1:14" s="1" customFormat="1" ht="18" customHeight="1" x14ac:dyDescent="0.35">
      <c r="A518" s="749"/>
      <c r="B518" s="99"/>
      <c r="C518" s="100" t="s">
        <v>181</v>
      </c>
      <c r="D518" s="750"/>
      <c r="E518" s="100" t="s">
        <v>646</v>
      </c>
      <c r="F518" s="100" t="s">
        <v>646</v>
      </c>
      <c r="G518" s="100" t="s">
        <v>646</v>
      </c>
      <c r="H518" s="100" t="s">
        <v>646</v>
      </c>
      <c r="I518" s="100"/>
      <c r="J518" s="101"/>
      <c r="K518" s="751"/>
      <c r="L518" s="21"/>
      <c r="M518" s="21"/>
      <c r="N518" s="581"/>
    </row>
    <row r="519" spans="1:14" ht="18" customHeight="1" x14ac:dyDescent="0.35">
      <c r="A519" s="752"/>
      <c r="B519" s="28" t="s">
        <v>182</v>
      </c>
      <c r="C519" s="10">
        <f t="shared" ref="C519:C542" si="38">SUM(E519:H519)</f>
        <v>95.39</v>
      </c>
      <c r="D519" s="615"/>
      <c r="E519" s="10">
        <f>+E35</f>
        <v>45.43</v>
      </c>
      <c r="F519" s="10"/>
      <c r="G519" s="10">
        <f>+G35</f>
        <v>0</v>
      </c>
      <c r="H519" s="10">
        <f>+H35</f>
        <v>49.96</v>
      </c>
      <c r="I519" s="10"/>
      <c r="J519" s="102"/>
      <c r="K519" s="653"/>
      <c r="L519" s="21"/>
      <c r="M519" s="21"/>
    </row>
    <row r="520" spans="1:14" ht="18" customHeight="1" x14ac:dyDescent="0.35">
      <c r="A520" s="752"/>
      <c r="B520" s="28" t="s">
        <v>183</v>
      </c>
      <c r="C520" s="10">
        <f t="shared" si="38"/>
        <v>98.009999999999991</v>
      </c>
      <c r="D520" s="615"/>
      <c r="E520" s="10">
        <f>+E69</f>
        <v>29.064</v>
      </c>
      <c r="F520" s="10"/>
      <c r="G520" s="10"/>
      <c r="H520" s="10">
        <f>+H69</f>
        <v>68.945999999999998</v>
      </c>
      <c r="I520" s="10"/>
      <c r="J520" s="103"/>
      <c r="K520" s="28"/>
    </row>
    <row r="521" spans="1:14" ht="18" customHeight="1" x14ac:dyDescent="0.35">
      <c r="A521" s="752"/>
      <c r="B521" s="28" t="s">
        <v>184</v>
      </c>
      <c r="C521" s="10">
        <f t="shared" si="38"/>
        <v>42.16</v>
      </c>
      <c r="D521" s="615"/>
      <c r="E521" s="10">
        <f>+E82</f>
        <v>3.4400000000000004</v>
      </c>
      <c r="F521" s="10"/>
      <c r="G521" s="10"/>
      <c r="H521" s="10">
        <f>+H82</f>
        <v>38.72</v>
      </c>
      <c r="I521" s="10"/>
      <c r="J521" s="102"/>
      <c r="K521" s="653"/>
      <c r="L521" s="21"/>
      <c r="M521" s="21"/>
    </row>
    <row r="522" spans="1:14" ht="18" customHeight="1" x14ac:dyDescent="0.35">
      <c r="A522" s="753"/>
      <c r="B522" s="104" t="s">
        <v>185</v>
      </c>
      <c r="C522" s="10">
        <f t="shared" si="38"/>
        <v>3.28</v>
      </c>
      <c r="D522" s="656"/>
      <c r="E522" s="11">
        <f>+E89</f>
        <v>0.48</v>
      </c>
      <c r="F522" s="11"/>
      <c r="G522" s="11"/>
      <c r="H522" s="11">
        <f>+H89</f>
        <v>2.8</v>
      </c>
      <c r="I522" s="11"/>
      <c r="J522" s="102"/>
      <c r="K522" s="653"/>
      <c r="L522" s="21"/>
      <c r="M522" s="21"/>
    </row>
    <row r="523" spans="1:14" ht="18" customHeight="1" x14ac:dyDescent="0.35">
      <c r="A523" s="753"/>
      <c r="B523" s="104" t="s">
        <v>186</v>
      </c>
      <c r="C523" s="10">
        <f t="shared" si="38"/>
        <v>47.399999999999991</v>
      </c>
      <c r="D523" s="656"/>
      <c r="E523" s="11">
        <f>+E106</f>
        <v>14.66</v>
      </c>
      <c r="F523" s="11"/>
      <c r="G523" s="11"/>
      <c r="H523" s="11">
        <f>+H106</f>
        <v>32.739999999999995</v>
      </c>
      <c r="I523" s="11"/>
      <c r="J523" s="102"/>
      <c r="K523" s="653"/>
      <c r="L523" s="21"/>
      <c r="M523" s="21"/>
    </row>
    <row r="524" spans="1:14" ht="18" customHeight="1" x14ac:dyDescent="0.35">
      <c r="A524" s="753"/>
      <c r="B524" s="104" t="s">
        <v>187</v>
      </c>
      <c r="C524" s="10">
        <f t="shared" si="38"/>
        <v>112.60000000000001</v>
      </c>
      <c r="D524" s="656"/>
      <c r="E524" s="11">
        <f>+E145</f>
        <v>39.257000000000005</v>
      </c>
      <c r="F524" s="11"/>
      <c r="G524" s="11"/>
      <c r="H524" s="11">
        <f>+H145</f>
        <v>73.343000000000004</v>
      </c>
      <c r="I524" s="11"/>
      <c r="J524" s="102"/>
      <c r="K524" s="653"/>
      <c r="L524" s="21"/>
      <c r="M524" s="21"/>
    </row>
    <row r="525" spans="1:14" ht="18" customHeight="1" x14ac:dyDescent="0.35">
      <c r="A525" s="753"/>
      <c r="B525" s="104" t="s">
        <v>188</v>
      </c>
      <c r="C525" s="10">
        <f t="shared" si="38"/>
        <v>45.31</v>
      </c>
      <c r="D525" s="656"/>
      <c r="E525" s="11">
        <f>+E166</f>
        <v>5.6300000000000008</v>
      </c>
      <c r="F525" s="11"/>
      <c r="G525" s="11"/>
      <c r="H525" s="11">
        <f>+H166</f>
        <v>39.68</v>
      </c>
      <c r="I525" s="11"/>
      <c r="J525" s="102"/>
      <c r="K525" s="653"/>
      <c r="L525" s="21"/>
      <c r="M525" s="21"/>
    </row>
    <row r="526" spans="1:14" ht="18" customHeight="1" x14ac:dyDescent="0.35">
      <c r="A526" s="753"/>
      <c r="B526" s="104" t="s">
        <v>189</v>
      </c>
      <c r="C526" s="10">
        <f t="shared" si="38"/>
        <v>18.670000000000002</v>
      </c>
      <c r="D526" s="656"/>
      <c r="E526" s="11">
        <f>+E174</f>
        <v>13</v>
      </c>
      <c r="F526" s="11"/>
      <c r="G526" s="11"/>
      <c r="H526" s="11">
        <f>+H174</f>
        <v>5.67</v>
      </c>
      <c r="I526" s="11"/>
      <c r="J526" s="102"/>
      <c r="K526" s="653"/>
      <c r="L526" s="21"/>
      <c r="M526" s="21"/>
    </row>
    <row r="527" spans="1:14" s="1" customFormat="1" ht="18" customHeight="1" x14ac:dyDescent="0.35">
      <c r="A527" s="753"/>
      <c r="B527" s="81" t="s">
        <v>190</v>
      </c>
      <c r="C527" s="51">
        <f t="shared" si="38"/>
        <v>462.82000000000005</v>
      </c>
      <c r="D527" s="708"/>
      <c r="E527" s="82">
        <f>SUM(E519:E526)</f>
        <v>150.96100000000001</v>
      </c>
      <c r="F527" s="82">
        <f>SUM(F519:F526)</f>
        <v>0</v>
      </c>
      <c r="G527" s="82">
        <f>SUM(G519:G526)</f>
        <v>0</v>
      </c>
      <c r="H527" s="82">
        <f>SUM(H519:H526)</f>
        <v>311.85900000000004</v>
      </c>
      <c r="I527" s="82"/>
      <c r="J527" s="102"/>
      <c r="K527" s="653"/>
      <c r="L527" s="21"/>
      <c r="M527" s="21"/>
      <c r="N527" s="581"/>
    </row>
    <row r="528" spans="1:14" ht="18" customHeight="1" x14ac:dyDescent="0.35">
      <c r="A528" s="753"/>
      <c r="B528" s="104" t="s">
        <v>191</v>
      </c>
      <c r="C528" s="10">
        <f t="shared" si="38"/>
        <v>135.82</v>
      </c>
      <c r="D528" s="656"/>
      <c r="E528" s="11">
        <f>+E200</f>
        <v>37.329000000000001</v>
      </c>
      <c r="F528" s="11">
        <f>+F200</f>
        <v>0</v>
      </c>
      <c r="G528" s="11"/>
      <c r="H528" s="11">
        <f>+H200</f>
        <v>98.491</v>
      </c>
      <c r="I528" s="11"/>
      <c r="J528" s="102"/>
      <c r="K528" s="653"/>
      <c r="L528" s="21"/>
      <c r="M528" s="21"/>
    </row>
    <row r="529" spans="1:14" ht="18" customHeight="1" x14ac:dyDescent="0.35">
      <c r="A529" s="753"/>
      <c r="B529" s="104" t="s">
        <v>192</v>
      </c>
      <c r="C529" s="10">
        <f t="shared" si="38"/>
        <v>82.89</v>
      </c>
      <c r="D529" s="656"/>
      <c r="E529" s="11">
        <f>+E215</f>
        <v>33.61</v>
      </c>
      <c r="F529" s="11"/>
      <c r="G529" s="11"/>
      <c r="H529" s="11">
        <f>+H215</f>
        <v>49.28</v>
      </c>
      <c r="I529" s="11"/>
      <c r="J529" s="102"/>
      <c r="K529" s="653"/>
      <c r="L529" s="21"/>
      <c r="M529" s="21"/>
    </row>
    <row r="530" spans="1:14" ht="18" customHeight="1" x14ac:dyDescent="0.35">
      <c r="A530" s="753"/>
      <c r="B530" s="104" t="s">
        <v>193</v>
      </c>
      <c r="C530" s="10">
        <f t="shared" si="38"/>
        <v>90.497000000000014</v>
      </c>
      <c r="D530" s="656"/>
      <c r="E530" s="11">
        <f>+E230</f>
        <v>16.649999999999999</v>
      </c>
      <c r="F530" s="11"/>
      <c r="G530" s="11"/>
      <c r="H530" s="11">
        <f>+H230</f>
        <v>73.847000000000008</v>
      </c>
      <c r="I530" s="11"/>
      <c r="J530" s="102"/>
      <c r="K530" s="653"/>
      <c r="L530" s="21"/>
      <c r="M530" s="21"/>
    </row>
    <row r="531" spans="1:14" ht="18" customHeight="1" x14ac:dyDescent="0.35">
      <c r="A531" s="753"/>
      <c r="B531" s="104" t="s">
        <v>194</v>
      </c>
      <c r="C531" s="10">
        <f t="shared" si="38"/>
        <v>28.17</v>
      </c>
      <c r="D531" s="656"/>
      <c r="E531" s="11">
        <f>+E242</f>
        <v>3.5600000000000005</v>
      </c>
      <c r="F531" s="11"/>
      <c r="G531" s="11"/>
      <c r="H531" s="11">
        <f>+H242</f>
        <v>24.61</v>
      </c>
      <c r="I531" s="11"/>
      <c r="J531" s="102"/>
      <c r="K531" s="653"/>
      <c r="L531" s="21"/>
      <c r="M531" s="21"/>
    </row>
    <row r="532" spans="1:14" ht="18" customHeight="1" x14ac:dyDescent="0.35">
      <c r="A532" s="753"/>
      <c r="B532" s="104" t="s">
        <v>195</v>
      </c>
      <c r="C532" s="10">
        <f t="shared" si="38"/>
        <v>62.279999999999994</v>
      </c>
      <c r="D532" s="656"/>
      <c r="E532" s="11">
        <f>+E263</f>
        <v>18.555</v>
      </c>
      <c r="F532" s="11"/>
      <c r="G532" s="11"/>
      <c r="H532" s="11">
        <f>+H263</f>
        <v>43.724999999999994</v>
      </c>
      <c r="I532" s="11"/>
      <c r="J532" s="102"/>
      <c r="K532" s="653"/>
      <c r="L532" s="21"/>
      <c r="M532" s="21"/>
    </row>
    <row r="533" spans="1:14" ht="18" customHeight="1" x14ac:dyDescent="0.35">
      <c r="A533" s="753"/>
      <c r="B533" s="104" t="s">
        <v>196</v>
      </c>
      <c r="C533" s="10">
        <f t="shared" si="38"/>
        <v>62</v>
      </c>
      <c r="D533" s="656"/>
      <c r="E533" s="11">
        <f>+E281</f>
        <v>14.170000000000002</v>
      </c>
      <c r="F533" s="11">
        <f>+F281</f>
        <v>0</v>
      </c>
      <c r="G533" s="11"/>
      <c r="H533" s="11">
        <f>+H281</f>
        <v>47.83</v>
      </c>
      <c r="I533" s="11"/>
      <c r="J533" s="102"/>
      <c r="K533" s="653"/>
      <c r="L533" s="21"/>
      <c r="M533" s="21"/>
    </row>
    <row r="534" spans="1:14" ht="18" customHeight="1" x14ac:dyDescent="0.35">
      <c r="A534" s="753"/>
      <c r="B534" s="104" t="s">
        <v>197</v>
      </c>
      <c r="C534" s="10">
        <f t="shared" si="38"/>
        <v>45.13</v>
      </c>
      <c r="D534" s="656"/>
      <c r="E534" s="11">
        <f>+E296</f>
        <v>32.159999999999997</v>
      </c>
      <c r="F534" s="11">
        <f>+F296</f>
        <v>1.45</v>
      </c>
      <c r="G534" s="11"/>
      <c r="H534" s="11">
        <f>+H296</f>
        <v>11.520000000000001</v>
      </c>
      <c r="I534" s="11"/>
      <c r="J534" s="102"/>
      <c r="K534" s="653"/>
      <c r="L534" s="21"/>
      <c r="M534" s="21"/>
    </row>
    <row r="535" spans="1:14" ht="18" customHeight="1" x14ac:dyDescent="0.35">
      <c r="A535" s="753"/>
      <c r="B535" s="104" t="s">
        <v>198</v>
      </c>
      <c r="C535" s="10">
        <f t="shared" si="38"/>
        <v>32.799999999999997</v>
      </c>
      <c r="D535" s="656"/>
      <c r="E535" s="11">
        <f>+E314</f>
        <v>15.01</v>
      </c>
      <c r="F535" s="11">
        <f>+F314</f>
        <v>3.29</v>
      </c>
      <c r="G535" s="11"/>
      <c r="H535" s="11">
        <f>+H314</f>
        <v>14.5</v>
      </c>
      <c r="I535" s="11"/>
      <c r="J535" s="102"/>
      <c r="K535" s="653"/>
      <c r="L535" s="21"/>
      <c r="M535" s="21"/>
    </row>
    <row r="536" spans="1:14" ht="18" customHeight="1" x14ac:dyDescent="0.35">
      <c r="A536" s="753"/>
      <c r="B536" s="104" t="s">
        <v>199</v>
      </c>
      <c r="C536" s="10">
        <f t="shared" si="38"/>
        <v>7.25</v>
      </c>
      <c r="D536" s="656"/>
      <c r="E536" s="11">
        <f>+E323</f>
        <v>3.3</v>
      </c>
      <c r="F536" s="11"/>
      <c r="G536" s="11"/>
      <c r="H536" s="11">
        <f>+H323</f>
        <v>3.9499999999999997</v>
      </c>
      <c r="I536" s="11"/>
      <c r="J536" s="102"/>
      <c r="K536" s="653"/>
      <c r="L536" s="21"/>
      <c r="M536" s="21"/>
    </row>
    <row r="537" spans="1:14" ht="18" customHeight="1" x14ac:dyDescent="0.35">
      <c r="A537" s="753"/>
      <c r="B537" s="104" t="s">
        <v>200</v>
      </c>
      <c r="C537" s="10">
        <f t="shared" si="38"/>
        <v>113.07000000000001</v>
      </c>
      <c r="D537" s="656"/>
      <c r="E537" s="11">
        <f>+E343</f>
        <v>56.6</v>
      </c>
      <c r="F537" s="11"/>
      <c r="G537" s="11"/>
      <c r="H537" s="11">
        <f>+H343</f>
        <v>56.470000000000006</v>
      </c>
      <c r="I537" s="11"/>
      <c r="J537" s="102"/>
      <c r="K537" s="653"/>
      <c r="L537" s="21"/>
      <c r="M537" s="21"/>
    </row>
    <row r="538" spans="1:14" ht="18" customHeight="1" x14ac:dyDescent="0.35">
      <c r="A538" s="753"/>
      <c r="B538" s="104" t="s">
        <v>201</v>
      </c>
      <c r="C538" s="10">
        <f t="shared" si="38"/>
        <v>46.961999999999996</v>
      </c>
      <c r="D538" s="656"/>
      <c r="E538" s="11">
        <f>+E358</f>
        <v>11.612</v>
      </c>
      <c r="F538" s="11"/>
      <c r="G538" s="11"/>
      <c r="H538" s="11">
        <f>+H358</f>
        <v>35.349999999999994</v>
      </c>
      <c r="I538" s="11"/>
      <c r="J538" s="102"/>
      <c r="K538" s="653"/>
      <c r="L538" s="21"/>
      <c r="M538" s="21"/>
    </row>
    <row r="539" spans="1:14" ht="18" customHeight="1" x14ac:dyDescent="0.35">
      <c r="A539" s="753"/>
      <c r="B539" s="104" t="s">
        <v>202</v>
      </c>
      <c r="C539" s="10">
        <f t="shared" si="38"/>
        <v>24.68</v>
      </c>
      <c r="D539" s="656"/>
      <c r="E539" s="11">
        <f>+E369</f>
        <v>17.463999999999999</v>
      </c>
      <c r="F539" s="11"/>
      <c r="G539" s="11"/>
      <c r="H539" s="11">
        <f>+H369</f>
        <v>7.2160000000000002</v>
      </c>
      <c r="I539" s="11"/>
      <c r="J539" s="102"/>
      <c r="K539" s="653"/>
      <c r="L539" s="21"/>
      <c r="M539" s="21"/>
    </row>
    <row r="540" spans="1:14" ht="18" customHeight="1" x14ac:dyDescent="0.35">
      <c r="A540" s="753"/>
      <c r="B540" s="104" t="s">
        <v>203</v>
      </c>
      <c r="C540" s="10">
        <f t="shared" si="38"/>
        <v>8.7409999999999997</v>
      </c>
      <c r="D540" s="656"/>
      <c r="E540" s="11">
        <f>+E377</f>
        <v>1.18</v>
      </c>
      <c r="F540" s="11"/>
      <c r="G540" s="11"/>
      <c r="H540" s="11">
        <f>+H377</f>
        <v>7.5609999999999999</v>
      </c>
      <c r="I540" s="11"/>
      <c r="J540" s="102"/>
      <c r="K540" s="653"/>
      <c r="L540" s="21"/>
      <c r="M540" s="21"/>
    </row>
    <row r="541" spans="1:14" s="1" customFormat="1" ht="18" customHeight="1" x14ac:dyDescent="0.35">
      <c r="A541" s="753"/>
      <c r="B541" s="81" t="s">
        <v>190</v>
      </c>
      <c r="C541" s="51">
        <f t="shared" si="38"/>
        <v>740.29</v>
      </c>
      <c r="D541" s="708"/>
      <c r="E541" s="82">
        <f>SUM(E528:E540)</f>
        <v>261.2</v>
      </c>
      <c r="F541" s="82">
        <f>SUM(F528:F540)</f>
        <v>4.74</v>
      </c>
      <c r="G541" s="82"/>
      <c r="H541" s="82">
        <f>SUM(H528:H540)</f>
        <v>474.34999999999997</v>
      </c>
      <c r="I541" s="82"/>
      <c r="J541" s="102"/>
      <c r="K541" s="653"/>
      <c r="L541" s="21"/>
      <c r="M541" s="21"/>
      <c r="N541" s="581"/>
    </row>
    <row r="542" spans="1:14" ht="18" customHeight="1" x14ac:dyDescent="0.35">
      <c r="A542" s="752"/>
      <c r="B542" s="105" t="s">
        <v>204</v>
      </c>
      <c r="C542" s="51">
        <f t="shared" si="38"/>
        <v>1203.1100000000001</v>
      </c>
      <c r="D542" s="708"/>
      <c r="E542" s="82">
        <f>+E541+E527</f>
        <v>412.161</v>
      </c>
      <c r="F542" s="82">
        <f>+F541+F527</f>
        <v>4.74</v>
      </c>
      <c r="G542" s="82">
        <f>+G541+G527</f>
        <v>0</v>
      </c>
      <c r="H542" s="82">
        <f>+H541+H527</f>
        <v>786.20900000000006</v>
      </c>
      <c r="I542" s="82"/>
      <c r="J542" s="102"/>
      <c r="K542" s="105"/>
      <c r="L542" s="21"/>
      <c r="M542" s="21"/>
    </row>
    <row r="544" spans="1:14" ht="31" x14ac:dyDescent="0.35">
      <c r="C544" s="96">
        <v>1149.9349999999999</v>
      </c>
      <c r="D544" s="746"/>
      <c r="K544" s="2" t="s">
        <v>647</v>
      </c>
    </row>
  </sheetData>
  <autoFilter ref="J1:J557" xr:uid="{00000000-0009-0000-0000-000008000000}"/>
  <mergeCells count="176">
    <mergeCell ref="A1:K1"/>
    <mergeCell ref="A2:K2"/>
    <mergeCell ref="A3:K3"/>
    <mergeCell ref="A6:L6"/>
    <mergeCell ref="A8:A9"/>
    <mergeCell ref="B8:B9"/>
    <mergeCell ref="C8:C9"/>
    <mergeCell ref="D8:D9"/>
    <mergeCell ref="E8:I8"/>
    <mergeCell ref="J8:J9"/>
    <mergeCell ref="K8:K9"/>
    <mergeCell ref="L8:L9"/>
    <mergeCell ref="A37:L37"/>
    <mergeCell ref="A39:A40"/>
    <mergeCell ref="B39:B40"/>
    <mergeCell ref="C39:C40"/>
    <mergeCell ref="E39:I39"/>
    <mergeCell ref="J39:J40"/>
    <mergeCell ref="K39:K40"/>
    <mergeCell ref="L39:L40"/>
    <mergeCell ref="A84:L84"/>
    <mergeCell ref="A86:A87"/>
    <mergeCell ref="B86:B87"/>
    <mergeCell ref="C86:C87"/>
    <mergeCell ref="E86:I86"/>
    <mergeCell ref="J86:J87"/>
    <mergeCell ref="K86:K87"/>
    <mergeCell ref="L86:L87"/>
    <mergeCell ref="A70:L70"/>
    <mergeCell ref="A72:A73"/>
    <mergeCell ref="B72:B73"/>
    <mergeCell ref="C72:C73"/>
    <mergeCell ref="E72:I72"/>
    <mergeCell ref="J72:J73"/>
    <mergeCell ref="K72:K73"/>
    <mergeCell ref="L72:L73"/>
    <mergeCell ref="A108:L108"/>
    <mergeCell ref="A110:A111"/>
    <mergeCell ref="B110:B111"/>
    <mergeCell ref="C110:C111"/>
    <mergeCell ref="E110:I110"/>
    <mergeCell ref="J110:J111"/>
    <mergeCell ref="K110:K111"/>
    <mergeCell ref="L110:L111"/>
    <mergeCell ref="A91:L91"/>
    <mergeCell ref="A93:A94"/>
    <mergeCell ref="B93:B94"/>
    <mergeCell ref="C93:C94"/>
    <mergeCell ref="E93:I93"/>
    <mergeCell ref="J93:J94"/>
    <mergeCell ref="K93:K94"/>
    <mergeCell ref="L93:L94"/>
    <mergeCell ref="A168:L168"/>
    <mergeCell ref="A170:A171"/>
    <mergeCell ref="B170:B171"/>
    <mergeCell ref="C170:C171"/>
    <mergeCell ref="E170:I170"/>
    <mergeCell ref="J170:J171"/>
    <mergeCell ref="K170:K171"/>
    <mergeCell ref="L170:L171"/>
    <mergeCell ref="A147:L147"/>
    <mergeCell ref="A149:A150"/>
    <mergeCell ref="B149:B150"/>
    <mergeCell ref="C149:C150"/>
    <mergeCell ref="E149:I149"/>
    <mergeCell ref="J149:J150"/>
    <mergeCell ref="K149:K150"/>
    <mergeCell ref="L149:L150"/>
    <mergeCell ref="A202:K202"/>
    <mergeCell ref="A204:A205"/>
    <mergeCell ref="B204:B205"/>
    <mergeCell ref="C204:C205"/>
    <mergeCell ref="E204:I204"/>
    <mergeCell ref="J204:J205"/>
    <mergeCell ref="K204:K205"/>
    <mergeCell ref="A176:B176"/>
    <mergeCell ref="A178:L178"/>
    <mergeCell ref="A180:A181"/>
    <mergeCell ref="B180:B181"/>
    <mergeCell ref="C180:C181"/>
    <mergeCell ref="E180:I180"/>
    <mergeCell ref="J180:J181"/>
    <mergeCell ref="K180:K181"/>
    <mergeCell ref="L180:L181"/>
    <mergeCell ref="A232:K232"/>
    <mergeCell ref="A234:A235"/>
    <mergeCell ref="B234:B235"/>
    <mergeCell ref="C234:C235"/>
    <mergeCell ref="E234:I234"/>
    <mergeCell ref="J234:J235"/>
    <mergeCell ref="K234:K235"/>
    <mergeCell ref="L204:L205"/>
    <mergeCell ref="A217:K217"/>
    <mergeCell ref="A219:A220"/>
    <mergeCell ref="B219:B220"/>
    <mergeCell ref="C219:C220"/>
    <mergeCell ref="E219:I219"/>
    <mergeCell ref="J219:J220"/>
    <mergeCell ref="K219:K220"/>
    <mergeCell ref="L219:L220"/>
    <mergeCell ref="L234:L235"/>
    <mergeCell ref="A244:K244"/>
    <mergeCell ref="A246:A247"/>
    <mergeCell ref="B246:B247"/>
    <mergeCell ref="C246:C247"/>
    <mergeCell ref="E246:I246"/>
    <mergeCell ref="J246:J247"/>
    <mergeCell ref="K246:K247"/>
    <mergeCell ref="L246:L247"/>
    <mergeCell ref="A283:K283"/>
    <mergeCell ref="A285:A286"/>
    <mergeCell ref="B285:B286"/>
    <mergeCell ref="C285:C286"/>
    <mergeCell ref="E285:I285"/>
    <mergeCell ref="J285:J286"/>
    <mergeCell ref="K285:K286"/>
    <mergeCell ref="N256:N258"/>
    <mergeCell ref="A265:L265"/>
    <mergeCell ref="A267:A268"/>
    <mergeCell ref="B267:B268"/>
    <mergeCell ref="C267:C268"/>
    <mergeCell ref="E267:I267"/>
    <mergeCell ref="J267:J268"/>
    <mergeCell ref="K267:K268"/>
    <mergeCell ref="L267:L268"/>
    <mergeCell ref="L285:L286"/>
    <mergeCell ref="A298:L298"/>
    <mergeCell ref="A300:A301"/>
    <mergeCell ref="B300:B301"/>
    <mergeCell ref="C300:C301"/>
    <mergeCell ref="E300:I300"/>
    <mergeCell ref="J300:J301"/>
    <mergeCell ref="K300:K301"/>
    <mergeCell ref="L300:L301"/>
    <mergeCell ref="A325:L325"/>
    <mergeCell ref="A327:A328"/>
    <mergeCell ref="B327:B328"/>
    <mergeCell ref="C327:C328"/>
    <mergeCell ref="E327:I327"/>
    <mergeCell ref="J327:J328"/>
    <mergeCell ref="K327:K328"/>
    <mergeCell ref="L327:L328"/>
    <mergeCell ref="A316:L316"/>
    <mergeCell ref="A318:A319"/>
    <mergeCell ref="B318:B319"/>
    <mergeCell ref="C318:C319"/>
    <mergeCell ref="E318:I318"/>
    <mergeCell ref="J318:J319"/>
    <mergeCell ref="K318:K319"/>
    <mergeCell ref="L318:L319"/>
    <mergeCell ref="A360:L360"/>
    <mergeCell ref="A362:A363"/>
    <mergeCell ref="B362:B363"/>
    <mergeCell ref="C362:C363"/>
    <mergeCell ref="E362:I362"/>
    <mergeCell ref="J362:J363"/>
    <mergeCell ref="K362:K363"/>
    <mergeCell ref="L362:L363"/>
    <mergeCell ref="A345:L345"/>
    <mergeCell ref="A347:A348"/>
    <mergeCell ref="B347:B348"/>
    <mergeCell ref="C347:C348"/>
    <mergeCell ref="E347:I347"/>
    <mergeCell ref="J347:J348"/>
    <mergeCell ref="K347:K348"/>
    <mergeCell ref="L347:L348"/>
    <mergeCell ref="A379:B379"/>
    <mergeCell ref="A380:B380"/>
    <mergeCell ref="A371:L371"/>
    <mergeCell ref="A373:A374"/>
    <mergeCell ref="B373:B374"/>
    <mergeCell ref="C373:C374"/>
    <mergeCell ref="E373:I373"/>
    <mergeCell ref="J373:J374"/>
    <mergeCell ref="K373:K374"/>
    <mergeCell ref="L373:L374"/>
  </mergeCells>
  <pageMargins left="0.7" right="0.7" top="0.75" bottom="0.75" header="0.3" footer="0.3"/>
  <pageSetup paperSize="9" scale="72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A1:S447"/>
  <sheetViews>
    <sheetView view="pageBreakPreview" zoomScale="80" zoomScaleNormal="100" zoomScaleSheetLayoutView="80" workbookViewId="0">
      <pane ySplit="3" topLeftCell="A303" activePane="bottomLeft" state="frozen"/>
      <selection activeCell="R66" sqref="R66"/>
      <selection pane="bottomLeft" activeCell="R66" sqref="R66"/>
    </sheetView>
  </sheetViews>
  <sheetFormatPr defaultRowHeight="15.5" x14ac:dyDescent="0.35"/>
  <cols>
    <col min="1" max="1" width="22.81640625" style="95" customWidth="1"/>
    <col min="2" max="2" width="27.453125" style="2" customWidth="1"/>
    <col min="3" max="3" width="11.26953125" style="3" customWidth="1"/>
    <col min="4" max="4" width="10" style="582" hidden="1" customWidth="1"/>
    <col min="5" max="5" width="10.54296875" style="3" customWidth="1"/>
    <col min="6" max="6" width="9.7265625" style="3" customWidth="1"/>
    <col min="7" max="7" width="9.54296875" style="3" customWidth="1"/>
    <col min="8" max="9" width="12.54296875" style="3" customWidth="1"/>
    <col min="10" max="10" width="11.54296875" style="3" customWidth="1"/>
    <col min="11" max="13" width="27.1796875" style="2" customWidth="1"/>
    <col min="14" max="14" width="52.26953125" style="583" customWidth="1"/>
    <col min="15" max="15" width="15.81640625" style="3" customWidth="1"/>
    <col min="16" max="257" width="8.81640625" style="3"/>
    <col min="258" max="258" width="13.26953125" style="3" customWidth="1"/>
    <col min="259" max="259" width="27.453125" style="3" customWidth="1"/>
    <col min="260" max="261" width="9.54296875" style="3" customWidth="1"/>
    <col min="262" max="262" width="9.7265625" style="3" customWidth="1"/>
    <col min="263" max="263" width="9.54296875" style="3" customWidth="1"/>
    <col min="264" max="264" width="12.54296875" style="3" customWidth="1"/>
    <col min="265" max="265" width="10" style="3" customWidth="1"/>
    <col min="266" max="266" width="9.7265625" style="3" customWidth="1"/>
    <col min="267" max="269" width="0" style="3" hidden="1" customWidth="1"/>
    <col min="270" max="513" width="8.81640625" style="3"/>
    <col min="514" max="514" width="13.26953125" style="3" customWidth="1"/>
    <col min="515" max="515" width="27.453125" style="3" customWidth="1"/>
    <col min="516" max="517" width="9.54296875" style="3" customWidth="1"/>
    <col min="518" max="518" width="9.7265625" style="3" customWidth="1"/>
    <col min="519" max="519" width="9.54296875" style="3" customWidth="1"/>
    <col min="520" max="520" width="12.54296875" style="3" customWidth="1"/>
    <col min="521" max="521" width="10" style="3" customWidth="1"/>
    <col min="522" max="522" width="9.7265625" style="3" customWidth="1"/>
    <col min="523" max="525" width="0" style="3" hidden="1" customWidth="1"/>
    <col min="526" max="769" width="8.81640625" style="3"/>
    <col min="770" max="770" width="13.26953125" style="3" customWidth="1"/>
    <col min="771" max="771" width="27.453125" style="3" customWidth="1"/>
    <col min="772" max="773" width="9.54296875" style="3" customWidth="1"/>
    <col min="774" max="774" width="9.7265625" style="3" customWidth="1"/>
    <col min="775" max="775" width="9.54296875" style="3" customWidth="1"/>
    <col min="776" max="776" width="12.54296875" style="3" customWidth="1"/>
    <col min="777" max="777" width="10" style="3" customWidth="1"/>
    <col min="778" max="778" width="9.7265625" style="3" customWidth="1"/>
    <col min="779" max="781" width="0" style="3" hidden="1" customWidth="1"/>
    <col min="782" max="1025" width="8.81640625" style="3"/>
    <col min="1026" max="1026" width="13.26953125" style="3" customWidth="1"/>
    <col min="1027" max="1027" width="27.453125" style="3" customWidth="1"/>
    <col min="1028" max="1029" width="9.54296875" style="3" customWidth="1"/>
    <col min="1030" max="1030" width="9.7265625" style="3" customWidth="1"/>
    <col min="1031" max="1031" width="9.54296875" style="3" customWidth="1"/>
    <col min="1032" max="1032" width="12.54296875" style="3" customWidth="1"/>
    <col min="1033" max="1033" width="10" style="3" customWidth="1"/>
    <col min="1034" max="1034" width="9.7265625" style="3" customWidth="1"/>
    <col min="1035" max="1037" width="0" style="3" hidden="1" customWidth="1"/>
    <col min="1038" max="1281" width="8.81640625" style="3"/>
    <col min="1282" max="1282" width="13.26953125" style="3" customWidth="1"/>
    <col min="1283" max="1283" width="27.453125" style="3" customWidth="1"/>
    <col min="1284" max="1285" width="9.54296875" style="3" customWidth="1"/>
    <col min="1286" max="1286" width="9.7265625" style="3" customWidth="1"/>
    <col min="1287" max="1287" width="9.54296875" style="3" customWidth="1"/>
    <col min="1288" max="1288" width="12.54296875" style="3" customWidth="1"/>
    <col min="1289" max="1289" width="10" style="3" customWidth="1"/>
    <col min="1290" max="1290" width="9.7265625" style="3" customWidth="1"/>
    <col min="1291" max="1293" width="0" style="3" hidden="1" customWidth="1"/>
    <col min="1294" max="1537" width="8.81640625" style="3"/>
    <col min="1538" max="1538" width="13.26953125" style="3" customWidth="1"/>
    <col min="1539" max="1539" width="27.453125" style="3" customWidth="1"/>
    <col min="1540" max="1541" width="9.54296875" style="3" customWidth="1"/>
    <col min="1542" max="1542" width="9.7265625" style="3" customWidth="1"/>
    <col min="1543" max="1543" width="9.54296875" style="3" customWidth="1"/>
    <col min="1544" max="1544" width="12.54296875" style="3" customWidth="1"/>
    <col min="1545" max="1545" width="10" style="3" customWidth="1"/>
    <col min="1546" max="1546" width="9.7265625" style="3" customWidth="1"/>
    <col min="1547" max="1549" width="0" style="3" hidden="1" customWidth="1"/>
    <col min="1550" max="1793" width="8.81640625" style="3"/>
    <col min="1794" max="1794" width="13.26953125" style="3" customWidth="1"/>
    <col min="1795" max="1795" width="27.453125" style="3" customWidth="1"/>
    <col min="1796" max="1797" width="9.54296875" style="3" customWidth="1"/>
    <col min="1798" max="1798" width="9.7265625" style="3" customWidth="1"/>
    <col min="1799" max="1799" width="9.54296875" style="3" customWidth="1"/>
    <col min="1800" max="1800" width="12.54296875" style="3" customWidth="1"/>
    <col min="1801" max="1801" width="10" style="3" customWidth="1"/>
    <col min="1802" max="1802" width="9.7265625" style="3" customWidth="1"/>
    <col min="1803" max="1805" width="0" style="3" hidden="1" customWidth="1"/>
    <col min="1806" max="2049" width="8.81640625" style="3"/>
    <col min="2050" max="2050" width="13.26953125" style="3" customWidth="1"/>
    <col min="2051" max="2051" width="27.453125" style="3" customWidth="1"/>
    <col min="2052" max="2053" width="9.54296875" style="3" customWidth="1"/>
    <col min="2054" max="2054" width="9.7265625" style="3" customWidth="1"/>
    <col min="2055" max="2055" width="9.54296875" style="3" customWidth="1"/>
    <col min="2056" max="2056" width="12.54296875" style="3" customWidth="1"/>
    <col min="2057" max="2057" width="10" style="3" customWidth="1"/>
    <col min="2058" max="2058" width="9.7265625" style="3" customWidth="1"/>
    <col min="2059" max="2061" width="0" style="3" hidden="1" customWidth="1"/>
    <col min="2062" max="2305" width="8.81640625" style="3"/>
    <col min="2306" max="2306" width="13.26953125" style="3" customWidth="1"/>
    <col min="2307" max="2307" width="27.453125" style="3" customWidth="1"/>
    <col min="2308" max="2309" width="9.54296875" style="3" customWidth="1"/>
    <col min="2310" max="2310" width="9.7265625" style="3" customWidth="1"/>
    <col min="2311" max="2311" width="9.54296875" style="3" customWidth="1"/>
    <col min="2312" max="2312" width="12.54296875" style="3" customWidth="1"/>
    <col min="2313" max="2313" width="10" style="3" customWidth="1"/>
    <col min="2314" max="2314" width="9.7265625" style="3" customWidth="1"/>
    <col min="2315" max="2317" width="0" style="3" hidden="1" customWidth="1"/>
    <col min="2318" max="2561" width="8.81640625" style="3"/>
    <col min="2562" max="2562" width="13.26953125" style="3" customWidth="1"/>
    <col min="2563" max="2563" width="27.453125" style="3" customWidth="1"/>
    <col min="2564" max="2565" width="9.54296875" style="3" customWidth="1"/>
    <col min="2566" max="2566" width="9.7265625" style="3" customWidth="1"/>
    <col min="2567" max="2567" width="9.54296875" style="3" customWidth="1"/>
    <col min="2568" max="2568" width="12.54296875" style="3" customWidth="1"/>
    <col min="2569" max="2569" width="10" style="3" customWidth="1"/>
    <col min="2570" max="2570" width="9.7265625" style="3" customWidth="1"/>
    <col min="2571" max="2573" width="0" style="3" hidden="1" customWidth="1"/>
    <col min="2574" max="2817" width="8.81640625" style="3"/>
    <col min="2818" max="2818" width="13.26953125" style="3" customWidth="1"/>
    <col min="2819" max="2819" width="27.453125" style="3" customWidth="1"/>
    <col min="2820" max="2821" width="9.54296875" style="3" customWidth="1"/>
    <col min="2822" max="2822" width="9.7265625" style="3" customWidth="1"/>
    <col min="2823" max="2823" width="9.54296875" style="3" customWidth="1"/>
    <col min="2824" max="2824" width="12.54296875" style="3" customWidth="1"/>
    <col min="2825" max="2825" width="10" style="3" customWidth="1"/>
    <col min="2826" max="2826" width="9.7265625" style="3" customWidth="1"/>
    <col min="2827" max="2829" width="0" style="3" hidden="1" customWidth="1"/>
    <col min="2830" max="3073" width="8.81640625" style="3"/>
    <col min="3074" max="3074" width="13.26953125" style="3" customWidth="1"/>
    <col min="3075" max="3075" width="27.453125" style="3" customWidth="1"/>
    <col min="3076" max="3077" width="9.54296875" style="3" customWidth="1"/>
    <col min="3078" max="3078" width="9.7265625" style="3" customWidth="1"/>
    <col min="3079" max="3079" width="9.54296875" style="3" customWidth="1"/>
    <col min="3080" max="3080" width="12.54296875" style="3" customWidth="1"/>
    <col min="3081" max="3081" width="10" style="3" customWidth="1"/>
    <col min="3082" max="3082" width="9.7265625" style="3" customWidth="1"/>
    <col min="3083" max="3085" width="0" style="3" hidden="1" customWidth="1"/>
    <col min="3086" max="3329" width="8.81640625" style="3"/>
    <col min="3330" max="3330" width="13.26953125" style="3" customWidth="1"/>
    <col min="3331" max="3331" width="27.453125" style="3" customWidth="1"/>
    <col min="3332" max="3333" width="9.54296875" style="3" customWidth="1"/>
    <col min="3334" max="3334" width="9.7265625" style="3" customWidth="1"/>
    <col min="3335" max="3335" width="9.54296875" style="3" customWidth="1"/>
    <col min="3336" max="3336" width="12.54296875" style="3" customWidth="1"/>
    <col min="3337" max="3337" width="10" style="3" customWidth="1"/>
    <col min="3338" max="3338" width="9.7265625" style="3" customWidth="1"/>
    <col min="3339" max="3341" width="0" style="3" hidden="1" customWidth="1"/>
    <col min="3342" max="3585" width="8.81640625" style="3"/>
    <col min="3586" max="3586" width="13.26953125" style="3" customWidth="1"/>
    <col min="3587" max="3587" width="27.453125" style="3" customWidth="1"/>
    <col min="3588" max="3589" width="9.54296875" style="3" customWidth="1"/>
    <col min="3590" max="3590" width="9.7265625" style="3" customWidth="1"/>
    <col min="3591" max="3591" width="9.54296875" style="3" customWidth="1"/>
    <col min="3592" max="3592" width="12.54296875" style="3" customWidth="1"/>
    <col min="3593" max="3593" width="10" style="3" customWidth="1"/>
    <col min="3594" max="3594" width="9.7265625" style="3" customWidth="1"/>
    <col min="3595" max="3597" width="0" style="3" hidden="1" customWidth="1"/>
    <col min="3598" max="3841" width="8.81640625" style="3"/>
    <col min="3842" max="3842" width="13.26953125" style="3" customWidth="1"/>
    <col min="3843" max="3843" width="27.453125" style="3" customWidth="1"/>
    <col min="3844" max="3845" width="9.54296875" style="3" customWidth="1"/>
    <col min="3846" max="3846" width="9.7265625" style="3" customWidth="1"/>
    <col min="3847" max="3847" width="9.54296875" style="3" customWidth="1"/>
    <col min="3848" max="3848" width="12.54296875" style="3" customWidth="1"/>
    <col min="3849" max="3849" width="10" style="3" customWidth="1"/>
    <col min="3850" max="3850" width="9.7265625" style="3" customWidth="1"/>
    <col min="3851" max="3853" width="0" style="3" hidden="1" customWidth="1"/>
    <col min="3854" max="4097" width="8.81640625" style="3"/>
    <col min="4098" max="4098" width="13.26953125" style="3" customWidth="1"/>
    <col min="4099" max="4099" width="27.453125" style="3" customWidth="1"/>
    <col min="4100" max="4101" width="9.54296875" style="3" customWidth="1"/>
    <col min="4102" max="4102" width="9.7265625" style="3" customWidth="1"/>
    <col min="4103" max="4103" width="9.54296875" style="3" customWidth="1"/>
    <col min="4104" max="4104" width="12.54296875" style="3" customWidth="1"/>
    <col min="4105" max="4105" width="10" style="3" customWidth="1"/>
    <col min="4106" max="4106" width="9.7265625" style="3" customWidth="1"/>
    <col min="4107" max="4109" width="0" style="3" hidden="1" customWidth="1"/>
    <col min="4110" max="4353" width="8.81640625" style="3"/>
    <col min="4354" max="4354" width="13.26953125" style="3" customWidth="1"/>
    <col min="4355" max="4355" width="27.453125" style="3" customWidth="1"/>
    <col min="4356" max="4357" width="9.54296875" style="3" customWidth="1"/>
    <col min="4358" max="4358" width="9.7265625" style="3" customWidth="1"/>
    <col min="4359" max="4359" width="9.54296875" style="3" customWidth="1"/>
    <col min="4360" max="4360" width="12.54296875" style="3" customWidth="1"/>
    <col min="4361" max="4361" width="10" style="3" customWidth="1"/>
    <col min="4362" max="4362" width="9.7265625" style="3" customWidth="1"/>
    <col min="4363" max="4365" width="0" style="3" hidden="1" customWidth="1"/>
    <col min="4366" max="4609" width="8.81640625" style="3"/>
    <col min="4610" max="4610" width="13.26953125" style="3" customWidth="1"/>
    <col min="4611" max="4611" width="27.453125" style="3" customWidth="1"/>
    <col min="4612" max="4613" width="9.54296875" style="3" customWidth="1"/>
    <col min="4614" max="4614" width="9.7265625" style="3" customWidth="1"/>
    <col min="4615" max="4615" width="9.54296875" style="3" customWidth="1"/>
    <col min="4616" max="4616" width="12.54296875" style="3" customWidth="1"/>
    <col min="4617" max="4617" width="10" style="3" customWidth="1"/>
    <col min="4618" max="4618" width="9.7265625" style="3" customWidth="1"/>
    <col min="4619" max="4621" width="0" style="3" hidden="1" customWidth="1"/>
    <col min="4622" max="4865" width="8.81640625" style="3"/>
    <col min="4866" max="4866" width="13.26953125" style="3" customWidth="1"/>
    <col min="4867" max="4867" width="27.453125" style="3" customWidth="1"/>
    <col min="4868" max="4869" width="9.54296875" style="3" customWidth="1"/>
    <col min="4870" max="4870" width="9.7265625" style="3" customWidth="1"/>
    <col min="4871" max="4871" width="9.54296875" style="3" customWidth="1"/>
    <col min="4872" max="4872" width="12.54296875" style="3" customWidth="1"/>
    <col min="4873" max="4873" width="10" style="3" customWidth="1"/>
    <col min="4874" max="4874" width="9.7265625" style="3" customWidth="1"/>
    <col min="4875" max="4877" width="0" style="3" hidden="1" customWidth="1"/>
    <col min="4878" max="5121" width="8.81640625" style="3"/>
    <col min="5122" max="5122" width="13.26953125" style="3" customWidth="1"/>
    <col min="5123" max="5123" width="27.453125" style="3" customWidth="1"/>
    <col min="5124" max="5125" width="9.54296875" style="3" customWidth="1"/>
    <col min="5126" max="5126" width="9.7265625" style="3" customWidth="1"/>
    <col min="5127" max="5127" width="9.54296875" style="3" customWidth="1"/>
    <col min="5128" max="5128" width="12.54296875" style="3" customWidth="1"/>
    <col min="5129" max="5129" width="10" style="3" customWidth="1"/>
    <col min="5130" max="5130" width="9.7265625" style="3" customWidth="1"/>
    <col min="5131" max="5133" width="0" style="3" hidden="1" customWidth="1"/>
    <col min="5134" max="5377" width="8.81640625" style="3"/>
    <col min="5378" max="5378" width="13.26953125" style="3" customWidth="1"/>
    <col min="5379" max="5379" width="27.453125" style="3" customWidth="1"/>
    <col min="5380" max="5381" width="9.54296875" style="3" customWidth="1"/>
    <col min="5382" max="5382" width="9.7265625" style="3" customWidth="1"/>
    <col min="5383" max="5383" width="9.54296875" style="3" customWidth="1"/>
    <col min="5384" max="5384" width="12.54296875" style="3" customWidth="1"/>
    <col min="5385" max="5385" width="10" style="3" customWidth="1"/>
    <col min="5386" max="5386" width="9.7265625" style="3" customWidth="1"/>
    <col min="5387" max="5389" width="0" style="3" hidden="1" customWidth="1"/>
    <col min="5390" max="5633" width="8.81640625" style="3"/>
    <col min="5634" max="5634" width="13.26953125" style="3" customWidth="1"/>
    <col min="5635" max="5635" width="27.453125" style="3" customWidth="1"/>
    <col min="5636" max="5637" width="9.54296875" style="3" customWidth="1"/>
    <col min="5638" max="5638" width="9.7265625" style="3" customWidth="1"/>
    <col min="5639" max="5639" width="9.54296875" style="3" customWidth="1"/>
    <col min="5640" max="5640" width="12.54296875" style="3" customWidth="1"/>
    <col min="5641" max="5641" width="10" style="3" customWidth="1"/>
    <col min="5642" max="5642" width="9.7265625" style="3" customWidth="1"/>
    <col min="5643" max="5645" width="0" style="3" hidden="1" customWidth="1"/>
    <col min="5646" max="5889" width="8.81640625" style="3"/>
    <col min="5890" max="5890" width="13.26953125" style="3" customWidth="1"/>
    <col min="5891" max="5891" width="27.453125" style="3" customWidth="1"/>
    <col min="5892" max="5893" width="9.54296875" style="3" customWidth="1"/>
    <col min="5894" max="5894" width="9.7265625" style="3" customWidth="1"/>
    <col min="5895" max="5895" width="9.54296875" style="3" customWidth="1"/>
    <col min="5896" max="5896" width="12.54296875" style="3" customWidth="1"/>
    <col min="5897" max="5897" width="10" style="3" customWidth="1"/>
    <col min="5898" max="5898" width="9.7265625" style="3" customWidth="1"/>
    <col min="5899" max="5901" width="0" style="3" hidden="1" customWidth="1"/>
    <col min="5902" max="6145" width="8.81640625" style="3"/>
    <col min="6146" max="6146" width="13.26953125" style="3" customWidth="1"/>
    <col min="6147" max="6147" width="27.453125" style="3" customWidth="1"/>
    <col min="6148" max="6149" width="9.54296875" style="3" customWidth="1"/>
    <col min="6150" max="6150" width="9.7265625" style="3" customWidth="1"/>
    <col min="6151" max="6151" width="9.54296875" style="3" customWidth="1"/>
    <col min="6152" max="6152" width="12.54296875" style="3" customWidth="1"/>
    <col min="6153" max="6153" width="10" style="3" customWidth="1"/>
    <col min="6154" max="6154" width="9.7265625" style="3" customWidth="1"/>
    <col min="6155" max="6157" width="0" style="3" hidden="1" customWidth="1"/>
    <col min="6158" max="6401" width="8.81640625" style="3"/>
    <col min="6402" max="6402" width="13.26953125" style="3" customWidth="1"/>
    <col min="6403" max="6403" width="27.453125" style="3" customWidth="1"/>
    <col min="6404" max="6405" width="9.54296875" style="3" customWidth="1"/>
    <col min="6406" max="6406" width="9.7265625" style="3" customWidth="1"/>
    <col min="6407" max="6407" width="9.54296875" style="3" customWidth="1"/>
    <col min="6408" max="6408" width="12.54296875" style="3" customWidth="1"/>
    <col min="6409" max="6409" width="10" style="3" customWidth="1"/>
    <col min="6410" max="6410" width="9.7265625" style="3" customWidth="1"/>
    <col min="6411" max="6413" width="0" style="3" hidden="1" customWidth="1"/>
    <col min="6414" max="6657" width="8.81640625" style="3"/>
    <col min="6658" max="6658" width="13.26953125" style="3" customWidth="1"/>
    <col min="6659" max="6659" width="27.453125" style="3" customWidth="1"/>
    <col min="6660" max="6661" width="9.54296875" style="3" customWidth="1"/>
    <col min="6662" max="6662" width="9.7265625" style="3" customWidth="1"/>
    <col min="6663" max="6663" width="9.54296875" style="3" customWidth="1"/>
    <col min="6664" max="6664" width="12.54296875" style="3" customWidth="1"/>
    <col min="6665" max="6665" width="10" style="3" customWidth="1"/>
    <col min="6666" max="6666" width="9.7265625" style="3" customWidth="1"/>
    <col min="6667" max="6669" width="0" style="3" hidden="1" customWidth="1"/>
    <col min="6670" max="6913" width="8.81640625" style="3"/>
    <col min="6914" max="6914" width="13.26953125" style="3" customWidth="1"/>
    <col min="6915" max="6915" width="27.453125" style="3" customWidth="1"/>
    <col min="6916" max="6917" width="9.54296875" style="3" customWidth="1"/>
    <col min="6918" max="6918" width="9.7265625" style="3" customWidth="1"/>
    <col min="6919" max="6919" width="9.54296875" style="3" customWidth="1"/>
    <col min="6920" max="6920" width="12.54296875" style="3" customWidth="1"/>
    <col min="6921" max="6921" width="10" style="3" customWidth="1"/>
    <col min="6922" max="6922" width="9.7265625" style="3" customWidth="1"/>
    <col min="6923" max="6925" width="0" style="3" hidden="1" customWidth="1"/>
    <col min="6926" max="7169" width="8.81640625" style="3"/>
    <col min="7170" max="7170" width="13.26953125" style="3" customWidth="1"/>
    <col min="7171" max="7171" width="27.453125" style="3" customWidth="1"/>
    <col min="7172" max="7173" width="9.54296875" style="3" customWidth="1"/>
    <col min="7174" max="7174" width="9.7265625" style="3" customWidth="1"/>
    <col min="7175" max="7175" width="9.54296875" style="3" customWidth="1"/>
    <col min="7176" max="7176" width="12.54296875" style="3" customWidth="1"/>
    <col min="7177" max="7177" width="10" style="3" customWidth="1"/>
    <col min="7178" max="7178" width="9.7265625" style="3" customWidth="1"/>
    <col min="7179" max="7181" width="0" style="3" hidden="1" customWidth="1"/>
    <col min="7182" max="7425" width="8.81640625" style="3"/>
    <col min="7426" max="7426" width="13.26953125" style="3" customWidth="1"/>
    <col min="7427" max="7427" width="27.453125" style="3" customWidth="1"/>
    <col min="7428" max="7429" width="9.54296875" style="3" customWidth="1"/>
    <col min="7430" max="7430" width="9.7265625" style="3" customWidth="1"/>
    <col min="7431" max="7431" width="9.54296875" style="3" customWidth="1"/>
    <col min="7432" max="7432" width="12.54296875" style="3" customWidth="1"/>
    <col min="7433" max="7433" width="10" style="3" customWidth="1"/>
    <col min="7434" max="7434" width="9.7265625" style="3" customWidth="1"/>
    <col min="7435" max="7437" width="0" style="3" hidden="1" customWidth="1"/>
    <col min="7438" max="7681" width="8.81640625" style="3"/>
    <col min="7682" max="7682" width="13.26953125" style="3" customWidth="1"/>
    <col min="7683" max="7683" width="27.453125" style="3" customWidth="1"/>
    <col min="7684" max="7685" width="9.54296875" style="3" customWidth="1"/>
    <col min="7686" max="7686" width="9.7265625" style="3" customWidth="1"/>
    <col min="7687" max="7687" width="9.54296875" style="3" customWidth="1"/>
    <col min="7688" max="7688" width="12.54296875" style="3" customWidth="1"/>
    <col min="7689" max="7689" width="10" style="3" customWidth="1"/>
    <col min="7690" max="7690" width="9.7265625" style="3" customWidth="1"/>
    <col min="7691" max="7693" width="0" style="3" hidden="1" customWidth="1"/>
    <col min="7694" max="7937" width="8.81640625" style="3"/>
    <col min="7938" max="7938" width="13.26953125" style="3" customWidth="1"/>
    <col min="7939" max="7939" width="27.453125" style="3" customWidth="1"/>
    <col min="7940" max="7941" width="9.54296875" style="3" customWidth="1"/>
    <col min="7942" max="7942" width="9.7265625" style="3" customWidth="1"/>
    <col min="7943" max="7943" width="9.54296875" style="3" customWidth="1"/>
    <col min="7944" max="7944" width="12.54296875" style="3" customWidth="1"/>
    <col min="7945" max="7945" width="10" style="3" customWidth="1"/>
    <col min="7946" max="7946" width="9.7265625" style="3" customWidth="1"/>
    <col min="7947" max="7949" width="0" style="3" hidden="1" customWidth="1"/>
    <col min="7950" max="8193" width="8.81640625" style="3"/>
    <col min="8194" max="8194" width="13.26953125" style="3" customWidth="1"/>
    <col min="8195" max="8195" width="27.453125" style="3" customWidth="1"/>
    <col min="8196" max="8197" width="9.54296875" style="3" customWidth="1"/>
    <col min="8198" max="8198" width="9.7265625" style="3" customWidth="1"/>
    <col min="8199" max="8199" width="9.54296875" style="3" customWidth="1"/>
    <col min="8200" max="8200" width="12.54296875" style="3" customWidth="1"/>
    <col min="8201" max="8201" width="10" style="3" customWidth="1"/>
    <col min="8202" max="8202" width="9.7265625" style="3" customWidth="1"/>
    <col min="8203" max="8205" width="0" style="3" hidden="1" customWidth="1"/>
    <col min="8206" max="8449" width="8.81640625" style="3"/>
    <col min="8450" max="8450" width="13.26953125" style="3" customWidth="1"/>
    <col min="8451" max="8451" width="27.453125" style="3" customWidth="1"/>
    <col min="8452" max="8453" width="9.54296875" style="3" customWidth="1"/>
    <col min="8454" max="8454" width="9.7265625" style="3" customWidth="1"/>
    <col min="8455" max="8455" width="9.54296875" style="3" customWidth="1"/>
    <col min="8456" max="8456" width="12.54296875" style="3" customWidth="1"/>
    <col min="8457" max="8457" width="10" style="3" customWidth="1"/>
    <col min="8458" max="8458" width="9.7265625" style="3" customWidth="1"/>
    <col min="8459" max="8461" width="0" style="3" hidden="1" customWidth="1"/>
    <col min="8462" max="8705" width="8.81640625" style="3"/>
    <col min="8706" max="8706" width="13.26953125" style="3" customWidth="1"/>
    <col min="8707" max="8707" width="27.453125" style="3" customWidth="1"/>
    <col min="8708" max="8709" width="9.54296875" style="3" customWidth="1"/>
    <col min="8710" max="8710" width="9.7265625" style="3" customWidth="1"/>
    <col min="8711" max="8711" width="9.54296875" style="3" customWidth="1"/>
    <col min="8712" max="8712" width="12.54296875" style="3" customWidth="1"/>
    <col min="8713" max="8713" width="10" style="3" customWidth="1"/>
    <col min="8714" max="8714" width="9.7265625" style="3" customWidth="1"/>
    <col min="8715" max="8717" width="0" style="3" hidden="1" customWidth="1"/>
    <col min="8718" max="8961" width="8.81640625" style="3"/>
    <col min="8962" max="8962" width="13.26953125" style="3" customWidth="1"/>
    <col min="8963" max="8963" width="27.453125" style="3" customWidth="1"/>
    <col min="8964" max="8965" width="9.54296875" style="3" customWidth="1"/>
    <col min="8966" max="8966" width="9.7265625" style="3" customWidth="1"/>
    <col min="8967" max="8967" width="9.54296875" style="3" customWidth="1"/>
    <col min="8968" max="8968" width="12.54296875" style="3" customWidth="1"/>
    <col min="8969" max="8969" width="10" style="3" customWidth="1"/>
    <col min="8970" max="8970" width="9.7265625" style="3" customWidth="1"/>
    <col min="8971" max="8973" width="0" style="3" hidden="1" customWidth="1"/>
    <col min="8974" max="9217" width="8.81640625" style="3"/>
    <col min="9218" max="9218" width="13.26953125" style="3" customWidth="1"/>
    <col min="9219" max="9219" width="27.453125" style="3" customWidth="1"/>
    <col min="9220" max="9221" width="9.54296875" style="3" customWidth="1"/>
    <col min="9222" max="9222" width="9.7265625" style="3" customWidth="1"/>
    <col min="9223" max="9223" width="9.54296875" style="3" customWidth="1"/>
    <col min="9224" max="9224" width="12.54296875" style="3" customWidth="1"/>
    <col min="9225" max="9225" width="10" style="3" customWidth="1"/>
    <col min="9226" max="9226" width="9.7265625" style="3" customWidth="1"/>
    <col min="9227" max="9229" width="0" style="3" hidden="1" customWidth="1"/>
    <col min="9230" max="9473" width="8.81640625" style="3"/>
    <col min="9474" max="9474" width="13.26953125" style="3" customWidth="1"/>
    <col min="9475" max="9475" width="27.453125" style="3" customWidth="1"/>
    <col min="9476" max="9477" width="9.54296875" style="3" customWidth="1"/>
    <col min="9478" max="9478" width="9.7265625" style="3" customWidth="1"/>
    <col min="9479" max="9479" width="9.54296875" style="3" customWidth="1"/>
    <col min="9480" max="9480" width="12.54296875" style="3" customWidth="1"/>
    <col min="9481" max="9481" width="10" style="3" customWidth="1"/>
    <col min="9482" max="9482" width="9.7265625" style="3" customWidth="1"/>
    <col min="9483" max="9485" width="0" style="3" hidden="1" customWidth="1"/>
    <col min="9486" max="9729" width="8.81640625" style="3"/>
    <col min="9730" max="9730" width="13.26953125" style="3" customWidth="1"/>
    <col min="9731" max="9731" width="27.453125" style="3" customWidth="1"/>
    <col min="9732" max="9733" width="9.54296875" style="3" customWidth="1"/>
    <col min="9734" max="9734" width="9.7265625" style="3" customWidth="1"/>
    <col min="9735" max="9735" width="9.54296875" style="3" customWidth="1"/>
    <col min="9736" max="9736" width="12.54296875" style="3" customWidth="1"/>
    <col min="9737" max="9737" width="10" style="3" customWidth="1"/>
    <col min="9738" max="9738" width="9.7265625" style="3" customWidth="1"/>
    <col min="9739" max="9741" width="0" style="3" hidden="1" customWidth="1"/>
    <col min="9742" max="9985" width="8.81640625" style="3"/>
    <col min="9986" max="9986" width="13.26953125" style="3" customWidth="1"/>
    <col min="9987" max="9987" width="27.453125" style="3" customWidth="1"/>
    <col min="9988" max="9989" width="9.54296875" style="3" customWidth="1"/>
    <col min="9990" max="9990" width="9.7265625" style="3" customWidth="1"/>
    <col min="9991" max="9991" width="9.54296875" style="3" customWidth="1"/>
    <col min="9992" max="9992" width="12.54296875" style="3" customWidth="1"/>
    <col min="9993" max="9993" width="10" style="3" customWidth="1"/>
    <col min="9994" max="9994" width="9.7265625" style="3" customWidth="1"/>
    <col min="9995" max="9997" width="0" style="3" hidden="1" customWidth="1"/>
    <col min="9998" max="10241" width="8.81640625" style="3"/>
    <col min="10242" max="10242" width="13.26953125" style="3" customWidth="1"/>
    <col min="10243" max="10243" width="27.453125" style="3" customWidth="1"/>
    <col min="10244" max="10245" width="9.54296875" style="3" customWidth="1"/>
    <col min="10246" max="10246" width="9.7265625" style="3" customWidth="1"/>
    <col min="10247" max="10247" width="9.54296875" style="3" customWidth="1"/>
    <col min="10248" max="10248" width="12.54296875" style="3" customWidth="1"/>
    <col min="10249" max="10249" width="10" style="3" customWidth="1"/>
    <col min="10250" max="10250" width="9.7265625" style="3" customWidth="1"/>
    <col min="10251" max="10253" width="0" style="3" hidden="1" customWidth="1"/>
    <col min="10254" max="10497" width="8.81640625" style="3"/>
    <col min="10498" max="10498" width="13.26953125" style="3" customWidth="1"/>
    <col min="10499" max="10499" width="27.453125" style="3" customWidth="1"/>
    <col min="10500" max="10501" width="9.54296875" style="3" customWidth="1"/>
    <col min="10502" max="10502" width="9.7265625" style="3" customWidth="1"/>
    <col min="10503" max="10503" width="9.54296875" style="3" customWidth="1"/>
    <col min="10504" max="10504" width="12.54296875" style="3" customWidth="1"/>
    <col min="10505" max="10505" width="10" style="3" customWidth="1"/>
    <col min="10506" max="10506" width="9.7265625" style="3" customWidth="1"/>
    <col min="10507" max="10509" width="0" style="3" hidden="1" customWidth="1"/>
    <col min="10510" max="10753" width="8.81640625" style="3"/>
    <col min="10754" max="10754" width="13.26953125" style="3" customWidth="1"/>
    <col min="10755" max="10755" width="27.453125" style="3" customWidth="1"/>
    <col min="10756" max="10757" width="9.54296875" style="3" customWidth="1"/>
    <col min="10758" max="10758" width="9.7265625" style="3" customWidth="1"/>
    <col min="10759" max="10759" width="9.54296875" style="3" customWidth="1"/>
    <col min="10760" max="10760" width="12.54296875" style="3" customWidth="1"/>
    <col min="10761" max="10761" width="10" style="3" customWidth="1"/>
    <col min="10762" max="10762" width="9.7265625" style="3" customWidth="1"/>
    <col min="10763" max="10765" width="0" style="3" hidden="1" customWidth="1"/>
    <col min="10766" max="11009" width="8.81640625" style="3"/>
    <col min="11010" max="11010" width="13.26953125" style="3" customWidth="1"/>
    <col min="11011" max="11011" width="27.453125" style="3" customWidth="1"/>
    <col min="11012" max="11013" width="9.54296875" style="3" customWidth="1"/>
    <col min="11014" max="11014" width="9.7265625" style="3" customWidth="1"/>
    <col min="11015" max="11015" width="9.54296875" style="3" customWidth="1"/>
    <col min="11016" max="11016" width="12.54296875" style="3" customWidth="1"/>
    <col min="11017" max="11017" width="10" style="3" customWidth="1"/>
    <col min="11018" max="11018" width="9.7265625" style="3" customWidth="1"/>
    <col min="11019" max="11021" width="0" style="3" hidden="1" customWidth="1"/>
    <col min="11022" max="11265" width="8.81640625" style="3"/>
    <col min="11266" max="11266" width="13.26953125" style="3" customWidth="1"/>
    <col min="11267" max="11267" width="27.453125" style="3" customWidth="1"/>
    <col min="11268" max="11269" width="9.54296875" style="3" customWidth="1"/>
    <col min="11270" max="11270" width="9.7265625" style="3" customWidth="1"/>
    <col min="11271" max="11271" width="9.54296875" style="3" customWidth="1"/>
    <col min="11272" max="11272" width="12.54296875" style="3" customWidth="1"/>
    <col min="11273" max="11273" width="10" style="3" customWidth="1"/>
    <col min="11274" max="11274" width="9.7265625" style="3" customWidth="1"/>
    <col min="11275" max="11277" width="0" style="3" hidden="1" customWidth="1"/>
    <col min="11278" max="11521" width="8.81640625" style="3"/>
    <col min="11522" max="11522" width="13.26953125" style="3" customWidth="1"/>
    <col min="11523" max="11523" width="27.453125" style="3" customWidth="1"/>
    <col min="11524" max="11525" width="9.54296875" style="3" customWidth="1"/>
    <col min="11526" max="11526" width="9.7265625" style="3" customWidth="1"/>
    <col min="11527" max="11527" width="9.54296875" style="3" customWidth="1"/>
    <col min="11528" max="11528" width="12.54296875" style="3" customWidth="1"/>
    <col min="11529" max="11529" width="10" style="3" customWidth="1"/>
    <col min="11530" max="11530" width="9.7265625" style="3" customWidth="1"/>
    <col min="11531" max="11533" width="0" style="3" hidden="1" customWidth="1"/>
    <col min="11534" max="11777" width="8.81640625" style="3"/>
    <col min="11778" max="11778" width="13.26953125" style="3" customWidth="1"/>
    <col min="11779" max="11779" width="27.453125" style="3" customWidth="1"/>
    <col min="11780" max="11781" width="9.54296875" style="3" customWidth="1"/>
    <col min="11782" max="11782" width="9.7265625" style="3" customWidth="1"/>
    <col min="11783" max="11783" width="9.54296875" style="3" customWidth="1"/>
    <col min="11784" max="11784" width="12.54296875" style="3" customWidth="1"/>
    <col min="11785" max="11785" width="10" style="3" customWidth="1"/>
    <col min="11786" max="11786" width="9.7265625" style="3" customWidth="1"/>
    <col min="11787" max="11789" width="0" style="3" hidden="1" customWidth="1"/>
    <col min="11790" max="12033" width="8.81640625" style="3"/>
    <col min="12034" max="12034" width="13.26953125" style="3" customWidth="1"/>
    <col min="12035" max="12035" width="27.453125" style="3" customWidth="1"/>
    <col min="12036" max="12037" width="9.54296875" style="3" customWidth="1"/>
    <col min="12038" max="12038" width="9.7265625" style="3" customWidth="1"/>
    <col min="12039" max="12039" width="9.54296875" style="3" customWidth="1"/>
    <col min="12040" max="12040" width="12.54296875" style="3" customWidth="1"/>
    <col min="12041" max="12041" width="10" style="3" customWidth="1"/>
    <col min="12042" max="12042" width="9.7265625" style="3" customWidth="1"/>
    <col min="12043" max="12045" width="0" style="3" hidden="1" customWidth="1"/>
    <col min="12046" max="12289" width="8.81640625" style="3"/>
    <col min="12290" max="12290" width="13.26953125" style="3" customWidth="1"/>
    <col min="12291" max="12291" width="27.453125" style="3" customWidth="1"/>
    <col min="12292" max="12293" width="9.54296875" style="3" customWidth="1"/>
    <col min="12294" max="12294" width="9.7265625" style="3" customWidth="1"/>
    <col min="12295" max="12295" width="9.54296875" style="3" customWidth="1"/>
    <col min="12296" max="12296" width="12.54296875" style="3" customWidth="1"/>
    <col min="12297" max="12297" width="10" style="3" customWidth="1"/>
    <col min="12298" max="12298" width="9.7265625" style="3" customWidth="1"/>
    <col min="12299" max="12301" width="0" style="3" hidden="1" customWidth="1"/>
    <col min="12302" max="12545" width="8.81640625" style="3"/>
    <col min="12546" max="12546" width="13.26953125" style="3" customWidth="1"/>
    <col min="12547" max="12547" width="27.453125" style="3" customWidth="1"/>
    <col min="12548" max="12549" width="9.54296875" style="3" customWidth="1"/>
    <col min="12550" max="12550" width="9.7265625" style="3" customWidth="1"/>
    <col min="12551" max="12551" width="9.54296875" style="3" customWidth="1"/>
    <col min="12552" max="12552" width="12.54296875" style="3" customWidth="1"/>
    <col min="12553" max="12553" width="10" style="3" customWidth="1"/>
    <col min="12554" max="12554" width="9.7265625" style="3" customWidth="1"/>
    <col min="12555" max="12557" width="0" style="3" hidden="1" customWidth="1"/>
    <col min="12558" max="12801" width="8.81640625" style="3"/>
    <col min="12802" max="12802" width="13.26953125" style="3" customWidth="1"/>
    <col min="12803" max="12803" width="27.453125" style="3" customWidth="1"/>
    <col min="12804" max="12805" width="9.54296875" style="3" customWidth="1"/>
    <col min="12806" max="12806" width="9.7265625" style="3" customWidth="1"/>
    <col min="12807" max="12807" width="9.54296875" style="3" customWidth="1"/>
    <col min="12808" max="12808" width="12.54296875" style="3" customWidth="1"/>
    <col min="12809" max="12809" width="10" style="3" customWidth="1"/>
    <col min="12810" max="12810" width="9.7265625" style="3" customWidth="1"/>
    <col min="12811" max="12813" width="0" style="3" hidden="1" customWidth="1"/>
    <col min="12814" max="13057" width="8.81640625" style="3"/>
    <col min="13058" max="13058" width="13.26953125" style="3" customWidth="1"/>
    <col min="13059" max="13059" width="27.453125" style="3" customWidth="1"/>
    <col min="13060" max="13061" width="9.54296875" style="3" customWidth="1"/>
    <col min="13062" max="13062" width="9.7265625" style="3" customWidth="1"/>
    <col min="13063" max="13063" width="9.54296875" style="3" customWidth="1"/>
    <col min="13064" max="13064" width="12.54296875" style="3" customWidth="1"/>
    <col min="13065" max="13065" width="10" style="3" customWidth="1"/>
    <col min="13066" max="13066" width="9.7265625" style="3" customWidth="1"/>
    <col min="13067" max="13069" width="0" style="3" hidden="1" customWidth="1"/>
    <col min="13070" max="13313" width="8.81640625" style="3"/>
    <col min="13314" max="13314" width="13.26953125" style="3" customWidth="1"/>
    <col min="13315" max="13315" width="27.453125" style="3" customWidth="1"/>
    <col min="13316" max="13317" width="9.54296875" style="3" customWidth="1"/>
    <col min="13318" max="13318" width="9.7265625" style="3" customWidth="1"/>
    <col min="13319" max="13319" width="9.54296875" style="3" customWidth="1"/>
    <col min="13320" max="13320" width="12.54296875" style="3" customWidth="1"/>
    <col min="13321" max="13321" width="10" style="3" customWidth="1"/>
    <col min="13322" max="13322" width="9.7265625" style="3" customWidth="1"/>
    <col min="13323" max="13325" width="0" style="3" hidden="1" customWidth="1"/>
    <col min="13326" max="13569" width="8.81640625" style="3"/>
    <col min="13570" max="13570" width="13.26953125" style="3" customWidth="1"/>
    <col min="13571" max="13571" width="27.453125" style="3" customWidth="1"/>
    <col min="13572" max="13573" width="9.54296875" style="3" customWidth="1"/>
    <col min="13574" max="13574" width="9.7265625" style="3" customWidth="1"/>
    <col min="13575" max="13575" width="9.54296875" style="3" customWidth="1"/>
    <col min="13576" max="13576" width="12.54296875" style="3" customWidth="1"/>
    <col min="13577" max="13577" width="10" style="3" customWidth="1"/>
    <col min="13578" max="13578" width="9.7265625" style="3" customWidth="1"/>
    <col min="13579" max="13581" width="0" style="3" hidden="1" customWidth="1"/>
    <col min="13582" max="13825" width="8.81640625" style="3"/>
    <col min="13826" max="13826" width="13.26953125" style="3" customWidth="1"/>
    <col min="13827" max="13827" width="27.453125" style="3" customWidth="1"/>
    <col min="13828" max="13829" width="9.54296875" style="3" customWidth="1"/>
    <col min="13830" max="13830" width="9.7265625" style="3" customWidth="1"/>
    <col min="13831" max="13831" width="9.54296875" style="3" customWidth="1"/>
    <col min="13832" max="13832" width="12.54296875" style="3" customWidth="1"/>
    <col min="13833" max="13833" width="10" style="3" customWidth="1"/>
    <col min="13834" max="13834" width="9.7265625" style="3" customWidth="1"/>
    <col min="13835" max="13837" width="0" style="3" hidden="1" customWidth="1"/>
    <col min="13838" max="14081" width="8.81640625" style="3"/>
    <col min="14082" max="14082" width="13.26953125" style="3" customWidth="1"/>
    <col min="14083" max="14083" width="27.453125" style="3" customWidth="1"/>
    <col min="14084" max="14085" width="9.54296875" style="3" customWidth="1"/>
    <col min="14086" max="14086" width="9.7265625" style="3" customWidth="1"/>
    <col min="14087" max="14087" width="9.54296875" style="3" customWidth="1"/>
    <col min="14088" max="14088" width="12.54296875" style="3" customWidth="1"/>
    <col min="14089" max="14089" width="10" style="3" customWidth="1"/>
    <col min="14090" max="14090" width="9.7265625" style="3" customWidth="1"/>
    <col min="14091" max="14093" width="0" style="3" hidden="1" customWidth="1"/>
    <col min="14094" max="14337" width="8.81640625" style="3"/>
    <col min="14338" max="14338" width="13.26953125" style="3" customWidth="1"/>
    <col min="14339" max="14339" width="27.453125" style="3" customWidth="1"/>
    <col min="14340" max="14341" width="9.54296875" style="3" customWidth="1"/>
    <col min="14342" max="14342" width="9.7265625" style="3" customWidth="1"/>
    <col min="14343" max="14343" width="9.54296875" style="3" customWidth="1"/>
    <col min="14344" max="14344" width="12.54296875" style="3" customWidth="1"/>
    <col min="14345" max="14345" width="10" style="3" customWidth="1"/>
    <col min="14346" max="14346" width="9.7265625" style="3" customWidth="1"/>
    <col min="14347" max="14349" width="0" style="3" hidden="1" customWidth="1"/>
    <col min="14350" max="14593" width="8.81640625" style="3"/>
    <col min="14594" max="14594" width="13.26953125" style="3" customWidth="1"/>
    <col min="14595" max="14595" width="27.453125" style="3" customWidth="1"/>
    <col min="14596" max="14597" width="9.54296875" style="3" customWidth="1"/>
    <col min="14598" max="14598" width="9.7265625" style="3" customWidth="1"/>
    <col min="14599" max="14599" width="9.54296875" style="3" customWidth="1"/>
    <col min="14600" max="14600" width="12.54296875" style="3" customWidth="1"/>
    <col min="14601" max="14601" width="10" style="3" customWidth="1"/>
    <col min="14602" max="14602" width="9.7265625" style="3" customWidth="1"/>
    <col min="14603" max="14605" width="0" style="3" hidden="1" customWidth="1"/>
    <col min="14606" max="14849" width="8.81640625" style="3"/>
    <col min="14850" max="14850" width="13.26953125" style="3" customWidth="1"/>
    <col min="14851" max="14851" width="27.453125" style="3" customWidth="1"/>
    <col min="14852" max="14853" width="9.54296875" style="3" customWidth="1"/>
    <col min="14854" max="14854" width="9.7265625" style="3" customWidth="1"/>
    <col min="14855" max="14855" width="9.54296875" style="3" customWidth="1"/>
    <col min="14856" max="14856" width="12.54296875" style="3" customWidth="1"/>
    <col min="14857" max="14857" width="10" style="3" customWidth="1"/>
    <col min="14858" max="14858" width="9.7265625" style="3" customWidth="1"/>
    <col min="14859" max="14861" width="0" style="3" hidden="1" customWidth="1"/>
    <col min="14862" max="15105" width="8.81640625" style="3"/>
    <col min="15106" max="15106" width="13.26953125" style="3" customWidth="1"/>
    <col min="15107" max="15107" width="27.453125" style="3" customWidth="1"/>
    <col min="15108" max="15109" width="9.54296875" style="3" customWidth="1"/>
    <col min="15110" max="15110" width="9.7265625" style="3" customWidth="1"/>
    <col min="15111" max="15111" width="9.54296875" style="3" customWidth="1"/>
    <col min="15112" max="15112" width="12.54296875" style="3" customWidth="1"/>
    <col min="15113" max="15113" width="10" style="3" customWidth="1"/>
    <col min="15114" max="15114" width="9.7265625" style="3" customWidth="1"/>
    <col min="15115" max="15117" width="0" style="3" hidden="1" customWidth="1"/>
    <col min="15118" max="15361" width="8.81640625" style="3"/>
    <col min="15362" max="15362" width="13.26953125" style="3" customWidth="1"/>
    <col min="15363" max="15363" width="27.453125" style="3" customWidth="1"/>
    <col min="15364" max="15365" width="9.54296875" style="3" customWidth="1"/>
    <col min="15366" max="15366" width="9.7265625" style="3" customWidth="1"/>
    <col min="15367" max="15367" width="9.54296875" style="3" customWidth="1"/>
    <col min="15368" max="15368" width="12.54296875" style="3" customWidth="1"/>
    <col min="15369" max="15369" width="10" style="3" customWidth="1"/>
    <col min="15370" max="15370" width="9.7265625" style="3" customWidth="1"/>
    <col min="15371" max="15373" width="0" style="3" hidden="1" customWidth="1"/>
    <col min="15374" max="15617" width="8.81640625" style="3"/>
    <col min="15618" max="15618" width="13.26953125" style="3" customWidth="1"/>
    <col min="15619" max="15619" width="27.453125" style="3" customWidth="1"/>
    <col min="15620" max="15621" width="9.54296875" style="3" customWidth="1"/>
    <col min="15622" max="15622" width="9.7265625" style="3" customWidth="1"/>
    <col min="15623" max="15623" width="9.54296875" style="3" customWidth="1"/>
    <col min="15624" max="15624" width="12.54296875" style="3" customWidth="1"/>
    <col min="15625" max="15625" width="10" style="3" customWidth="1"/>
    <col min="15626" max="15626" width="9.7265625" style="3" customWidth="1"/>
    <col min="15627" max="15629" width="0" style="3" hidden="1" customWidth="1"/>
    <col min="15630" max="15873" width="8.81640625" style="3"/>
    <col min="15874" max="15874" width="13.26953125" style="3" customWidth="1"/>
    <col min="15875" max="15875" width="27.453125" style="3" customWidth="1"/>
    <col min="15876" max="15877" width="9.54296875" style="3" customWidth="1"/>
    <col min="15878" max="15878" width="9.7265625" style="3" customWidth="1"/>
    <col min="15879" max="15879" width="9.54296875" style="3" customWidth="1"/>
    <col min="15880" max="15880" width="12.54296875" style="3" customWidth="1"/>
    <col min="15881" max="15881" width="10" style="3" customWidth="1"/>
    <col min="15882" max="15882" width="9.7265625" style="3" customWidth="1"/>
    <col min="15883" max="15885" width="0" style="3" hidden="1" customWidth="1"/>
    <col min="15886" max="16129" width="8.81640625" style="3"/>
    <col min="16130" max="16130" width="13.26953125" style="3" customWidth="1"/>
    <col min="16131" max="16131" width="27.453125" style="3" customWidth="1"/>
    <col min="16132" max="16133" width="9.54296875" style="3" customWidth="1"/>
    <col min="16134" max="16134" width="9.7265625" style="3" customWidth="1"/>
    <col min="16135" max="16135" width="9.54296875" style="3" customWidth="1"/>
    <col min="16136" max="16136" width="12.54296875" style="3" customWidth="1"/>
    <col min="16137" max="16137" width="10" style="3" customWidth="1"/>
    <col min="16138" max="16138" width="9.7265625" style="3" customWidth="1"/>
    <col min="16139" max="16141" width="0" style="3" hidden="1" customWidth="1"/>
    <col min="16142" max="16384" width="8.81640625" style="3"/>
  </cols>
  <sheetData>
    <row r="1" spans="1:19" s="1" customFormat="1" x14ac:dyDescent="0.35">
      <c r="A1" s="1228" t="s">
        <v>0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279"/>
      <c r="M1" s="279"/>
      <c r="N1" s="581"/>
    </row>
    <row r="2" spans="1:19" s="1" customFormat="1" x14ac:dyDescent="0.35">
      <c r="A2" s="1228" t="s">
        <v>297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279"/>
      <c r="M2" s="279"/>
      <c r="N2" s="581"/>
    </row>
    <row r="3" spans="1:19" s="1" customFormat="1" x14ac:dyDescent="0.35">
      <c r="A3" s="1229">
        <v>2020</v>
      </c>
      <c r="B3" s="1229"/>
      <c r="C3" s="1229"/>
      <c r="D3" s="1229"/>
      <c r="E3" s="1229"/>
      <c r="F3" s="1229"/>
      <c r="G3" s="1229"/>
      <c r="H3" s="1229"/>
      <c r="I3" s="1229"/>
      <c r="J3" s="1229"/>
      <c r="K3" s="1229"/>
      <c r="L3" s="544"/>
      <c r="M3" s="544"/>
      <c r="N3" s="581"/>
    </row>
    <row r="5" spans="1:19" ht="9" customHeight="1" thickBot="1" x14ac:dyDescent="0.4"/>
    <row r="6" spans="1:19" s="1" customFormat="1" x14ac:dyDescent="0.35">
      <c r="A6" s="1217" t="s">
        <v>3</v>
      </c>
      <c r="B6" s="1218"/>
      <c r="C6" s="1218"/>
      <c r="D6" s="1218"/>
      <c r="E6" s="1218"/>
      <c r="F6" s="1218"/>
      <c r="G6" s="1218"/>
      <c r="H6" s="1218"/>
      <c r="I6" s="1218"/>
      <c r="J6" s="1218"/>
      <c r="K6" s="1218"/>
      <c r="L6" s="1230"/>
      <c r="M6" s="584"/>
      <c r="N6" s="581"/>
      <c r="O6" s="1" t="s">
        <v>299</v>
      </c>
      <c r="Q6" s="1" t="s">
        <v>300</v>
      </c>
      <c r="S6" s="1" t="s">
        <v>301</v>
      </c>
    </row>
    <row r="7" spans="1:19" s="1" customFormat="1" ht="16" thickBot="1" x14ac:dyDescent="0.4">
      <c r="A7" s="585"/>
      <c r="B7" s="2"/>
      <c r="C7" s="5"/>
      <c r="D7" s="586"/>
      <c r="E7" s="5"/>
      <c r="F7" s="5"/>
      <c r="G7" s="5"/>
      <c r="H7" s="5"/>
      <c r="I7" s="5"/>
      <c r="J7" s="3"/>
      <c r="K7" s="21"/>
      <c r="L7" s="587"/>
      <c r="M7" s="21"/>
      <c r="N7" s="581"/>
      <c r="O7" s="22">
        <f>C29+C57+C70+C78+C91+C125+C137</f>
        <v>353.32</v>
      </c>
      <c r="Q7" s="22">
        <f>C167+C194+C203+C220</f>
        <v>268.41700000000003</v>
      </c>
      <c r="S7" s="22">
        <f>C146+C243+C256+C281+C293+C304</f>
        <v>198.798</v>
      </c>
    </row>
    <row r="8" spans="1:19" s="1" customFormat="1" ht="21" customHeight="1" x14ac:dyDescent="0.35">
      <c r="A8" s="1206" t="s">
        <v>302</v>
      </c>
      <c r="B8" s="1208" t="s">
        <v>28</v>
      </c>
      <c r="C8" s="1210" t="s">
        <v>303</v>
      </c>
      <c r="D8" s="1231" t="s">
        <v>304</v>
      </c>
      <c r="E8" s="1212" t="s">
        <v>305</v>
      </c>
      <c r="F8" s="1212"/>
      <c r="G8" s="1212"/>
      <c r="H8" s="1212"/>
      <c r="I8" s="1212"/>
      <c r="J8" s="1208" t="s">
        <v>29</v>
      </c>
      <c r="K8" s="1213" t="s">
        <v>306</v>
      </c>
      <c r="L8" s="1222" t="s">
        <v>307</v>
      </c>
      <c r="M8" s="588"/>
      <c r="N8" s="581"/>
    </row>
    <row r="9" spans="1:19" s="1" customFormat="1" ht="31.5" customHeight="1" thickBot="1" x14ac:dyDescent="0.4">
      <c r="A9" s="1207"/>
      <c r="B9" s="1209"/>
      <c r="C9" s="1211"/>
      <c r="D9" s="1232"/>
      <c r="E9" s="7" t="s">
        <v>308</v>
      </c>
      <c r="F9" s="7" t="s">
        <v>309</v>
      </c>
      <c r="G9" s="7" t="s">
        <v>310</v>
      </c>
      <c r="H9" s="7" t="s">
        <v>311</v>
      </c>
      <c r="I9" s="7" t="s">
        <v>312</v>
      </c>
      <c r="J9" s="1209"/>
      <c r="K9" s="1214"/>
      <c r="L9" s="1223"/>
      <c r="M9" s="588"/>
      <c r="N9" s="1" t="s">
        <v>143</v>
      </c>
      <c r="O9" s="22">
        <f>O7+Q7+S7</f>
        <v>820.53500000000008</v>
      </c>
      <c r="Q9" s="22">
        <f>O13-O9</f>
        <v>91.977999999999838</v>
      </c>
      <c r="S9" s="1">
        <f>(O9/O13)*100</f>
        <v>89.920362778393311</v>
      </c>
    </row>
    <row r="10" spans="1:19" s="16" customFormat="1" ht="17.149999999999999" customHeight="1" x14ac:dyDescent="0.35">
      <c r="A10" s="589">
        <v>219</v>
      </c>
      <c r="B10" s="110" t="s">
        <v>214</v>
      </c>
      <c r="C10" s="15">
        <f>SUM(E10:I10)</f>
        <v>0.4</v>
      </c>
      <c r="D10" s="590">
        <f>'[23]road inventory 2018'!C10</f>
        <v>0.65</v>
      </c>
      <c r="E10" s="15">
        <v>0</v>
      </c>
      <c r="F10" s="15">
        <v>0</v>
      </c>
      <c r="G10" s="15">
        <v>0</v>
      </c>
      <c r="H10" s="15">
        <v>0.4</v>
      </c>
      <c r="I10" s="15">
        <v>0</v>
      </c>
      <c r="J10" s="106" t="s">
        <v>12</v>
      </c>
      <c r="K10" s="591" t="s">
        <v>313</v>
      </c>
      <c r="L10" s="592"/>
      <c r="M10" s="593"/>
      <c r="N10" s="16" t="s">
        <v>4</v>
      </c>
    </row>
    <row r="11" spans="1:19" s="16" customFormat="1" ht="16.5" customHeight="1" x14ac:dyDescent="0.35">
      <c r="A11" s="589">
        <v>1</v>
      </c>
      <c r="B11" s="14" t="s">
        <v>314</v>
      </c>
      <c r="C11" s="15">
        <f t="shared" ref="C11:C28" si="0">SUM(E11:I11)</f>
        <v>5.48</v>
      </c>
      <c r="D11" s="590">
        <f>'[23]road inventory 2018'!C11</f>
        <v>5.5</v>
      </c>
      <c r="E11" s="594">
        <v>2.87</v>
      </c>
      <c r="F11" s="594">
        <v>0</v>
      </c>
      <c r="G11" s="15">
        <v>0</v>
      </c>
      <c r="H11" s="594">
        <v>2.61</v>
      </c>
      <c r="I11" s="594">
        <v>0</v>
      </c>
      <c r="J11" s="24" t="s">
        <v>12</v>
      </c>
      <c r="K11" s="591" t="s">
        <v>315</v>
      </c>
      <c r="L11" s="24"/>
      <c r="M11" s="593"/>
      <c r="N11" s="16" t="s">
        <v>10</v>
      </c>
      <c r="O11" s="595">
        <f>D29+D57+D70+D77+D91+D125+D137</f>
        <v>350.05</v>
      </c>
      <c r="Q11" s="595">
        <f>D167+D180+D194+D203+D220</f>
        <v>340.54999999999995</v>
      </c>
      <c r="S11" s="595">
        <f>D146+D230+D243+D256+D281+D293+D304+C310</f>
        <v>221.91300000000001</v>
      </c>
    </row>
    <row r="12" spans="1:19" ht="16.5" customHeight="1" x14ac:dyDescent="0.35">
      <c r="A12" s="596">
        <v>2</v>
      </c>
      <c r="B12" s="9" t="s">
        <v>212</v>
      </c>
      <c r="C12" s="15">
        <f t="shared" si="0"/>
        <v>0.91999999999999993</v>
      </c>
      <c r="D12" s="590">
        <f>'[23]road inventory 2018'!C12</f>
        <v>0.8</v>
      </c>
      <c r="E12" s="11">
        <v>7.0000000000000007E-2</v>
      </c>
      <c r="F12" s="11">
        <v>0</v>
      </c>
      <c r="G12" s="11">
        <v>0</v>
      </c>
      <c r="H12" s="11">
        <v>0.85</v>
      </c>
      <c r="I12" s="11">
        <v>0</v>
      </c>
      <c r="J12" s="28" t="s">
        <v>10</v>
      </c>
      <c r="K12" s="597" t="s">
        <v>316</v>
      </c>
      <c r="L12" s="28"/>
      <c r="N12" s="3" t="s">
        <v>317</v>
      </c>
    </row>
    <row r="13" spans="1:19" s="16" customFormat="1" ht="17.149999999999999" customHeight="1" x14ac:dyDescent="0.35">
      <c r="A13" s="589">
        <v>3</v>
      </c>
      <c r="B13" s="14" t="s">
        <v>217</v>
      </c>
      <c r="C13" s="15">
        <f t="shared" si="0"/>
        <v>4.97</v>
      </c>
      <c r="D13" s="590">
        <f>'[23]road inventory 2018'!C13</f>
        <v>4.9000000000000004</v>
      </c>
      <c r="E13" s="594">
        <v>0</v>
      </c>
      <c r="F13" s="594">
        <v>0</v>
      </c>
      <c r="G13" s="594">
        <v>0</v>
      </c>
      <c r="H13" s="594">
        <v>4.97</v>
      </c>
      <c r="I13" s="594">
        <v>0</v>
      </c>
      <c r="J13" s="106" t="s">
        <v>12</v>
      </c>
      <c r="K13" s="591" t="s">
        <v>318</v>
      </c>
      <c r="L13" s="24"/>
      <c r="M13" s="593"/>
      <c r="N13" s="16" t="s">
        <v>33</v>
      </c>
      <c r="O13" s="595">
        <f>O11+Q11+S11</f>
        <v>912.51299999999992</v>
      </c>
    </row>
    <row r="14" spans="1:19" ht="17.149999999999999" customHeight="1" x14ac:dyDescent="0.35">
      <c r="A14" s="596">
        <v>93</v>
      </c>
      <c r="B14" s="9" t="s">
        <v>13</v>
      </c>
      <c r="C14" s="15">
        <f t="shared" si="0"/>
        <v>3.9</v>
      </c>
      <c r="D14" s="590">
        <f>'[23]road inventory 2018'!C15</f>
        <v>3.9</v>
      </c>
      <c r="E14" s="11">
        <v>3.9</v>
      </c>
      <c r="F14" s="11">
        <v>0</v>
      </c>
      <c r="G14" s="11">
        <v>0</v>
      </c>
      <c r="H14" s="11">
        <v>0</v>
      </c>
      <c r="I14" s="11">
        <v>0</v>
      </c>
      <c r="J14" s="103" t="str">
        <f>N11</f>
        <v>Good</v>
      </c>
      <c r="K14" s="597" t="s">
        <v>320</v>
      </c>
      <c r="L14" s="28"/>
      <c r="O14" s="38" t="e">
        <f>D230+D237+D241+#REF!+#REF!+#REF!+#REF!+D254+D265+#REF!+#REF!+D277+#REF!+#REF!+D290+D291+#REF!</f>
        <v>#REF!</v>
      </c>
      <c r="Q14" s="38" t="e">
        <f>Q9-O14</f>
        <v>#REF!</v>
      </c>
    </row>
    <row r="15" spans="1:19" s="16" customFormat="1" ht="17.149999999999999" customHeight="1" x14ac:dyDescent="0.35">
      <c r="A15" s="589">
        <v>218</v>
      </c>
      <c r="B15" s="14" t="s">
        <v>213</v>
      </c>
      <c r="C15" s="15">
        <f t="shared" si="0"/>
        <v>5.61</v>
      </c>
      <c r="D15" s="590">
        <f>'[23]road inventory 2018'!C16</f>
        <v>5.8</v>
      </c>
      <c r="E15" s="594">
        <v>0</v>
      </c>
      <c r="F15" s="594">
        <v>0</v>
      </c>
      <c r="G15" s="594">
        <v>0</v>
      </c>
      <c r="H15" s="594">
        <v>5.61</v>
      </c>
      <c r="I15" s="594">
        <v>0</v>
      </c>
      <c r="J15" s="106" t="s">
        <v>12</v>
      </c>
      <c r="K15" s="591" t="s">
        <v>316</v>
      </c>
      <c r="L15" s="24"/>
      <c r="M15" s="593"/>
      <c r="N15" s="598"/>
    </row>
    <row r="16" spans="1:19" s="16" customFormat="1" ht="17.149999999999999" customHeight="1" x14ac:dyDescent="0.35">
      <c r="A16" s="589">
        <v>5</v>
      </c>
      <c r="B16" s="14" t="s">
        <v>16</v>
      </c>
      <c r="C16" s="15">
        <f t="shared" si="0"/>
        <v>2.85</v>
      </c>
      <c r="D16" s="590">
        <f>'[23]road inventory 2018'!C17</f>
        <v>2.8</v>
      </c>
      <c r="E16" s="594">
        <v>2.85</v>
      </c>
      <c r="F16" s="594">
        <v>0</v>
      </c>
      <c r="G16" s="594">
        <v>0</v>
      </c>
      <c r="H16" s="594">
        <v>0</v>
      </c>
      <c r="I16" s="594">
        <v>0</v>
      </c>
      <c r="J16" s="106" t="s">
        <v>10</v>
      </c>
      <c r="K16" s="591" t="s">
        <v>320</v>
      </c>
      <c r="L16" s="24"/>
      <c r="M16" s="593"/>
      <c r="N16" s="598"/>
      <c r="O16" s="595" t="e">
        <f>#REF!+D40+D45+D65+#REF!</f>
        <v>#REF!</v>
      </c>
    </row>
    <row r="17" spans="1:17" ht="17.149999999999999" customHeight="1" x14ac:dyDescent="0.35">
      <c r="A17" s="596">
        <v>6</v>
      </c>
      <c r="B17" s="9" t="s">
        <v>220</v>
      </c>
      <c r="C17" s="15">
        <f t="shared" si="0"/>
        <v>3.96</v>
      </c>
      <c r="D17" s="590">
        <f>'[23]road inventory 2018'!C18</f>
        <v>3.9</v>
      </c>
      <c r="E17" s="11">
        <v>2.7</v>
      </c>
      <c r="F17" s="11">
        <v>0</v>
      </c>
      <c r="G17" s="11">
        <v>0</v>
      </c>
      <c r="H17" s="11">
        <v>1.26</v>
      </c>
      <c r="I17" s="11">
        <v>0</v>
      </c>
      <c r="J17" s="103" t="s">
        <v>10</v>
      </c>
      <c r="K17" s="597" t="s">
        <v>315</v>
      </c>
      <c r="L17" s="28"/>
    </row>
    <row r="18" spans="1:17" s="16" customFormat="1" ht="17.149999999999999" customHeight="1" x14ac:dyDescent="0.35">
      <c r="A18" s="589">
        <v>7</v>
      </c>
      <c r="B18" s="14" t="s">
        <v>205</v>
      </c>
      <c r="C18" s="15">
        <f t="shared" si="0"/>
        <v>1.1499999999999999</v>
      </c>
      <c r="D18" s="590">
        <f>'[23]road inventory 2018'!C19</f>
        <v>1.1000000000000001</v>
      </c>
      <c r="E18" s="594">
        <v>1.1499999999999999</v>
      </c>
      <c r="F18" s="594">
        <v>0</v>
      </c>
      <c r="G18" s="594">
        <v>0</v>
      </c>
      <c r="H18" s="594">
        <v>0</v>
      </c>
      <c r="I18" s="594">
        <v>0</v>
      </c>
      <c r="J18" s="106" t="s">
        <v>10</v>
      </c>
      <c r="K18" s="591" t="s">
        <v>321</v>
      </c>
      <c r="L18" s="24"/>
      <c r="M18" s="593"/>
      <c r="N18" s="599" t="s">
        <v>322</v>
      </c>
      <c r="Q18" s="16" t="s">
        <v>323</v>
      </c>
    </row>
    <row r="19" spans="1:17" s="16" customFormat="1" ht="17.149999999999999" customHeight="1" x14ac:dyDescent="0.35">
      <c r="A19" s="589">
        <v>8</v>
      </c>
      <c r="B19" s="14" t="s">
        <v>324</v>
      </c>
      <c r="C19" s="15">
        <f t="shared" si="0"/>
        <v>0.64</v>
      </c>
      <c r="D19" s="590">
        <f>'[23]road inventory 2018'!C20</f>
        <v>0.6</v>
      </c>
      <c r="E19" s="594">
        <v>0.64</v>
      </c>
      <c r="F19" s="594">
        <v>0</v>
      </c>
      <c r="G19" s="594">
        <v>0</v>
      </c>
      <c r="H19" s="594">
        <v>0</v>
      </c>
      <c r="I19" s="594">
        <v>0</v>
      </c>
      <c r="J19" s="106" t="s">
        <v>10</v>
      </c>
      <c r="K19" s="591" t="s">
        <v>325</v>
      </c>
      <c r="L19" s="24"/>
      <c r="M19" s="593"/>
      <c r="N19" s="16" t="s">
        <v>182</v>
      </c>
      <c r="O19" s="595">
        <f>C10+C11+C12+C13+C14+C15+C16+C17+C18+C19+C20+C21+C22+C23+C24+C25+C26+C27+C28</f>
        <v>81.36</v>
      </c>
      <c r="Q19" s="595">
        <f t="shared" ref="Q19:Q28" si="1">O19</f>
        <v>81.36</v>
      </c>
    </row>
    <row r="20" spans="1:17" s="16" customFormat="1" ht="17.149999999999999" customHeight="1" x14ac:dyDescent="0.35">
      <c r="A20" s="589">
        <v>9</v>
      </c>
      <c r="B20" s="14" t="s">
        <v>19</v>
      </c>
      <c r="C20" s="15">
        <f t="shared" si="0"/>
        <v>9.3000000000000007</v>
      </c>
      <c r="D20" s="590">
        <f>'[23]road inventory 2018'!C21</f>
        <v>9</v>
      </c>
      <c r="E20" s="594">
        <v>9.3000000000000007</v>
      </c>
      <c r="F20" s="594">
        <v>0</v>
      </c>
      <c r="G20" s="594">
        <v>0</v>
      </c>
      <c r="H20" s="594">
        <v>0</v>
      </c>
      <c r="I20" s="594">
        <v>0</v>
      </c>
      <c r="J20" s="106" t="s">
        <v>10</v>
      </c>
      <c r="K20" s="591" t="s">
        <v>326</v>
      </c>
      <c r="L20" s="24"/>
      <c r="M20" s="593"/>
      <c r="N20" s="598" t="s">
        <v>183</v>
      </c>
      <c r="O20" s="595">
        <f>C36+C37+C38+C39+C40+C41+C42+C43+C44+C45+C46++C47+C48+C49+C50+C51+C52+C53+C54+C55+C56</f>
        <v>74.349999999999994</v>
      </c>
      <c r="Q20" s="595">
        <f t="shared" si="1"/>
        <v>74.349999999999994</v>
      </c>
    </row>
    <row r="21" spans="1:17" s="16" customFormat="1" ht="17.149999999999999" customHeight="1" x14ac:dyDescent="0.35">
      <c r="A21" s="589">
        <v>10</v>
      </c>
      <c r="B21" s="14" t="s">
        <v>23</v>
      </c>
      <c r="C21" s="15">
        <f t="shared" si="0"/>
        <v>13.79</v>
      </c>
      <c r="D21" s="590">
        <f>'[23]road inventory 2018'!C22</f>
        <v>13.6</v>
      </c>
      <c r="E21" s="594">
        <v>8.7899999999999991</v>
      </c>
      <c r="F21" s="594">
        <v>0</v>
      </c>
      <c r="G21" s="594">
        <v>0</v>
      </c>
      <c r="H21" s="594">
        <v>5</v>
      </c>
      <c r="I21" s="594">
        <v>0</v>
      </c>
      <c r="J21" s="106" t="str">
        <f>J20</f>
        <v>Good</v>
      </c>
      <c r="K21" s="591" t="s">
        <v>327</v>
      </c>
      <c r="L21" s="24"/>
      <c r="M21" s="593"/>
      <c r="N21" s="598" t="s">
        <v>184</v>
      </c>
      <c r="O21" s="595">
        <f>C63+C64+C65+C66+C67+C68</f>
        <v>28.019999999999996</v>
      </c>
      <c r="Q21" s="595">
        <f t="shared" si="1"/>
        <v>28.019999999999996</v>
      </c>
    </row>
    <row r="22" spans="1:17" s="16" customFormat="1" ht="17.149999999999999" customHeight="1" x14ac:dyDescent="0.35">
      <c r="A22" s="589">
        <v>11</v>
      </c>
      <c r="B22" s="14" t="s">
        <v>223</v>
      </c>
      <c r="C22" s="15">
        <f t="shared" si="0"/>
        <v>2.27</v>
      </c>
      <c r="D22" s="590">
        <f>'[23]road inventory 2018'!C23</f>
        <v>2.2000000000000002</v>
      </c>
      <c r="E22" s="594">
        <v>0.21</v>
      </c>
      <c r="F22" s="594">
        <v>0</v>
      </c>
      <c r="G22" s="594">
        <v>0</v>
      </c>
      <c r="H22" s="594">
        <v>2.06</v>
      </c>
      <c r="I22" s="594">
        <v>0</v>
      </c>
      <c r="J22" s="106" t="s">
        <v>12</v>
      </c>
      <c r="K22" s="591" t="s">
        <v>328</v>
      </c>
      <c r="L22" s="24"/>
      <c r="M22" s="593"/>
      <c r="N22" s="598" t="s">
        <v>185</v>
      </c>
      <c r="O22" s="600">
        <f>C77</f>
        <v>3.28</v>
      </c>
      <c r="Q22" s="600">
        <f t="shared" si="1"/>
        <v>3.28</v>
      </c>
    </row>
    <row r="23" spans="1:17" s="16" customFormat="1" ht="17.149999999999999" customHeight="1" x14ac:dyDescent="0.35">
      <c r="A23" s="589">
        <v>13</v>
      </c>
      <c r="B23" s="14" t="s">
        <v>218</v>
      </c>
      <c r="C23" s="15">
        <f t="shared" si="0"/>
        <v>1.72</v>
      </c>
      <c r="D23" s="590">
        <f>'[23]road inventory 2018'!C24</f>
        <v>1.7</v>
      </c>
      <c r="E23" s="594">
        <v>0</v>
      </c>
      <c r="F23" s="594">
        <v>0</v>
      </c>
      <c r="G23" s="594">
        <v>0</v>
      </c>
      <c r="H23" s="594">
        <v>1.72</v>
      </c>
      <c r="I23" s="594">
        <v>0</v>
      </c>
      <c r="J23" s="106" t="s">
        <v>12</v>
      </c>
      <c r="K23" s="591" t="s">
        <v>329</v>
      </c>
      <c r="L23" s="24"/>
      <c r="M23" s="593"/>
      <c r="N23" s="598" t="s">
        <v>330</v>
      </c>
      <c r="O23" s="595">
        <f>C84+C85+C86+C87+C88+C89</f>
        <v>26.35</v>
      </c>
      <c r="Q23" s="595">
        <f t="shared" si="1"/>
        <v>26.35</v>
      </c>
    </row>
    <row r="24" spans="1:17" s="16" customFormat="1" ht="17.149999999999999" customHeight="1" x14ac:dyDescent="0.35">
      <c r="A24" s="589">
        <v>14</v>
      </c>
      <c r="B24" s="14" t="s">
        <v>215</v>
      </c>
      <c r="C24" s="15">
        <f t="shared" si="0"/>
        <v>4.12</v>
      </c>
      <c r="D24" s="590">
        <f>'[23]road inventory 2018'!C27</f>
        <v>4</v>
      </c>
      <c r="E24" s="594">
        <v>4.12</v>
      </c>
      <c r="F24" s="594">
        <v>0</v>
      </c>
      <c r="G24" s="594">
        <v>0</v>
      </c>
      <c r="H24" s="594">
        <v>0</v>
      </c>
      <c r="I24" s="594">
        <v>0</v>
      </c>
      <c r="J24" s="106" t="s">
        <v>10</v>
      </c>
      <c r="K24" s="591" t="s">
        <v>327</v>
      </c>
      <c r="L24" s="24"/>
      <c r="M24" s="593"/>
      <c r="N24" s="598" t="s">
        <v>189</v>
      </c>
      <c r="O24" s="595">
        <f>C144+C145</f>
        <v>18.670000000000002</v>
      </c>
      <c r="Q24" s="595">
        <f t="shared" si="1"/>
        <v>18.670000000000002</v>
      </c>
    </row>
    <row r="25" spans="1:17" s="16" customFormat="1" ht="17.149999999999999" customHeight="1" x14ac:dyDescent="0.35">
      <c r="A25" s="589">
        <v>16</v>
      </c>
      <c r="B25" s="14" t="s">
        <v>25</v>
      </c>
      <c r="C25" s="15">
        <f t="shared" si="0"/>
        <v>1.05</v>
      </c>
      <c r="D25" s="590">
        <f>'[23]road inventory 2018'!C29</f>
        <v>1</v>
      </c>
      <c r="E25" s="594">
        <v>0</v>
      </c>
      <c r="F25" s="594">
        <v>0</v>
      </c>
      <c r="G25" s="594">
        <v>0</v>
      </c>
      <c r="H25" s="594">
        <v>1.05</v>
      </c>
      <c r="I25" s="594">
        <v>0</v>
      </c>
      <c r="J25" s="106" t="s">
        <v>12</v>
      </c>
      <c r="K25" s="591" t="s">
        <v>337</v>
      </c>
      <c r="L25" s="24"/>
      <c r="M25" s="593"/>
      <c r="N25" s="598" t="s">
        <v>338</v>
      </c>
      <c r="O25" s="595">
        <f>C174+C175+C176+C177+C178+C179</f>
        <v>71.400000000000006</v>
      </c>
      <c r="Q25" s="595">
        <f t="shared" si="1"/>
        <v>71.400000000000006</v>
      </c>
    </row>
    <row r="26" spans="1:17" s="16" customFormat="1" ht="17.149999999999999" customHeight="1" x14ac:dyDescent="0.35">
      <c r="A26" s="589">
        <v>17</v>
      </c>
      <c r="B26" s="14" t="s">
        <v>216</v>
      </c>
      <c r="C26" s="15">
        <f t="shared" si="0"/>
        <v>4.18</v>
      </c>
      <c r="D26" s="590">
        <f>'[23]road inventory 2018'!C30</f>
        <v>4</v>
      </c>
      <c r="E26" s="594">
        <v>4.18</v>
      </c>
      <c r="F26" s="594">
        <v>0</v>
      </c>
      <c r="G26" s="594">
        <v>0</v>
      </c>
      <c r="H26" s="594">
        <v>0</v>
      </c>
      <c r="I26" s="594">
        <v>0</v>
      </c>
      <c r="J26" s="106" t="s">
        <v>12</v>
      </c>
      <c r="K26" s="591" t="s">
        <v>339</v>
      </c>
      <c r="L26" s="24"/>
      <c r="M26" s="593"/>
      <c r="N26" s="598" t="s">
        <v>193</v>
      </c>
      <c r="O26" s="595">
        <f>C187+C188+C189+C190+C191+C192+C193</f>
        <v>88.617000000000004</v>
      </c>
      <c r="Q26" s="595">
        <f t="shared" si="1"/>
        <v>88.617000000000004</v>
      </c>
    </row>
    <row r="27" spans="1:17" s="16" customFormat="1" ht="16.149999999999999" customHeight="1" x14ac:dyDescent="0.35">
      <c r="A27" s="589">
        <v>18</v>
      </c>
      <c r="B27" s="14" t="s">
        <v>27</v>
      </c>
      <c r="C27" s="15">
        <f t="shared" si="0"/>
        <v>10.52</v>
      </c>
      <c r="D27" s="590">
        <f>'[23]road inventory 2018'!C31</f>
        <v>10.5</v>
      </c>
      <c r="E27" s="594">
        <v>4.54</v>
      </c>
      <c r="F27" s="594">
        <v>0</v>
      </c>
      <c r="G27" s="594">
        <v>0</v>
      </c>
      <c r="H27" s="594">
        <v>5.98</v>
      </c>
      <c r="I27" s="594">
        <v>0</v>
      </c>
      <c r="J27" s="106" t="s">
        <v>12</v>
      </c>
      <c r="K27" s="591" t="s">
        <v>335</v>
      </c>
      <c r="L27" s="24"/>
      <c r="M27" s="593"/>
      <c r="N27" s="598" t="s">
        <v>194</v>
      </c>
      <c r="O27" s="595">
        <f>C201+C202</f>
        <v>9</v>
      </c>
      <c r="Q27" s="595">
        <f t="shared" si="1"/>
        <v>9</v>
      </c>
    </row>
    <row r="28" spans="1:17" s="16" customFormat="1" ht="27" customHeight="1" x14ac:dyDescent="0.35">
      <c r="A28" s="589">
        <v>221</v>
      </c>
      <c r="B28" s="14" t="s">
        <v>219</v>
      </c>
      <c r="C28" s="15">
        <f t="shared" si="0"/>
        <v>4.53</v>
      </c>
      <c r="D28" s="590">
        <f>'[23]road inventory 2018'!C32</f>
        <v>5.2</v>
      </c>
      <c r="E28" s="594">
        <v>0</v>
      </c>
      <c r="F28" s="594">
        <v>0</v>
      </c>
      <c r="G28" s="594">
        <v>0</v>
      </c>
      <c r="H28" s="594">
        <v>4.53</v>
      </c>
      <c r="I28" s="594">
        <v>0</v>
      </c>
      <c r="J28" s="106" t="s">
        <v>12</v>
      </c>
      <c r="K28" s="591" t="s">
        <v>340</v>
      </c>
      <c r="L28" s="24"/>
      <c r="M28" s="593"/>
      <c r="N28" s="598" t="s">
        <v>195</v>
      </c>
      <c r="O28" s="595">
        <f>C210+C211+C212+C213+C214+C215+C216+C218+C219</f>
        <v>55.499999999999993</v>
      </c>
      <c r="Q28" s="595">
        <f t="shared" si="1"/>
        <v>55.499999999999993</v>
      </c>
    </row>
    <row r="29" spans="1:17" ht="15" customHeight="1" x14ac:dyDescent="0.35">
      <c r="A29" s="601"/>
      <c r="B29" s="602"/>
      <c r="C29" s="603">
        <f t="shared" ref="C29:I29" si="2">SUM(C10:C28)</f>
        <v>81.36</v>
      </c>
      <c r="D29" s="604">
        <f t="shared" si="2"/>
        <v>81.15000000000002</v>
      </c>
      <c r="E29" s="603">
        <f t="shared" si="2"/>
        <v>45.32</v>
      </c>
      <c r="F29" s="603">
        <f t="shared" si="2"/>
        <v>0</v>
      </c>
      <c r="G29" s="603">
        <f t="shared" si="2"/>
        <v>0</v>
      </c>
      <c r="H29" s="603">
        <f t="shared" si="2"/>
        <v>36.04</v>
      </c>
      <c r="I29" s="603">
        <f t="shared" si="2"/>
        <v>0</v>
      </c>
      <c r="J29" s="109"/>
      <c r="K29" s="605"/>
      <c r="L29" s="28"/>
      <c r="N29" s="583" t="s">
        <v>197</v>
      </c>
      <c r="O29" s="38">
        <f>C237+C238+C239+C240+C242</f>
        <v>27.7</v>
      </c>
      <c r="Q29" s="38">
        <f>C238+C239+C240+C242</f>
        <v>15.010000000000002</v>
      </c>
    </row>
    <row r="30" spans="1:17" s="1" customFormat="1" ht="22.5" customHeight="1" thickBot="1" x14ac:dyDescent="0.4">
      <c r="A30" s="606" t="s">
        <v>341</v>
      </c>
      <c r="B30" s="18"/>
      <c r="C30" s="19">
        <f>E30+F30+G30+H30+I30</f>
        <v>81.36</v>
      </c>
      <c r="D30" s="607"/>
      <c r="E30" s="19">
        <f>SUM(E10:E28)</f>
        <v>45.32</v>
      </c>
      <c r="F30" s="19">
        <f>SUM(F10:F28)</f>
        <v>0</v>
      </c>
      <c r="G30" s="19">
        <f>SUM(G10:G28)</f>
        <v>0</v>
      </c>
      <c r="H30" s="19">
        <f>SUM(H10:H28)</f>
        <v>36.04</v>
      </c>
      <c r="I30" s="19">
        <f>SUM(I10:I28)</f>
        <v>0</v>
      </c>
      <c r="J30" s="608"/>
      <c r="K30" s="609"/>
      <c r="L30" s="97"/>
      <c r="M30" s="21"/>
      <c r="N30" s="581" t="s">
        <v>198</v>
      </c>
      <c r="O30" s="22">
        <f>C250+C251+C252+C253+C254+C255</f>
        <v>8.82</v>
      </c>
      <c r="Q30" s="22">
        <f>C250+C251+C252+C253+C255</f>
        <v>8.02</v>
      </c>
    </row>
    <row r="31" spans="1:17" s="1" customFormat="1" ht="16" thickBot="1" x14ac:dyDescent="0.4">
      <c r="A31" s="544"/>
      <c r="B31" s="21"/>
      <c r="C31" s="22"/>
      <c r="D31" s="610"/>
      <c r="E31" s="22"/>
      <c r="F31" s="22"/>
      <c r="G31" s="22"/>
      <c r="H31" s="22"/>
      <c r="I31" s="22"/>
      <c r="K31" s="21"/>
      <c r="L31" s="611"/>
      <c r="M31" s="21"/>
      <c r="N31" s="581" t="s">
        <v>199</v>
      </c>
      <c r="O31" s="22">
        <f>C263+C264</f>
        <v>7.25</v>
      </c>
      <c r="Q31" s="1">
        <v>0</v>
      </c>
    </row>
    <row r="32" spans="1:17" s="1" customFormat="1" x14ac:dyDescent="0.35">
      <c r="A32" s="1217" t="s">
        <v>342</v>
      </c>
      <c r="B32" s="1218"/>
      <c r="C32" s="1218"/>
      <c r="D32" s="1218"/>
      <c r="E32" s="1218"/>
      <c r="F32" s="1218"/>
      <c r="G32" s="1218"/>
      <c r="H32" s="1218"/>
      <c r="I32" s="1218"/>
      <c r="J32" s="1218"/>
      <c r="K32" s="1218"/>
      <c r="L32" s="1219"/>
      <c r="M32" s="584"/>
      <c r="N32" s="581" t="s">
        <v>200</v>
      </c>
      <c r="O32" s="22">
        <f>C272+C273+C274+C275+C276+C277+C278+C279+C280</f>
        <v>79.599999999999994</v>
      </c>
      <c r="Q32" s="22">
        <f>C272+C273+C274+C275+C276+C278+C279+C280</f>
        <v>77.180000000000007</v>
      </c>
    </row>
    <row r="33" spans="1:17" s="1" customFormat="1" ht="16" thickBot="1" x14ac:dyDescent="0.4">
      <c r="A33" s="585"/>
      <c r="B33" s="2"/>
      <c r="C33" s="5"/>
      <c r="D33" s="586"/>
      <c r="E33" s="5"/>
      <c r="F33" s="5"/>
      <c r="G33" s="5"/>
      <c r="H33" s="5"/>
      <c r="I33" s="5"/>
      <c r="J33" s="3"/>
      <c r="K33" s="21"/>
      <c r="L33" s="18"/>
      <c r="M33" s="21"/>
      <c r="N33" s="581" t="s">
        <v>201</v>
      </c>
      <c r="O33" s="612">
        <f>C288+C289+C290+C291</f>
        <v>34.027999999999999</v>
      </c>
      <c r="Q33" s="612">
        <f>C288+C289</f>
        <v>13.027999999999999</v>
      </c>
    </row>
    <row r="34" spans="1:17" s="1" customFormat="1" ht="21" customHeight="1" x14ac:dyDescent="0.35">
      <c r="A34" s="1206" t="s">
        <v>302</v>
      </c>
      <c r="B34" s="1208" t="s">
        <v>28</v>
      </c>
      <c r="C34" s="1210" t="s">
        <v>343</v>
      </c>
      <c r="D34" s="613"/>
      <c r="E34" s="1212" t="s">
        <v>305</v>
      </c>
      <c r="F34" s="1212"/>
      <c r="G34" s="1212"/>
      <c r="H34" s="1212"/>
      <c r="I34" s="1212"/>
      <c r="J34" s="1208" t="s">
        <v>29</v>
      </c>
      <c r="K34" s="1213" t="s">
        <v>306</v>
      </c>
      <c r="L34" s="1222" t="s">
        <v>307</v>
      </c>
      <c r="M34" s="588"/>
      <c r="N34" s="581" t="s">
        <v>202</v>
      </c>
      <c r="O34" s="612">
        <f>C299+C300+C301+C302</f>
        <v>24.68</v>
      </c>
      <c r="Q34" s="612">
        <f>C299+C300+C301+C302</f>
        <v>24.68</v>
      </c>
    </row>
    <row r="35" spans="1:17" s="1" customFormat="1" ht="21" customHeight="1" thickBot="1" x14ac:dyDescent="0.4">
      <c r="A35" s="1207"/>
      <c r="B35" s="1209"/>
      <c r="C35" s="1211"/>
      <c r="D35" s="614"/>
      <c r="E35" s="7" t="s">
        <v>308</v>
      </c>
      <c r="F35" s="7" t="s">
        <v>309</v>
      </c>
      <c r="G35" s="7" t="s">
        <v>310</v>
      </c>
      <c r="H35" s="7" t="s">
        <v>311</v>
      </c>
      <c r="I35" s="7" t="s">
        <v>312</v>
      </c>
      <c r="J35" s="1209"/>
      <c r="K35" s="1214"/>
      <c r="L35" s="1223"/>
      <c r="M35" s="588"/>
      <c r="N35" s="581" t="s">
        <v>344</v>
      </c>
      <c r="O35" s="22">
        <f>C310</f>
        <v>8.7409999999999997</v>
      </c>
      <c r="Q35" s="1">
        <v>0</v>
      </c>
    </row>
    <row r="36" spans="1:17" s="1" customFormat="1" ht="16.5" customHeight="1" x14ac:dyDescent="0.35">
      <c r="A36" s="596">
        <v>21</v>
      </c>
      <c r="B36" s="28" t="s">
        <v>241</v>
      </c>
      <c r="C36" s="10">
        <f>SUM(E36:I36)</f>
        <v>4.32</v>
      </c>
      <c r="D36" s="615">
        <f>'[23]road inventory 2018'!C41</f>
        <v>4.3</v>
      </c>
      <c r="E36" s="10">
        <v>4.1100000000000003</v>
      </c>
      <c r="F36" s="10">
        <v>0</v>
      </c>
      <c r="G36" s="10">
        <v>0</v>
      </c>
      <c r="H36" s="10">
        <v>0.21</v>
      </c>
      <c r="I36" s="10">
        <v>0</v>
      </c>
      <c r="J36" s="103" t="s">
        <v>10</v>
      </c>
      <c r="K36" s="597" t="s">
        <v>345</v>
      </c>
      <c r="L36" s="112"/>
      <c r="M36" s="2"/>
      <c r="N36" s="616" t="str">
        <f>N18</f>
        <v>GOOD TO FAIR (TOTAL LENGTH)</v>
      </c>
      <c r="O36" s="22">
        <f>SUM(O19:O35)</f>
        <v>647.36599999999987</v>
      </c>
      <c r="P36" s="22">
        <f>C315-O36</f>
        <v>270.6600000000002</v>
      </c>
      <c r="Q36" s="22">
        <f>SUM(Q19:Q35)</f>
        <v>594.46499999999992</v>
      </c>
    </row>
    <row r="37" spans="1:17" s="26" customFormat="1" ht="16.5" customHeight="1" x14ac:dyDescent="0.35">
      <c r="A37" s="589">
        <v>22</v>
      </c>
      <c r="B37" s="24" t="s">
        <v>225</v>
      </c>
      <c r="C37" s="10">
        <f t="shared" ref="C37:C56" si="3">SUM(E37:I37)</f>
        <v>4.01</v>
      </c>
      <c r="D37" s="615">
        <f>'[23]road inventory 2018'!C42</f>
        <v>3.9</v>
      </c>
      <c r="E37" s="15">
        <v>0</v>
      </c>
      <c r="F37" s="15">
        <v>0</v>
      </c>
      <c r="G37" s="15">
        <v>0</v>
      </c>
      <c r="H37" s="15">
        <v>4.01</v>
      </c>
      <c r="I37" s="15">
        <v>0</v>
      </c>
      <c r="J37" s="106" t="s">
        <v>12</v>
      </c>
      <c r="K37" s="591" t="s">
        <v>346</v>
      </c>
      <c r="L37" s="24"/>
      <c r="M37" s="593"/>
      <c r="N37" s="617"/>
    </row>
    <row r="38" spans="1:17" s="26" customFormat="1" ht="16.5" customHeight="1" x14ac:dyDescent="0.35">
      <c r="A38" s="589">
        <v>23</v>
      </c>
      <c r="B38" s="24" t="s">
        <v>237</v>
      </c>
      <c r="C38" s="10">
        <f t="shared" si="3"/>
        <v>4.42</v>
      </c>
      <c r="D38" s="615">
        <f>'[23]road inventory 2018'!C43</f>
        <v>4.3</v>
      </c>
      <c r="E38" s="15">
        <v>2.9</v>
      </c>
      <c r="F38" s="15">
        <v>0</v>
      </c>
      <c r="G38" s="15">
        <v>0</v>
      </c>
      <c r="H38" s="15">
        <v>1.52</v>
      </c>
      <c r="I38" s="15">
        <v>0</v>
      </c>
      <c r="J38" s="106" t="s">
        <v>12</v>
      </c>
      <c r="K38" s="591" t="s">
        <v>347</v>
      </c>
      <c r="L38" s="24"/>
      <c r="M38" s="593"/>
      <c r="N38" s="617"/>
    </row>
    <row r="39" spans="1:17" s="26" customFormat="1" ht="16.5" customHeight="1" x14ac:dyDescent="0.35">
      <c r="A39" s="589">
        <v>24</v>
      </c>
      <c r="B39" s="24" t="s">
        <v>236</v>
      </c>
      <c r="C39" s="10">
        <f t="shared" si="3"/>
        <v>8.25</v>
      </c>
      <c r="D39" s="615">
        <f>'[23]road inventory 2018'!C44</f>
        <v>7.5</v>
      </c>
      <c r="E39" s="15">
        <v>8.25</v>
      </c>
      <c r="F39" s="15">
        <v>0</v>
      </c>
      <c r="G39" s="15">
        <v>0</v>
      </c>
      <c r="H39" s="15">
        <v>0</v>
      </c>
      <c r="I39" s="15">
        <v>0</v>
      </c>
      <c r="J39" s="106" t="s">
        <v>10</v>
      </c>
      <c r="K39" s="591" t="s">
        <v>347</v>
      </c>
      <c r="L39" s="24"/>
      <c r="M39" s="593"/>
      <c r="N39" s="617"/>
    </row>
    <row r="40" spans="1:17" s="1" customFormat="1" ht="16.5" customHeight="1" x14ac:dyDescent="0.35">
      <c r="A40" s="596">
        <v>25</v>
      </c>
      <c r="B40" s="28" t="s">
        <v>30</v>
      </c>
      <c r="C40" s="10">
        <f t="shared" si="3"/>
        <v>0.88</v>
      </c>
      <c r="D40" s="10">
        <f>'[23]road inventory 2018'!C45</f>
        <v>1.7</v>
      </c>
      <c r="E40" s="10">
        <v>0</v>
      </c>
      <c r="F40" s="10">
        <v>0</v>
      </c>
      <c r="G40" s="10">
        <v>0</v>
      </c>
      <c r="H40" s="10">
        <v>0.88</v>
      </c>
      <c r="I40" s="10">
        <v>0</v>
      </c>
      <c r="J40" s="103" t="s">
        <v>12</v>
      </c>
      <c r="K40" s="597" t="s">
        <v>348</v>
      </c>
      <c r="L40" s="28" t="s">
        <v>833</v>
      </c>
      <c r="M40" s="2"/>
      <c r="N40" s="581" t="s">
        <v>349</v>
      </c>
    </row>
    <row r="41" spans="1:17" s="26" customFormat="1" ht="16.5" customHeight="1" x14ac:dyDescent="0.35">
      <c r="A41" s="589">
        <v>26</v>
      </c>
      <c r="B41" s="24" t="s">
        <v>350</v>
      </c>
      <c r="C41" s="10">
        <f t="shared" si="3"/>
        <v>6.0600000000000005</v>
      </c>
      <c r="D41" s="615">
        <f>'[23]road inventory 2018'!C46</f>
        <v>5.9</v>
      </c>
      <c r="E41" s="15">
        <v>2.85</v>
      </c>
      <c r="F41" s="15">
        <v>0</v>
      </c>
      <c r="G41" s="15">
        <v>0</v>
      </c>
      <c r="H41" s="15">
        <v>3.21</v>
      </c>
      <c r="I41" s="15">
        <v>0</v>
      </c>
      <c r="J41" s="24" t="s">
        <v>12</v>
      </c>
      <c r="K41" s="591" t="s">
        <v>348</v>
      </c>
      <c r="L41" s="24"/>
      <c r="M41" s="593"/>
      <c r="N41" s="617"/>
    </row>
    <row r="42" spans="1:17" s="26" customFormat="1" ht="16.5" customHeight="1" x14ac:dyDescent="0.35">
      <c r="A42" s="589">
        <v>27</v>
      </c>
      <c r="B42" s="24" t="s">
        <v>224</v>
      </c>
      <c r="C42" s="10">
        <f t="shared" si="3"/>
        <v>1.93</v>
      </c>
      <c r="D42" s="615">
        <f>'[23]road inventory 2018'!C47</f>
        <v>1.9</v>
      </c>
      <c r="E42" s="15">
        <v>0.28000000000000003</v>
      </c>
      <c r="F42" s="15">
        <v>0</v>
      </c>
      <c r="G42" s="15">
        <v>0</v>
      </c>
      <c r="H42" s="15">
        <v>1.65</v>
      </c>
      <c r="I42" s="15">
        <v>0</v>
      </c>
      <c r="J42" s="106" t="s">
        <v>12</v>
      </c>
      <c r="K42" s="591" t="s">
        <v>351</v>
      </c>
      <c r="L42" s="24"/>
      <c r="M42" s="593"/>
      <c r="N42" s="617"/>
    </row>
    <row r="43" spans="1:17" s="26" customFormat="1" ht="16.5" customHeight="1" x14ac:dyDescent="0.35">
      <c r="A43" s="589">
        <v>28</v>
      </c>
      <c r="B43" s="24" t="s">
        <v>233</v>
      </c>
      <c r="C43" s="10">
        <f t="shared" si="3"/>
        <v>5.62</v>
      </c>
      <c r="D43" s="615">
        <f>'[23]road inventory 2018'!C48</f>
        <v>5.6</v>
      </c>
      <c r="E43" s="15">
        <v>1.54</v>
      </c>
      <c r="F43" s="15">
        <v>0</v>
      </c>
      <c r="G43" s="15">
        <v>0</v>
      </c>
      <c r="H43" s="15">
        <v>4.08</v>
      </c>
      <c r="I43" s="15">
        <v>0</v>
      </c>
      <c r="J43" s="106" t="s">
        <v>10</v>
      </c>
      <c r="K43" s="591" t="s">
        <v>352</v>
      </c>
      <c r="L43" s="24"/>
      <c r="M43" s="593"/>
      <c r="N43" s="617"/>
    </row>
    <row r="44" spans="1:17" s="26" customFormat="1" ht="16.5" customHeight="1" x14ac:dyDescent="0.35">
      <c r="A44" s="589">
        <v>29</v>
      </c>
      <c r="B44" s="24" t="s">
        <v>239</v>
      </c>
      <c r="C44" s="10">
        <f t="shared" si="3"/>
        <v>0.86</v>
      </c>
      <c r="D44" s="615">
        <f>'[23]road inventory 2018'!C49</f>
        <v>0.8</v>
      </c>
      <c r="E44" s="15">
        <v>0.11</v>
      </c>
      <c r="F44" s="15">
        <v>0</v>
      </c>
      <c r="G44" s="15">
        <v>0</v>
      </c>
      <c r="H44" s="15">
        <v>0.75</v>
      </c>
      <c r="I44" s="15">
        <v>0</v>
      </c>
      <c r="J44" s="106" t="s">
        <v>12</v>
      </c>
      <c r="K44" s="591" t="s">
        <v>353</v>
      </c>
      <c r="L44" s="24"/>
      <c r="M44" s="593"/>
      <c r="N44" s="617"/>
    </row>
    <row r="45" spans="1:17" s="1" customFormat="1" ht="16.5" customHeight="1" x14ac:dyDescent="0.35">
      <c r="A45" s="596">
        <v>30</v>
      </c>
      <c r="B45" s="28" t="s">
        <v>354</v>
      </c>
      <c r="C45" s="10">
        <f t="shared" si="3"/>
        <v>2</v>
      </c>
      <c r="D45" s="615">
        <f>'[23]road inventory 2018'!C50</f>
        <v>2</v>
      </c>
      <c r="E45" s="10">
        <v>1.5</v>
      </c>
      <c r="F45" s="10">
        <v>0</v>
      </c>
      <c r="G45" s="10">
        <v>0</v>
      </c>
      <c r="H45" s="10">
        <v>0.5</v>
      </c>
      <c r="I45" s="10">
        <v>0</v>
      </c>
      <c r="J45" s="103" t="s">
        <v>10</v>
      </c>
      <c r="K45" s="597" t="s">
        <v>355</v>
      </c>
      <c r="L45" s="28" t="s">
        <v>356</v>
      </c>
      <c r="M45" s="2"/>
      <c r="N45" s="581" t="s">
        <v>357</v>
      </c>
    </row>
    <row r="46" spans="1:17" s="26" customFormat="1" ht="16.5" customHeight="1" x14ac:dyDescent="0.35">
      <c r="A46" s="589">
        <v>106</v>
      </c>
      <c r="B46" s="24" t="s">
        <v>238</v>
      </c>
      <c r="C46" s="10">
        <f t="shared" si="3"/>
        <v>3.21</v>
      </c>
      <c r="D46" s="615">
        <f>'[23]road inventory 2018'!C51</f>
        <v>3.2</v>
      </c>
      <c r="E46" s="15">
        <v>3.21</v>
      </c>
      <c r="F46" s="15">
        <v>0</v>
      </c>
      <c r="G46" s="15">
        <v>0</v>
      </c>
      <c r="H46" s="15">
        <v>0</v>
      </c>
      <c r="I46" s="15">
        <v>0</v>
      </c>
      <c r="J46" s="106" t="s">
        <v>10</v>
      </c>
      <c r="K46" s="591" t="s">
        <v>358</v>
      </c>
      <c r="L46" s="24"/>
      <c r="M46" s="593"/>
      <c r="N46" s="617"/>
    </row>
    <row r="47" spans="1:17" s="26" customFormat="1" ht="16.5" customHeight="1" x14ac:dyDescent="0.35">
      <c r="A47" s="589">
        <v>31</v>
      </c>
      <c r="B47" s="24" t="s">
        <v>359</v>
      </c>
      <c r="C47" s="10">
        <f t="shared" si="3"/>
        <v>0.78</v>
      </c>
      <c r="D47" s="615">
        <f>'[23]road inventory 2018'!C52</f>
        <v>0.8</v>
      </c>
      <c r="E47" s="15">
        <v>0.78</v>
      </c>
      <c r="F47" s="15">
        <v>0</v>
      </c>
      <c r="G47" s="15">
        <v>0</v>
      </c>
      <c r="H47" s="15">
        <v>0</v>
      </c>
      <c r="I47" s="15">
        <v>0</v>
      </c>
      <c r="J47" s="106" t="s">
        <v>10</v>
      </c>
      <c r="K47" s="591" t="s">
        <v>360</v>
      </c>
      <c r="L47" s="24"/>
      <c r="M47" s="593"/>
      <c r="N47" s="617"/>
    </row>
    <row r="48" spans="1:17" s="1" customFormat="1" ht="16.5" customHeight="1" x14ac:dyDescent="0.35">
      <c r="A48" s="596">
        <v>34</v>
      </c>
      <c r="B48" s="28" t="s">
        <v>235</v>
      </c>
      <c r="C48" s="10">
        <f t="shared" si="3"/>
        <v>4.3099999999999996</v>
      </c>
      <c r="D48" s="615">
        <f>'[23]road inventory 2018'!C55</f>
        <v>4.2</v>
      </c>
      <c r="E48" s="10">
        <v>0</v>
      </c>
      <c r="F48" s="10">
        <v>0</v>
      </c>
      <c r="G48" s="10">
        <v>0</v>
      </c>
      <c r="H48" s="10">
        <v>4.3099999999999996</v>
      </c>
      <c r="I48" s="10">
        <v>0</v>
      </c>
      <c r="J48" s="103" t="s">
        <v>12</v>
      </c>
      <c r="K48" s="597" t="s">
        <v>363</v>
      </c>
      <c r="L48" s="28"/>
      <c r="M48" s="2"/>
      <c r="N48" s="581"/>
    </row>
    <row r="49" spans="1:14" s="26" customFormat="1" ht="16.5" customHeight="1" x14ac:dyDescent="0.35">
      <c r="A49" s="589">
        <v>35</v>
      </c>
      <c r="B49" s="24" t="s">
        <v>364</v>
      </c>
      <c r="C49" s="10">
        <f t="shared" si="3"/>
        <v>2.9699999999999998</v>
      </c>
      <c r="D49" s="615">
        <f>'[23]road inventory 2018'!C56</f>
        <v>3</v>
      </c>
      <c r="E49" s="15">
        <v>0.4</v>
      </c>
      <c r="F49" s="15">
        <v>0</v>
      </c>
      <c r="G49" s="15">
        <v>0</v>
      </c>
      <c r="H49" s="15">
        <v>2.57</v>
      </c>
      <c r="I49" s="15">
        <v>0</v>
      </c>
      <c r="J49" s="106" t="s">
        <v>12</v>
      </c>
      <c r="K49" s="591" t="s">
        <v>365</v>
      </c>
      <c r="L49" s="24"/>
      <c r="M49" s="593"/>
      <c r="N49" s="617"/>
    </row>
    <row r="50" spans="1:14" s="26" customFormat="1" ht="16.5" customHeight="1" x14ac:dyDescent="0.35">
      <c r="A50" s="589">
        <v>36</v>
      </c>
      <c r="B50" s="24" t="s">
        <v>366</v>
      </c>
      <c r="C50" s="10">
        <f t="shared" si="3"/>
        <v>6.01</v>
      </c>
      <c r="D50" s="615">
        <f>'[23]road inventory 2018'!C57</f>
        <v>6.2</v>
      </c>
      <c r="E50" s="15">
        <v>0</v>
      </c>
      <c r="F50" s="15">
        <v>0</v>
      </c>
      <c r="G50" s="15">
        <v>0</v>
      </c>
      <c r="H50" s="15">
        <v>6.01</v>
      </c>
      <c r="I50" s="15">
        <v>0</v>
      </c>
      <c r="J50" s="106" t="s">
        <v>12</v>
      </c>
      <c r="K50" s="591" t="s">
        <v>367</v>
      </c>
      <c r="L50" s="24"/>
      <c r="M50" s="593"/>
      <c r="N50" s="617"/>
    </row>
    <row r="51" spans="1:14" s="26" customFormat="1" ht="16.5" customHeight="1" x14ac:dyDescent="0.35">
      <c r="A51" s="589">
        <v>37</v>
      </c>
      <c r="B51" s="24" t="s">
        <v>234</v>
      </c>
      <c r="C51" s="10">
        <f t="shared" si="3"/>
        <v>1.6</v>
      </c>
      <c r="D51" s="615">
        <f>'[23]road inventory 2018'!C58</f>
        <v>1.6</v>
      </c>
      <c r="E51" s="15">
        <v>0</v>
      </c>
      <c r="F51" s="15">
        <v>0</v>
      </c>
      <c r="G51" s="15">
        <v>0</v>
      </c>
      <c r="H51" s="15">
        <v>1.6</v>
      </c>
      <c r="I51" s="15">
        <v>0</v>
      </c>
      <c r="J51" s="106" t="s">
        <v>12</v>
      </c>
      <c r="K51" s="591" t="s">
        <v>368</v>
      </c>
      <c r="L51" s="24"/>
      <c r="M51" s="593"/>
      <c r="N51" s="617"/>
    </row>
    <row r="52" spans="1:14" s="625" customFormat="1" ht="16.5" customHeight="1" x14ac:dyDescent="0.35">
      <c r="A52" s="618">
        <v>38</v>
      </c>
      <c r="B52" s="619" t="s">
        <v>36</v>
      </c>
      <c r="C52" s="620">
        <f t="shared" si="3"/>
        <v>3.9</v>
      </c>
      <c r="D52" s="620">
        <f>'[23]road inventory 2018'!C59</f>
        <v>4.4000000000000004</v>
      </c>
      <c r="E52" s="620">
        <v>1.504</v>
      </c>
      <c r="F52" s="620">
        <v>0</v>
      </c>
      <c r="G52" s="620">
        <v>0</v>
      </c>
      <c r="H52" s="620">
        <v>2.3959999999999999</v>
      </c>
      <c r="I52" s="620">
        <v>0</v>
      </c>
      <c r="J52" s="621" t="s">
        <v>12</v>
      </c>
      <c r="K52" s="622" t="s">
        <v>369</v>
      </c>
      <c r="L52" s="619"/>
      <c r="M52" s="623"/>
      <c r="N52" s="624"/>
    </row>
    <row r="53" spans="1:14" s="26" customFormat="1" ht="16.5" customHeight="1" x14ac:dyDescent="0.35">
      <c r="A53" s="589">
        <v>39</v>
      </c>
      <c r="B53" s="24" t="s">
        <v>370</v>
      </c>
      <c r="C53" s="10">
        <f t="shared" si="3"/>
        <v>4.9400000000000004</v>
      </c>
      <c r="D53" s="615">
        <f>'[23]road inventory 2018'!C60</f>
        <v>4.9000000000000004</v>
      </c>
      <c r="E53" s="15">
        <v>0</v>
      </c>
      <c r="F53" s="15">
        <v>0</v>
      </c>
      <c r="G53" s="15">
        <v>0</v>
      </c>
      <c r="H53" s="15">
        <v>4.9400000000000004</v>
      </c>
      <c r="I53" s="15">
        <v>0</v>
      </c>
      <c r="J53" s="106" t="s">
        <v>12</v>
      </c>
      <c r="K53" s="591" t="s">
        <v>371</v>
      </c>
      <c r="L53" s="24"/>
      <c r="M53" s="593"/>
      <c r="N53" s="617"/>
    </row>
    <row r="54" spans="1:14" s="26" customFormat="1" ht="16.5" customHeight="1" x14ac:dyDescent="0.35">
      <c r="A54" s="589">
        <v>105</v>
      </c>
      <c r="B54" s="24" t="s">
        <v>228</v>
      </c>
      <c r="C54" s="10">
        <f t="shared" si="3"/>
        <v>3.65</v>
      </c>
      <c r="D54" s="615">
        <f>'[23]road inventory 2018'!C61</f>
        <v>3.6</v>
      </c>
      <c r="E54" s="15">
        <v>0</v>
      </c>
      <c r="F54" s="15">
        <v>0</v>
      </c>
      <c r="G54" s="15">
        <v>0</v>
      </c>
      <c r="H54" s="15">
        <v>3.65</v>
      </c>
      <c r="I54" s="15">
        <v>0</v>
      </c>
      <c r="J54" s="106" t="s">
        <v>12</v>
      </c>
      <c r="K54" s="591" t="s">
        <v>372</v>
      </c>
      <c r="L54" s="24"/>
      <c r="M54" s="593"/>
      <c r="N54" s="617"/>
    </row>
    <row r="55" spans="1:14" s="26" customFormat="1" ht="16.5" customHeight="1" x14ac:dyDescent="0.35">
      <c r="A55" s="589">
        <v>42</v>
      </c>
      <c r="B55" s="24" t="s">
        <v>227</v>
      </c>
      <c r="C55" s="10">
        <f t="shared" si="3"/>
        <v>1.5</v>
      </c>
      <c r="D55" s="615">
        <f>'[23]road inventory 2018'!C64</f>
        <v>1.5</v>
      </c>
      <c r="E55" s="15">
        <v>0</v>
      </c>
      <c r="F55" s="15">
        <v>0</v>
      </c>
      <c r="G55" s="15">
        <v>0</v>
      </c>
      <c r="H55" s="15">
        <v>1.5</v>
      </c>
      <c r="I55" s="15">
        <v>0</v>
      </c>
      <c r="J55" s="106" t="s">
        <v>12</v>
      </c>
      <c r="K55" s="591" t="s">
        <v>375</v>
      </c>
      <c r="L55" s="24"/>
      <c r="M55" s="593"/>
      <c r="N55" s="617"/>
    </row>
    <row r="56" spans="1:14" s="26" customFormat="1" ht="16.5" customHeight="1" x14ac:dyDescent="0.35">
      <c r="A56" s="589">
        <v>104</v>
      </c>
      <c r="B56" s="24" t="s">
        <v>240</v>
      </c>
      <c r="C56" s="10">
        <f t="shared" si="3"/>
        <v>3.13</v>
      </c>
      <c r="D56" s="615">
        <f>'[23]road inventory 2018'!C67</f>
        <v>3.1</v>
      </c>
      <c r="E56" s="15">
        <v>0</v>
      </c>
      <c r="F56" s="15">
        <v>0</v>
      </c>
      <c r="G56" s="15">
        <v>0</v>
      </c>
      <c r="H56" s="15">
        <v>3.13</v>
      </c>
      <c r="I56" s="15">
        <v>0</v>
      </c>
      <c r="J56" s="106" t="s">
        <v>12</v>
      </c>
      <c r="K56" s="591" t="s">
        <v>379</v>
      </c>
      <c r="L56" s="24"/>
      <c r="M56" s="593"/>
      <c r="N56" s="617"/>
    </row>
    <row r="57" spans="1:14" s="26" customFormat="1" ht="16.5" customHeight="1" x14ac:dyDescent="0.35">
      <c r="A57" s="626"/>
      <c r="B57" s="60"/>
      <c r="C57" s="61">
        <f t="shared" ref="C57:I57" si="4">SUM(C36:C56)</f>
        <v>74.349999999999994</v>
      </c>
      <c r="D57" s="627">
        <f t="shared" si="4"/>
        <v>74.399999999999991</v>
      </c>
      <c r="E57" s="61">
        <f t="shared" si="4"/>
        <v>27.434000000000001</v>
      </c>
      <c r="F57" s="61">
        <f t="shared" si="4"/>
        <v>0</v>
      </c>
      <c r="G57" s="61">
        <f t="shared" si="4"/>
        <v>0</v>
      </c>
      <c r="H57" s="61">
        <f t="shared" si="4"/>
        <v>46.916000000000004</v>
      </c>
      <c r="I57" s="61">
        <f t="shared" si="4"/>
        <v>0</v>
      </c>
      <c r="J57" s="628"/>
      <c r="K57" s="629"/>
      <c r="L57" s="24"/>
      <c r="M57" s="593"/>
      <c r="N57" s="617"/>
    </row>
    <row r="58" spans="1:14" s="1" customFormat="1" ht="24" customHeight="1" thickBot="1" x14ac:dyDescent="0.4">
      <c r="A58" s="53" t="s">
        <v>341</v>
      </c>
      <c r="B58" s="34"/>
      <c r="C58" s="31">
        <f>SUM(E58:I58)</f>
        <v>74.350000000000009</v>
      </c>
      <c r="D58" s="630"/>
      <c r="E58" s="31">
        <f>SUM(E36:E56)</f>
        <v>27.434000000000001</v>
      </c>
      <c r="F58" s="31">
        <f>SUM(F36:F56)</f>
        <v>0</v>
      </c>
      <c r="G58" s="31">
        <f>SUM(G36:G56)</f>
        <v>0</v>
      </c>
      <c r="H58" s="31">
        <f>SUM(H36:H56)</f>
        <v>46.916000000000004</v>
      </c>
      <c r="I58" s="31">
        <f>SUM(I36:I56)</f>
        <v>0</v>
      </c>
      <c r="J58" s="608"/>
      <c r="K58" s="609"/>
      <c r="L58" s="97"/>
      <c r="M58" s="21"/>
      <c r="N58" s="581"/>
    </row>
    <row r="59" spans="1:14" s="1" customFormat="1" x14ac:dyDescent="0.35">
      <c r="A59" s="1217" t="s">
        <v>380</v>
      </c>
      <c r="B59" s="1218"/>
      <c r="C59" s="1218"/>
      <c r="D59" s="1218"/>
      <c r="E59" s="1218"/>
      <c r="F59" s="1218"/>
      <c r="G59" s="1218"/>
      <c r="H59" s="1218"/>
      <c r="I59" s="1218"/>
      <c r="J59" s="1218"/>
      <c r="K59" s="1218"/>
      <c r="L59" s="1219"/>
      <c r="M59" s="584"/>
      <c r="N59" s="581"/>
    </row>
    <row r="60" spans="1:14" s="1" customFormat="1" ht="16" thickBot="1" x14ac:dyDescent="0.4">
      <c r="A60" s="585"/>
      <c r="B60" s="2"/>
      <c r="C60" s="5"/>
      <c r="D60" s="586"/>
      <c r="E60" s="5"/>
      <c r="F60" s="5"/>
      <c r="G60" s="5"/>
      <c r="H60" s="5"/>
      <c r="I60" s="5"/>
      <c r="J60" s="3"/>
      <c r="K60" s="21"/>
      <c r="L60" s="631"/>
      <c r="M60" s="21"/>
      <c r="N60" s="581"/>
    </row>
    <row r="61" spans="1:14" s="1" customFormat="1" ht="21" customHeight="1" x14ac:dyDescent="0.35">
      <c r="A61" s="1206" t="s">
        <v>302</v>
      </c>
      <c r="B61" s="1208" t="s">
        <v>28</v>
      </c>
      <c r="C61" s="1210" t="s">
        <v>343</v>
      </c>
      <c r="D61" s="613"/>
      <c r="E61" s="1212" t="s">
        <v>305</v>
      </c>
      <c r="F61" s="1212"/>
      <c r="G61" s="1212"/>
      <c r="H61" s="1212"/>
      <c r="I61" s="1212"/>
      <c r="J61" s="1208" t="s">
        <v>29</v>
      </c>
      <c r="K61" s="1213" t="s">
        <v>306</v>
      </c>
      <c r="L61" s="1226" t="s">
        <v>307</v>
      </c>
      <c r="M61" s="588"/>
      <c r="N61" s="581"/>
    </row>
    <row r="62" spans="1:14" s="1" customFormat="1" ht="21" customHeight="1" thickBot="1" x14ac:dyDescent="0.4">
      <c r="A62" s="1207"/>
      <c r="B62" s="1209"/>
      <c r="C62" s="1211"/>
      <c r="D62" s="614"/>
      <c r="E62" s="7" t="s">
        <v>308</v>
      </c>
      <c r="F62" s="7" t="s">
        <v>309</v>
      </c>
      <c r="G62" s="7" t="s">
        <v>310</v>
      </c>
      <c r="H62" s="7" t="s">
        <v>311</v>
      </c>
      <c r="I62" s="7" t="s">
        <v>312</v>
      </c>
      <c r="J62" s="1209"/>
      <c r="K62" s="1214"/>
      <c r="L62" s="1227"/>
      <c r="M62" s="588"/>
      <c r="N62" s="581"/>
    </row>
    <row r="63" spans="1:14" s="26" customFormat="1" ht="16.5" customHeight="1" x14ac:dyDescent="0.35">
      <c r="A63" s="589">
        <v>107</v>
      </c>
      <c r="B63" s="24" t="s">
        <v>381</v>
      </c>
      <c r="C63" s="15">
        <f>SUM(E63:I63)</f>
        <v>2.59</v>
      </c>
      <c r="D63" s="590">
        <f>'[23]road inventory 2018'!C73</f>
        <v>2.5</v>
      </c>
      <c r="E63" s="632">
        <v>1.07</v>
      </c>
      <c r="F63" s="632">
        <v>0</v>
      </c>
      <c r="G63" s="632">
        <v>0</v>
      </c>
      <c r="H63" s="15">
        <v>1.52</v>
      </c>
      <c r="I63" s="15">
        <v>0</v>
      </c>
      <c r="J63" s="106" t="s">
        <v>12</v>
      </c>
      <c r="K63" s="591" t="s">
        <v>382</v>
      </c>
      <c r="L63" s="592"/>
      <c r="M63" s="593"/>
      <c r="N63" s="617"/>
    </row>
    <row r="64" spans="1:14" s="26" customFormat="1" ht="16.5" customHeight="1" x14ac:dyDescent="0.35">
      <c r="A64" s="589">
        <v>102</v>
      </c>
      <c r="B64" s="24" t="s">
        <v>242</v>
      </c>
      <c r="C64" s="15">
        <f t="shared" ref="C64:C69" si="5">SUM(E64:I64)</f>
        <v>1.33</v>
      </c>
      <c r="D64" s="590">
        <f>'[23]road inventory 2018'!C74</f>
        <v>1.3</v>
      </c>
      <c r="E64" s="632">
        <v>0</v>
      </c>
      <c r="F64" s="632">
        <v>0</v>
      </c>
      <c r="G64" s="632">
        <v>0</v>
      </c>
      <c r="H64" s="15">
        <v>1.33</v>
      </c>
      <c r="I64" s="15">
        <v>0</v>
      </c>
      <c r="J64" s="106" t="s">
        <v>12</v>
      </c>
      <c r="K64" s="591" t="s">
        <v>383</v>
      </c>
      <c r="L64" s="24"/>
      <c r="M64" s="593"/>
      <c r="N64" s="617"/>
    </row>
    <row r="65" spans="1:14" s="1" customFormat="1" ht="16.5" customHeight="1" x14ac:dyDescent="0.35">
      <c r="A65" s="596">
        <v>101</v>
      </c>
      <c r="B65" s="28" t="s">
        <v>384</v>
      </c>
      <c r="C65" s="15">
        <f t="shared" si="5"/>
        <v>0</v>
      </c>
      <c r="D65" s="615">
        <f>'[23]road inventory 2018'!C75</f>
        <v>0.6</v>
      </c>
      <c r="E65" s="633">
        <v>0</v>
      </c>
      <c r="F65" s="633">
        <v>0</v>
      </c>
      <c r="G65" s="633">
        <v>0</v>
      </c>
      <c r="H65" s="10">
        <v>0</v>
      </c>
      <c r="I65" s="10">
        <v>0</v>
      </c>
      <c r="J65" s="103" t="s">
        <v>10</v>
      </c>
      <c r="K65" s="597" t="s">
        <v>385</v>
      </c>
      <c r="L65" s="28" t="s">
        <v>356</v>
      </c>
      <c r="M65" s="2"/>
      <c r="N65" s="581" t="s">
        <v>386</v>
      </c>
    </row>
    <row r="66" spans="1:14" s="26" customFormat="1" ht="16.5" customHeight="1" x14ac:dyDescent="0.35">
      <c r="A66" s="589">
        <v>47</v>
      </c>
      <c r="B66" s="24" t="s">
        <v>38</v>
      </c>
      <c r="C66" s="15">
        <f t="shared" si="5"/>
        <v>17.2</v>
      </c>
      <c r="D66" s="590">
        <f>'[23]road inventory 2018'!C76</f>
        <v>17</v>
      </c>
      <c r="E66" s="15">
        <v>0.27</v>
      </c>
      <c r="F66" s="632">
        <v>0</v>
      </c>
      <c r="G66" s="632">
        <v>0</v>
      </c>
      <c r="H66" s="15">
        <v>16.93</v>
      </c>
      <c r="I66" s="15">
        <v>0</v>
      </c>
      <c r="J66" s="106" t="s">
        <v>12</v>
      </c>
      <c r="K66" s="591" t="s">
        <v>387</v>
      </c>
      <c r="L66" s="24"/>
      <c r="M66" s="593"/>
      <c r="N66" s="617"/>
    </row>
    <row r="67" spans="1:14" s="26" customFormat="1" ht="16.5" customHeight="1" x14ac:dyDescent="0.35">
      <c r="A67" s="589">
        <v>48</v>
      </c>
      <c r="B67" s="24" t="s">
        <v>388</v>
      </c>
      <c r="C67" s="15">
        <f t="shared" si="5"/>
        <v>2.63</v>
      </c>
      <c r="D67" s="590">
        <f>'[23]road inventory 2018'!C77</f>
        <v>2.6</v>
      </c>
      <c r="E67" s="632">
        <v>0</v>
      </c>
      <c r="F67" s="632">
        <v>0</v>
      </c>
      <c r="G67" s="632">
        <v>0</v>
      </c>
      <c r="H67" s="15">
        <v>2.63</v>
      </c>
      <c r="I67" s="15">
        <v>0</v>
      </c>
      <c r="J67" s="106" t="s">
        <v>12</v>
      </c>
      <c r="K67" s="591" t="s">
        <v>389</v>
      </c>
      <c r="L67" s="24"/>
      <c r="M67" s="593"/>
      <c r="N67" s="617"/>
    </row>
    <row r="68" spans="1:14" s="26" customFormat="1" ht="16.5" customHeight="1" x14ac:dyDescent="0.35">
      <c r="A68" s="589">
        <v>90</v>
      </c>
      <c r="B68" s="24" t="s">
        <v>390</v>
      </c>
      <c r="C68" s="15">
        <f t="shared" si="5"/>
        <v>4.2699999999999996</v>
      </c>
      <c r="D68" s="590">
        <f>'[23]road inventory 2018'!C78</f>
        <v>4.3499999999999996</v>
      </c>
      <c r="E68" s="632">
        <v>0</v>
      </c>
      <c r="F68" s="632">
        <v>0</v>
      </c>
      <c r="G68" s="632">
        <v>0</v>
      </c>
      <c r="H68" s="15">
        <v>4.2699999999999996</v>
      </c>
      <c r="I68" s="15">
        <v>0</v>
      </c>
      <c r="J68" s="106" t="s">
        <v>12</v>
      </c>
      <c r="K68" s="591" t="s">
        <v>391</v>
      </c>
      <c r="L68" s="24"/>
      <c r="M68" s="593"/>
      <c r="N68" s="617"/>
    </row>
    <row r="69" spans="1:14" s="625" customFormat="1" ht="16.5" customHeight="1" x14ac:dyDescent="0.35">
      <c r="A69" s="618">
        <v>99</v>
      </c>
      <c r="B69" s="619" t="s">
        <v>392</v>
      </c>
      <c r="C69" s="620">
        <f t="shared" si="5"/>
        <v>14.139999999999999</v>
      </c>
      <c r="D69" s="634">
        <f>'[23]road inventory 2018'!C79</f>
        <v>14.1</v>
      </c>
      <c r="E69" s="620">
        <v>2.1</v>
      </c>
      <c r="F69" s="620">
        <v>0</v>
      </c>
      <c r="G69" s="620">
        <v>0</v>
      </c>
      <c r="H69" s="620">
        <v>12.04</v>
      </c>
      <c r="I69" s="620">
        <v>0</v>
      </c>
      <c r="J69" s="621" t="s">
        <v>12</v>
      </c>
      <c r="K69" s="622" t="s">
        <v>393</v>
      </c>
      <c r="L69" s="619"/>
      <c r="M69" s="623"/>
      <c r="N69" s="624"/>
    </row>
    <row r="70" spans="1:14" s="1" customFormat="1" ht="16.5" customHeight="1" x14ac:dyDescent="0.35">
      <c r="A70" s="635"/>
      <c r="B70" s="40"/>
      <c r="C70" s="41">
        <f t="shared" ref="C70:H70" si="6">SUM(C63:C69)</f>
        <v>42.16</v>
      </c>
      <c r="D70" s="636">
        <f t="shared" si="6"/>
        <v>42.45</v>
      </c>
      <c r="E70" s="41">
        <f t="shared" si="6"/>
        <v>3.4400000000000004</v>
      </c>
      <c r="F70" s="41">
        <f t="shared" si="6"/>
        <v>0</v>
      </c>
      <c r="G70" s="41">
        <f t="shared" si="6"/>
        <v>0</v>
      </c>
      <c r="H70" s="41">
        <f t="shared" si="6"/>
        <v>38.72</v>
      </c>
      <c r="I70" s="41"/>
      <c r="J70" s="109"/>
      <c r="K70" s="605"/>
      <c r="L70" s="28"/>
      <c r="M70" s="2"/>
      <c r="N70" s="581"/>
    </row>
    <row r="71" spans="1:14" s="1" customFormat="1" ht="23.25" customHeight="1" thickBot="1" x14ac:dyDescent="0.4">
      <c r="A71" s="53" t="s">
        <v>341</v>
      </c>
      <c r="B71" s="34"/>
      <c r="C71" s="31">
        <f>SUM(E71:I71)</f>
        <v>42.16</v>
      </c>
      <c r="D71" s="630"/>
      <c r="E71" s="31">
        <f>SUM(E63:E69)</f>
        <v>3.4400000000000004</v>
      </c>
      <c r="F71" s="31">
        <f>SUM(F63:F69)</f>
        <v>0</v>
      </c>
      <c r="G71" s="31">
        <f>SUM(G63:G69)</f>
        <v>0</v>
      </c>
      <c r="H71" s="31">
        <f>SUM(H63:H69)</f>
        <v>38.72</v>
      </c>
      <c r="I71" s="31">
        <f>SUM(I63:I69)</f>
        <v>0</v>
      </c>
      <c r="J71" s="608"/>
      <c r="K71" s="609"/>
      <c r="L71" s="97"/>
      <c r="M71" s="21"/>
      <c r="N71" s="581"/>
    </row>
    <row r="72" spans="1:14" s="1" customFormat="1" ht="15" customHeight="1" thickBot="1" x14ac:dyDescent="0.4">
      <c r="A72" s="544"/>
      <c r="B72" s="35"/>
      <c r="C72" s="22"/>
      <c r="D72" s="610"/>
      <c r="E72" s="22"/>
      <c r="F72" s="22"/>
      <c r="G72" s="22"/>
      <c r="H72" s="22"/>
      <c r="I72" s="22"/>
      <c r="K72" s="21"/>
      <c r="L72" s="611"/>
      <c r="M72" s="21"/>
      <c r="N72" s="581"/>
    </row>
    <row r="73" spans="1:14" s="1" customFormat="1" x14ac:dyDescent="0.35">
      <c r="A73" s="1217" t="s">
        <v>394</v>
      </c>
      <c r="B73" s="1218"/>
      <c r="C73" s="1218"/>
      <c r="D73" s="1218"/>
      <c r="E73" s="1218"/>
      <c r="F73" s="1218"/>
      <c r="G73" s="1218"/>
      <c r="H73" s="1218"/>
      <c r="I73" s="1218"/>
      <c r="J73" s="1218"/>
      <c r="K73" s="1218"/>
      <c r="L73" s="1219"/>
      <c r="M73" s="584"/>
      <c r="N73" s="581"/>
    </row>
    <row r="74" spans="1:14" s="1" customFormat="1" ht="16" thickBot="1" x14ac:dyDescent="0.4">
      <c r="A74" s="585"/>
      <c r="B74" s="2"/>
      <c r="C74" s="5"/>
      <c r="D74" s="586"/>
      <c r="E74" s="5"/>
      <c r="F74" s="5"/>
      <c r="G74" s="5"/>
      <c r="H74" s="5"/>
      <c r="I74" s="5"/>
      <c r="J74" s="3"/>
      <c r="K74" s="21"/>
      <c r="L74" s="637"/>
      <c r="M74" s="21"/>
      <c r="N74" s="581"/>
    </row>
    <row r="75" spans="1:14" s="1" customFormat="1" ht="21" customHeight="1" x14ac:dyDescent="0.35">
      <c r="A75" s="1206" t="s">
        <v>302</v>
      </c>
      <c r="B75" s="1208" t="s">
        <v>28</v>
      </c>
      <c r="C75" s="1210" t="s">
        <v>343</v>
      </c>
      <c r="D75" s="613"/>
      <c r="E75" s="1212" t="s">
        <v>305</v>
      </c>
      <c r="F75" s="1212"/>
      <c r="G75" s="1212"/>
      <c r="H75" s="1212"/>
      <c r="I75" s="1212"/>
      <c r="J75" s="1208" t="s">
        <v>29</v>
      </c>
      <c r="K75" s="1213" t="s">
        <v>306</v>
      </c>
      <c r="L75" s="1226" t="s">
        <v>307</v>
      </c>
      <c r="M75" s="588"/>
      <c r="N75" s="581"/>
    </row>
    <row r="76" spans="1:14" s="1" customFormat="1" ht="21" customHeight="1" thickBot="1" x14ac:dyDescent="0.4">
      <c r="A76" s="1207"/>
      <c r="B76" s="1209"/>
      <c r="C76" s="1211"/>
      <c r="D76" s="614"/>
      <c r="E76" s="7" t="s">
        <v>308</v>
      </c>
      <c r="F76" s="7" t="s">
        <v>309</v>
      </c>
      <c r="G76" s="7" t="s">
        <v>310</v>
      </c>
      <c r="H76" s="7" t="s">
        <v>311</v>
      </c>
      <c r="I76" s="7" t="s">
        <v>312</v>
      </c>
      <c r="J76" s="1209"/>
      <c r="K76" s="1214"/>
      <c r="L76" s="1227"/>
      <c r="M76" s="588"/>
      <c r="N76" s="581"/>
    </row>
    <row r="77" spans="1:14" s="642" customFormat="1" ht="36.75" customHeight="1" x14ac:dyDescent="0.35">
      <c r="A77" s="638">
        <v>108</v>
      </c>
      <c r="B77" s="24" t="s">
        <v>395</v>
      </c>
      <c r="C77" s="639">
        <f>E77+F77+G77+H77+I77</f>
        <v>3.28</v>
      </c>
      <c r="D77" s="640">
        <f>'[23]road inventory 2018'!C86</f>
        <v>3.1</v>
      </c>
      <c r="E77" s="639">
        <v>0.48</v>
      </c>
      <c r="F77" s="639">
        <v>0</v>
      </c>
      <c r="G77" s="639">
        <v>0</v>
      </c>
      <c r="H77" s="110">
        <v>2.8</v>
      </c>
      <c r="I77" s="110">
        <v>0</v>
      </c>
      <c r="J77" s="24" t="s">
        <v>12</v>
      </c>
      <c r="K77" s="591" t="s">
        <v>396</v>
      </c>
      <c r="L77" s="592"/>
      <c r="M77" s="593"/>
      <c r="N77" s="641"/>
    </row>
    <row r="78" spans="1:14" s="1" customFormat="1" ht="26.25" customHeight="1" thickBot="1" x14ac:dyDescent="0.4">
      <c r="A78" s="53" t="s">
        <v>341</v>
      </c>
      <c r="B78" s="34"/>
      <c r="C78" s="31">
        <f>SUM(C77:C77)</f>
        <v>3.28</v>
      </c>
      <c r="D78" s="630"/>
      <c r="E78" s="31">
        <f>SUM(E77:E77)</f>
        <v>0.48</v>
      </c>
      <c r="F78" s="31">
        <f>SUM(F77:F77)</f>
        <v>0</v>
      </c>
      <c r="G78" s="31">
        <f>SUM(G77:G77)</f>
        <v>0</v>
      </c>
      <c r="H78" s="31">
        <f>SUM(H77:H77)</f>
        <v>2.8</v>
      </c>
      <c r="I78" s="31">
        <f>SUM(I77:I77)</f>
        <v>0</v>
      </c>
      <c r="J78" s="643"/>
      <c r="K78" s="644"/>
      <c r="L78" s="40"/>
      <c r="M78" s="2"/>
      <c r="N78" s="581"/>
    </row>
    <row r="79" spans="1:14" s="1" customFormat="1" ht="14.25" customHeight="1" thickBot="1" x14ac:dyDescent="0.4">
      <c r="A79" s="95"/>
      <c r="B79" s="37"/>
      <c r="C79" s="38"/>
      <c r="D79" s="645"/>
      <c r="E79" s="38"/>
      <c r="F79" s="38"/>
      <c r="G79" s="38"/>
      <c r="H79" s="38"/>
      <c r="I79" s="38"/>
      <c r="J79" s="3"/>
      <c r="K79" s="2"/>
      <c r="L79" s="646"/>
      <c r="M79" s="2"/>
      <c r="N79" s="581"/>
    </row>
    <row r="80" spans="1:14" s="1" customFormat="1" x14ac:dyDescent="0.35">
      <c r="A80" s="1217" t="s">
        <v>397</v>
      </c>
      <c r="B80" s="1218"/>
      <c r="C80" s="1218"/>
      <c r="D80" s="1218"/>
      <c r="E80" s="1218"/>
      <c r="F80" s="1218"/>
      <c r="G80" s="1218"/>
      <c r="H80" s="1218"/>
      <c r="I80" s="1218"/>
      <c r="J80" s="1218"/>
      <c r="K80" s="1218"/>
      <c r="L80" s="1219"/>
      <c r="M80" s="584"/>
      <c r="N80" s="581"/>
    </row>
    <row r="81" spans="1:14" s="1" customFormat="1" ht="16" thickBot="1" x14ac:dyDescent="0.4">
      <c r="A81" s="585"/>
      <c r="B81" s="2"/>
      <c r="C81" s="5"/>
      <c r="D81" s="586"/>
      <c r="E81" s="5"/>
      <c r="F81" s="5"/>
      <c r="G81" s="5"/>
      <c r="H81" s="5"/>
      <c r="I81" s="5"/>
      <c r="J81" s="3"/>
      <c r="K81" s="21"/>
      <c r="L81" s="97"/>
      <c r="M81" s="21"/>
      <c r="N81" s="581"/>
    </row>
    <row r="82" spans="1:14" s="1" customFormat="1" ht="21" customHeight="1" x14ac:dyDescent="0.35">
      <c r="A82" s="1206" t="s">
        <v>302</v>
      </c>
      <c r="B82" s="1208" t="s">
        <v>28</v>
      </c>
      <c r="C82" s="1210" t="s">
        <v>343</v>
      </c>
      <c r="D82" s="613"/>
      <c r="E82" s="1212" t="s">
        <v>305</v>
      </c>
      <c r="F82" s="1212"/>
      <c r="G82" s="1212"/>
      <c r="H82" s="1212"/>
      <c r="I82" s="1212"/>
      <c r="J82" s="1208" t="s">
        <v>29</v>
      </c>
      <c r="K82" s="1213" t="s">
        <v>306</v>
      </c>
      <c r="L82" s="1226" t="s">
        <v>307</v>
      </c>
      <c r="M82" s="588"/>
      <c r="N82" s="581"/>
    </row>
    <row r="83" spans="1:14" s="1" customFormat="1" ht="21" customHeight="1" thickBot="1" x14ac:dyDescent="0.4">
      <c r="A83" s="1207"/>
      <c r="B83" s="1209"/>
      <c r="C83" s="1211"/>
      <c r="D83" s="614"/>
      <c r="E83" s="7" t="s">
        <v>308</v>
      </c>
      <c r="F83" s="7" t="s">
        <v>309</v>
      </c>
      <c r="G83" s="7" t="s">
        <v>310</v>
      </c>
      <c r="H83" s="7" t="s">
        <v>311</v>
      </c>
      <c r="I83" s="7" t="s">
        <v>312</v>
      </c>
      <c r="J83" s="1209"/>
      <c r="K83" s="1214"/>
      <c r="L83" s="1227"/>
      <c r="M83" s="588"/>
      <c r="N83" s="581"/>
    </row>
    <row r="84" spans="1:14" s="625" customFormat="1" ht="16.5" customHeight="1" x14ac:dyDescent="0.35">
      <c r="A84" s="618">
        <v>224</v>
      </c>
      <c r="B84" s="619" t="s">
        <v>44</v>
      </c>
      <c r="C84" s="620">
        <f t="shared" ref="C84:C90" si="7">SUM(E84:I84)</f>
        <v>7.24</v>
      </c>
      <c r="D84" s="634">
        <f>'[23]road inventory 2018'!C94</f>
        <v>7.2</v>
      </c>
      <c r="E84" s="620">
        <v>1.98</v>
      </c>
      <c r="F84" s="620">
        <v>0</v>
      </c>
      <c r="G84" s="620">
        <v>0</v>
      </c>
      <c r="H84" s="620">
        <v>5.26</v>
      </c>
      <c r="I84" s="620">
        <v>0</v>
      </c>
      <c r="J84" s="621" t="s">
        <v>12</v>
      </c>
      <c r="K84" s="622" t="s">
        <v>399</v>
      </c>
      <c r="L84" s="619"/>
      <c r="M84" s="623"/>
      <c r="N84" s="624"/>
    </row>
    <row r="85" spans="1:14" s="26" customFormat="1" ht="16.5" customHeight="1" x14ac:dyDescent="0.35">
      <c r="A85" s="589">
        <v>217</v>
      </c>
      <c r="B85" s="24" t="s">
        <v>243</v>
      </c>
      <c r="C85" s="10">
        <f t="shared" si="7"/>
        <v>1.1399999999999999</v>
      </c>
      <c r="D85" s="615">
        <f>'[23]road inventory 2018'!C96</f>
        <v>1.1000000000000001</v>
      </c>
      <c r="E85" s="15">
        <v>1.1399999999999999</v>
      </c>
      <c r="F85" s="15">
        <v>0</v>
      </c>
      <c r="G85" s="15">
        <v>0</v>
      </c>
      <c r="H85" s="15">
        <v>0</v>
      </c>
      <c r="I85" s="15">
        <v>0</v>
      </c>
      <c r="J85" s="106" t="s">
        <v>10</v>
      </c>
      <c r="K85" s="591" t="s">
        <v>402</v>
      </c>
      <c r="L85" s="24"/>
      <c r="M85" s="593"/>
      <c r="N85" s="617"/>
    </row>
    <row r="86" spans="1:14" s="26" customFormat="1" ht="16.5" customHeight="1" x14ac:dyDescent="0.35">
      <c r="A86" s="589">
        <v>225</v>
      </c>
      <c r="B86" s="24" t="s">
        <v>403</v>
      </c>
      <c r="C86" s="10">
        <f t="shared" si="7"/>
        <v>0.36</v>
      </c>
      <c r="D86" s="615">
        <f>'[23]road inventory 2018'!C97</f>
        <v>0.4</v>
      </c>
      <c r="E86" s="15">
        <v>0</v>
      </c>
      <c r="F86" s="15">
        <v>0</v>
      </c>
      <c r="G86" s="15">
        <v>0</v>
      </c>
      <c r="H86" s="15">
        <v>0.36</v>
      </c>
      <c r="I86" s="15">
        <v>0</v>
      </c>
      <c r="J86" s="106" t="s">
        <v>10</v>
      </c>
      <c r="K86" s="591" t="s">
        <v>404</v>
      </c>
      <c r="L86" s="24"/>
      <c r="M86" s="593"/>
      <c r="N86" s="617"/>
    </row>
    <row r="87" spans="1:14" s="26" customFormat="1" ht="16.5" customHeight="1" x14ac:dyDescent="0.35">
      <c r="A87" s="589">
        <v>226</v>
      </c>
      <c r="B87" s="24" t="s">
        <v>45</v>
      </c>
      <c r="C87" s="10">
        <f t="shared" si="7"/>
        <v>4.01</v>
      </c>
      <c r="D87" s="615">
        <f>'[23]road inventory 2018'!C98</f>
        <v>4.8</v>
      </c>
      <c r="E87" s="15">
        <v>0.86</v>
      </c>
      <c r="F87" s="15">
        <v>0</v>
      </c>
      <c r="G87" s="15">
        <v>0</v>
      </c>
      <c r="H87" s="15">
        <v>3.15</v>
      </c>
      <c r="I87" s="15">
        <v>0</v>
      </c>
      <c r="J87" s="106" t="s">
        <v>10</v>
      </c>
      <c r="K87" s="591" t="s">
        <v>405</v>
      </c>
      <c r="L87" s="24"/>
      <c r="M87" s="593"/>
      <c r="N87" s="617"/>
    </row>
    <row r="88" spans="1:14" s="26" customFormat="1" ht="16.5" customHeight="1" x14ac:dyDescent="0.35">
      <c r="A88" s="589">
        <v>116</v>
      </c>
      <c r="B88" s="24" t="s">
        <v>47</v>
      </c>
      <c r="C88" s="10">
        <f t="shared" si="7"/>
        <v>12.3</v>
      </c>
      <c r="D88" s="615">
        <f>'[23]road inventory 2018'!C99</f>
        <v>12.3</v>
      </c>
      <c r="E88" s="15">
        <v>6.67</v>
      </c>
      <c r="F88" s="15">
        <v>0</v>
      </c>
      <c r="G88" s="15">
        <v>0</v>
      </c>
      <c r="H88" s="15">
        <v>5.63</v>
      </c>
      <c r="I88" s="15">
        <v>0</v>
      </c>
      <c r="J88" s="106" t="s">
        <v>12</v>
      </c>
      <c r="K88" s="591" t="s">
        <v>405</v>
      </c>
      <c r="L88" s="24"/>
      <c r="M88" s="593"/>
      <c r="N88" s="617"/>
    </row>
    <row r="89" spans="1:14" s="26" customFormat="1" ht="16.5" customHeight="1" x14ac:dyDescent="0.35">
      <c r="A89" s="589">
        <v>46</v>
      </c>
      <c r="B89" s="24" t="s">
        <v>406</v>
      </c>
      <c r="C89" s="10">
        <f t="shared" si="7"/>
        <v>1.3</v>
      </c>
      <c r="D89" s="615">
        <f>'[23]road inventory 2018'!C100</f>
        <v>1.3</v>
      </c>
      <c r="E89" s="15">
        <v>1.3</v>
      </c>
      <c r="F89" s="15">
        <v>0</v>
      </c>
      <c r="G89" s="15">
        <v>0</v>
      </c>
      <c r="H89" s="15">
        <v>0</v>
      </c>
      <c r="I89" s="15">
        <v>0</v>
      </c>
      <c r="J89" s="106" t="s">
        <v>10</v>
      </c>
      <c r="K89" s="591" t="s">
        <v>407</v>
      </c>
      <c r="L89" s="24"/>
      <c r="M89" s="593"/>
      <c r="N89" s="617"/>
    </row>
    <row r="90" spans="1:14" s="625" customFormat="1" ht="16.5" customHeight="1" x14ac:dyDescent="0.35">
      <c r="A90" s="618">
        <v>100</v>
      </c>
      <c r="B90" s="619" t="s">
        <v>50</v>
      </c>
      <c r="C90" s="620">
        <f t="shared" si="7"/>
        <v>7.8</v>
      </c>
      <c r="D90" s="634">
        <f>'[23]road inventory 2018'!C102</f>
        <v>7.8</v>
      </c>
      <c r="E90" s="620">
        <v>2</v>
      </c>
      <c r="F90" s="620">
        <v>0</v>
      </c>
      <c r="G90" s="620">
        <v>5.8</v>
      </c>
      <c r="H90" s="620">
        <v>0</v>
      </c>
      <c r="I90" s="620">
        <v>0</v>
      </c>
      <c r="J90" s="621" t="s">
        <v>12</v>
      </c>
      <c r="K90" s="622" t="s">
        <v>410</v>
      </c>
      <c r="L90" s="619"/>
      <c r="M90" s="623"/>
      <c r="N90" s="624"/>
    </row>
    <row r="91" spans="1:14" s="1" customFormat="1" ht="16.5" customHeight="1" x14ac:dyDescent="0.35">
      <c r="A91" s="635"/>
      <c r="B91" s="40"/>
      <c r="C91" s="41">
        <f t="shared" ref="C91:H91" si="8">SUM(C84:C90)</f>
        <v>34.15</v>
      </c>
      <c r="D91" s="627">
        <f t="shared" si="8"/>
        <v>34.9</v>
      </c>
      <c r="E91" s="41">
        <f t="shared" si="8"/>
        <v>13.950000000000001</v>
      </c>
      <c r="F91" s="41">
        <f t="shared" si="8"/>
        <v>0</v>
      </c>
      <c r="G91" s="41">
        <f t="shared" si="8"/>
        <v>5.8</v>
      </c>
      <c r="H91" s="41">
        <f t="shared" si="8"/>
        <v>14.399999999999999</v>
      </c>
      <c r="I91" s="41"/>
      <c r="J91" s="109"/>
      <c r="K91" s="605"/>
      <c r="L91" s="28"/>
      <c r="M91" s="2"/>
      <c r="N91" s="581"/>
    </row>
    <row r="92" spans="1:14" s="1" customFormat="1" ht="22.5" customHeight="1" thickBot="1" x14ac:dyDescent="0.4">
      <c r="A92" s="53" t="s">
        <v>341</v>
      </c>
      <c r="B92" s="34"/>
      <c r="C92" s="31">
        <f>SUM(E92:I92)</f>
        <v>34.15</v>
      </c>
      <c r="D92" s="630"/>
      <c r="E92" s="31">
        <f>SUM(E84:E90)</f>
        <v>13.950000000000001</v>
      </c>
      <c r="F92" s="31">
        <f>SUM(F84:F90)</f>
        <v>0</v>
      </c>
      <c r="G92" s="31">
        <f>SUM(G84:G90)</f>
        <v>5.8</v>
      </c>
      <c r="H92" s="31">
        <f>SUM(H84:H90)</f>
        <v>14.399999999999999</v>
      </c>
      <c r="I92" s="31">
        <f>SUM(I84:I90)</f>
        <v>0</v>
      </c>
      <c r="J92" s="608"/>
      <c r="K92" s="609"/>
      <c r="L92" s="97"/>
      <c r="M92" s="21"/>
      <c r="N92" s="581"/>
    </row>
    <row r="93" spans="1:14" s="1" customFormat="1" ht="22.5" customHeight="1" x14ac:dyDescent="0.35">
      <c r="A93" s="544"/>
      <c r="B93" s="35"/>
      <c r="C93" s="22"/>
      <c r="D93" s="610"/>
      <c r="E93" s="22"/>
      <c r="F93" s="22"/>
      <c r="G93" s="22"/>
      <c r="H93" s="22"/>
      <c r="I93" s="22"/>
      <c r="K93" s="21"/>
      <c r="L93" s="647"/>
      <c r="M93" s="21"/>
      <c r="N93" s="581"/>
    </row>
    <row r="94" spans="1:14" s="1" customFormat="1" x14ac:dyDescent="0.35">
      <c r="A94" s="1203" t="s">
        <v>411</v>
      </c>
      <c r="B94" s="1204"/>
      <c r="C94" s="1204"/>
      <c r="D94" s="1204"/>
      <c r="E94" s="1204"/>
      <c r="F94" s="1204"/>
      <c r="G94" s="1204"/>
      <c r="H94" s="1204"/>
      <c r="I94" s="1204"/>
      <c r="J94" s="1204"/>
      <c r="K94" s="1204"/>
      <c r="L94" s="1205"/>
      <c r="M94" s="584"/>
      <c r="N94" s="581"/>
    </row>
    <row r="95" spans="1:14" s="1" customFormat="1" ht="16" thickBot="1" x14ac:dyDescent="0.4">
      <c r="A95" s="585"/>
      <c r="B95" s="2"/>
      <c r="C95" s="5"/>
      <c r="D95" s="586"/>
      <c r="E95" s="5"/>
      <c r="F95" s="5"/>
      <c r="G95" s="5"/>
      <c r="H95" s="5"/>
      <c r="I95" s="5"/>
      <c r="J95" s="3"/>
      <c r="K95" s="21"/>
      <c r="L95" s="631"/>
      <c r="M95" s="21"/>
      <c r="N95" s="581"/>
    </row>
    <row r="96" spans="1:14" s="1" customFormat="1" ht="21" customHeight="1" x14ac:dyDescent="0.35">
      <c r="A96" s="1206" t="s">
        <v>302</v>
      </c>
      <c r="B96" s="1208" t="s">
        <v>28</v>
      </c>
      <c r="C96" s="1210" t="s">
        <v>343</v>
      </c>
      <c r="D96" s="613"/>
      <c r="E96" s="1212" t="s">
        <v>305</v>
      </c>
      <c r="F96" s="1212"/>
      <c r="G96" s="1212"/>
      <c r="H96" s="1212"/>
      <c r="I96" s="1212"/>
      <c r="J96" s="1208" t="s">
        <v>29</v>
      </c>
      <c r="K96" s="1213" t="s">
        <v>306</v>
      </c>
      <c r="L96" s="1226" t="s">
        <v>307</v>
      </c>
      <c r="M96" s="588"/>
      <c r="N96" s="581"/>
    </row>
    <row r="97" spans="1:14" s="1" customFormat="1" ht="21" customHeight="1" thickBot="1" x14ac:dyDescent="0.4">
      <c r="A97" s="1207"/>
      <c r="B97" s="1209"/>
      <c r="C97" s="1211"/>
      <c r="D97" s="614"/>
      <c r="E97" s="7" t="s">
        <v>308</v>
      </c>
      <c r="F97" s="7" t="s">
        <v>309</v>
      </c>
      <c r="G97" s="7" t="s">
        <v>310</v>
      </c>
      <c r="H97" s="7" t="s">
        <v>311</v>
      </c>
      <c r="I97" s="7" t="s">
        <v>312</v>
      </c>
      <c r="J97" s="1209"/>
      <c r="K97" s="1214"/>
      <c r="L97" s="1227"/>
      <c r="M97" s="588"/>
      <c r="N97" s="581"/>
    </row>
    <row r="98" spans="1:14" s="26" customFormat="1" ht="16" customHeight="1" x14ac:dyDescent="0.35">
      <c r="A98" s="589">
        <v>48</v>
      </c>
      <c r="B98" s="43" t="s">
        <v>254</v>
      </c>
      <c r="C98" s="15">
        <f>SUM(E98:I98)</f>
        <v>2.19</v>
      </c>
      <c r="D98" s="590">
        <f>'[23]road inventory 2018'!C109</f>
        <v>2.1</v>
      </c>
      <c r="E98" s="15">
        <v>0</v>
      </c>
      <c r="F98" s="15">
        <v>0</v>
      </c>
      <c r="G98" s="15">
        <v>0</v>
      </c>
      <c r="H98" s="15">
        <v>2.19</v>
      </c>
      <c r="I98" s="15">
        <v>0</v>
      </c>
      <c r="J98" s="106" t="s">
        <v>12</v>
      </c>
      <c r="K98" s="591" t="s">
        <v>412</v>
      </c>
      <c r="L98" s="592"/>
      <c r="M98" s="593"/>
      <c r="N98" s="617"/>
    </row>
    <row r="99" spans="1:14" s="26" customFormat="1" ht="16" customHeight="1" x14ac:dyDescent="0.35">
      <c r="A99" s="589">
        <v>50</v>
      </c>
      <c r="B99" s="43" t="s">
        <v>255</v>
      </c>
      <c r="C99" s="15">
        <f t="shared" ref="C99:C124" si="9">SUM(E99:I99)</f>
        <v>7.69</v>
      </c>
      <c r="D99" s="590">
        <f>'[23]road inventory 2018'!C110</f>
        <v>7.6</v>
      </c>
      <c r="E99" s="15">
        <v>1.79</v>
      </c>
      <c r="F99" s="15">
        <v>0</v>
      </c>
      <c r="G99" s="15">
        <v>0</v>
      </c>
      <c r="H99" s="15">
        <v>5.9</v>
      </c>
      <c r="I99" s="15">
        <v>0</v>
      </c>
      <c r="J99" s="106" t="s">
        <v>12</v>
      </c>
      <c r="K99" s="591" t="s">
        <v>413</v>
      </c>
      <c r="L99" s="24"/>
      <c r="M99" s="593"/>
      <c r="N99" s="617"/>
    </row>
    <row r="100" spans="1:14" s="26" customFormat="1" ht="16" customHeight="1" x14ac:dyDescent="0.35">
      <c r="A100" s="589">
        <v>51</v>
      </c>
      <c r="B100" s="43" t="s">
        <v>248</v>
      </c>
      <c r="C100" s="15">
        <f t="shared" si="9"/>
        <v>3.96</v>
      </c>
      <c r="D100" s="590">
        <f>'[23]road inventory 2018'!C111</f>
        <v>3</v>
      </c>
      <c r="E100" s="15">
        <v>0</v>
      </c>
      <c r="F100" s="15">
        <v>0</v>
      </c>
      <c r="G100" s="15">
        <v>0</v>
      </c>
      <c r="H100" s="15">
        <v>3.96</v>
      </c>
      <c r="I100" s="15">
        <v>0</v>
      </c>
      <c r="J100" s="106" t="s">
        <v>12</v>
      </c>
      <c r="K100" s="591" t="s">
        <v>414</v>
      </c>
      <c r="L100" s="24"/>
      <c r="M100" s="593"/>
      <c r="N100" s="617"/>
    </row>
    <row r="101" spans="1:14" s="26" customFormat="1" ht="16" customHeight="1" x14ac:dyDescent="0.35">
      <c r="A101" s="589">
        <v>52</v>
      </c>
      <c r="B101" s="43" t="s">
        <v>251</v>
      </c>
      <c r="C101" s="15">
        <f t="shared" si="9"/>
        <v>6.64</v>
      </c>
      <c r="D101" s="590">
        <f>'[23]road inventory 2018'!C112</f>
        <v>6.5</v>
      </c>
      <c r="E101" s="15">
        <v>0</v>
      </c>
      <c r="F101" s="15">
        <v>0</v>
      </c>
      <c r="G101" s="15">
        <v>0</v>
      </c>
      <c r="H101" s="15">
        <v>6.64</v>
      </c>
      <c r="I101" s="15">
        <v>0</v>
      </c>
      <c r="J101" s="106" t="s">
        <v>12</v>
      </c>
      <c r="K101" s="591" t="s">
        <v>415</v>
      </c>
      <c r="L101" s="24"/>
      <c r="M101" s="593"/>
      <c r="N101" s="617"/>
    </row>
    <row r="102" spans="1:14" s="26" customFormat="1" ht="16" customHeight="1" x14ac:dyDescent="0.35">
      <c r="A102" s="589">
        <v>53</v>
      </c>
      <c r="B102" s="43" t="s">
        <v>249</v>
      </c>
      <c r="C102" s="15">
        <f t="shared" si="9"/>
        <v>6.46</v>
      </c>
      <c r="D102" s="590">
        <f>'[23]road inventory 2018'!C113</f>
        <v>6.4</v>
      </c>
      <c r="E102" s="15">
        <v>5.64</v>
      </c>
      <c r="F102" s="15">
        <v>0</v>
      </c>
      <c r="G102" s="15">
        <v>0</v>
      </c>
      <c r="H102" s="15">
        <v>0.82</v>
      </c>
      <c r="I102" s="15">
        <v>0</v>
      </c>
      <c r="J102" s="106" t="s">
        <v>12</v>
      </c>
      <c r="K102" s="591" t="s">
        <v>416</v>
      </c>
      <c r="L102" s="24"/>
      <c r="M102" s="593"/>
      <c r="N102" s="617"/>
    </row>
    <row r="103" spans="1:14" s="26" customFormat="1" ht="16" customHeight="1" x14ac:dyDescent="0.35">
      <c r="A103" s="589">
        <v>54</v>
      </c>
      <c r="B103" s="43" t="s">
        <v>252</v>
      </c>
      <c r="C103" s="15">
        <f t="shared" si="9"/>
        <v>1.69</v>
      </c>
      <c r="D103" s="590">
        <f>'[23]road inventory 2018'!C114</f>
        <v>1.6</v>
      </c>
      <c r="E103" s="15">
        <v>1.18</v>
      </c>
      <c r="F103" s="15">
        <v>0</v>
      </c>
      <c r="G103" s="15">
        <v>0</v>
      </c>
      <c r="H103" s="15">
        <v>0.51</v>
      </c>
      <c r="I103" s="15">
        <v>0</v>
      </c>
      <c r="J103" s="106" t="s">
        <v>10</v>
      </c>
      <c r="K103" s="591" t="s">
        <v>417</v>
      </c>
      <c r="L103" s="24"/>
      <c r="M103" s="593"/>
      <c r="N103" s="617"/>
    </row>
    <row r="104" spans="1:14" s="26" customFormat="1" ht="16" customHeight="1" x14ac:dyDescent="0.35">
      <c r="A104" s="589">
        <v>103</v>
      </c>
      <c r="B104" s="43" t="s">
        <v>245</v>
      </c>
      <c r="C104" s="15">
        <f t="shared" si="9"/>
        <v>1.27</v>
      </c>
      <c r="D104" s="590">
        <f>'[23]road inventory 2018'!C115</f>
        <v>1.2</v>
      </c>
      <c r="E104" s="15">
        <v>0.19</v>
      </c>
      <c r="F104" s="15">
        <v>0</v>
      </c>
      <c r="G104" s="15">
        <v>0</v>
      </c>
      <c r="H104" s="15">
        <v>1.08</v>
      </c>
      <c r="I104" s="15">
        <v>0</v>
      </c>
      <c r="J104" s="106" t="s">
        <v>10</v>
      </c>
      <c r="K104" s="591" t="s">
        <v>418</v>
      </c>
      <c r="L104" s="24"/>
      <c r="M104" s="593"/>
      <c r="N104" s="617"/>
    </row>
    <row r="105" spans="1:14" s="26" customFormat="1" ht="16" customHeight="1" x14ac:dyDescent="0.35">
      <c r="A105" s="589">
        <v>55</v>
      </c>
      <c r="B105" s="43" t="s">
        <v>244</v>
      </c>
      <c r="C105" s="15">
        <f t="shared" si="9"/>
        <v>4.18</v>
      </c>
      <c r="D105" s="590">
        <f>'[23]road inventory 2018'!C116</f>
        <v>4.0999999999999996</v>
      </c>
      <c r="E105" s="15">
        <v>0</v>
      </c>
      <c r="F105" s="15">
        <v>0</v>
      </c>
      <c r="G105" s="15">
        <v>0</v>
      </c>
      <c r="H105" s="15">
        <v>4.18</v>
      </c>
      <c r="I105" s="15">
        <v>0</v>
      </c>
      <c r="J105" s="106" t="s">
        <v>12</v>
      </c>
      <c r="K105" s="591" t="s">
        <v>419</v>
      </c>
      <c r="L105" s="24"/>
      <c r="M105" s="593"/>
      <c r="N105" s="617"/>
    </row>
    <row r="106" spans="1:14" s="26" customFormat="1" ht="16" customHeight="1" x14ac:dyDescent="0.35">
      <c r="A106" s="589">
        <v>57</v>
      </c>
      <c r="B106" s="43" t="s">
        <v>268</v>
      </c>
      <c r="C106" s="15">
        <f t="shared" si="9"/>
        <v>1.36</v>
      </c>
      <c r="D106" s="590">
        <f>'[23]road inventory 2018'!C117</f>
        <v>1.3</v>
      </c>
      <c r="E106" s="15">
        <v>0.3</v>
      </c>
      <c r="F106" s="15">
        <v>0</v>
      </c>
      <c r="G106" s="15">
        <v>0</v>
      </c>
      <c r="H106" s="15">
        <v>1.06</v>
      </c>
      <c r="I106" s="15">
        <v>0</v>
      </c>
      <c r="J106" s="106" t="s">
        <v>12</v>
      </c>
      <c r="K106" s="591" t="s">
        <v>420</v>
      </c>
      <c r="L106" s="24"/>
      <c r="M106" s="593"/>
      <c r="N106" s="617"/>
    </row>
    <row r="107" spans="1:14" s="26" customFormat="1" ht="16" customHeight="1" x14ac:dyDescent="0.35">
      <c r="A107" s="589">
        <v>97</v>
      </c>
      <c r="B107" s="43" t="s">
        <v>51</v>
      </c>
      <c r="C107" s="15">
        <f t="shared" si="9"/>
        <v>8.4499999999999993</v>
      </c>
      <c r="D107" s="590">
        <f>'[23]road inventory 2018'!C120</f>
        <v>8.3000000000000007</v>
      </c>
      <c r="E107" s="15">
        <v>8.4499999999999993</v>
      </c>
      <c r="F107" s="15">
        <v>0</v>
      </c>
      <c r="G107" s="15">
        <v>0</v>
      </c>
      <c r="H107" s="15">
        <v>0</v>
      </c>
      <c r="I107" s="15">
        <v>0</v>
      </c>
      <c r="J107" s="106" t="s">
        <v>10</v>
      </c>
      <c r="K107" s="591" t="s">
        <v>423</v>
      </c>
      <c r="L107" s="24"/>
      <c r="M107" s="593"/>
      <c r="N107" s="617"/>
    </row>
    <row r="108" spans="1:14" s="26" customFormat="1" ht="16" customHeight="1" x14ac:dyDescent="0.35">
      <c r="A108" s="589">
        <v>56</v>
      </c>
      <c r="B108" s="43" t="s">
        <v>250</v>
      </c>
      <c r="C108" s="15">
        <f t="shared" si="9"/>
        <v>5.7200000000000006</v>
      </c>
      <c r="D108" s="590">
        <f>'[23]road inventory 2018'!C121</f>
        <v>5.7</v>
      </c>
      <c r="E108" s="15">
        <v>1.73</v>
      </c>
      <c r="F108" s="15">
        <v>0</v>
      </c>
      <c r="G108" s="15">
        <v>0</v>
      </c>
      <c r="H108" s="15">
        <v>3.99</v>
      </c>
      <c r="I108" s="15">
        <v>0</v>
      </c>
      <c r="J108" s="106" t="s">
        <v>12</v>
      </c>
      <c r="K108" s="591" t="s">
        <v>414</v>
      </c>
      <c r="L108" s="24"/>
      <c r="M108" s="593"/>
      <c r="N108" s="617"/>
    </row>
    <row r="109" spans="1:14" s="26" customFormat="1" ht="16" customHeight="1" x14ac:dyDescent="0.35">
      <c r="A109" s="589">
        <v>60</v>
      </c>
      <c r="B109" s="43" t="s">
        <v>253</v>
      </c>
      <c r="C109" s="15">
        <f t="shared" si="9"/>
        <v>9.1999999999999993</v>
      </c>
      <c r="D109" s="590">
        <f>'[23]road inventory 2018'!C122</f>
        <v>9.1999999999999993</v>
      </c>
      <c r="E109" s="15">
        <v>7.1</v>
      </c>
      <c r="F109" s="15">
        <v>0</v>
      </c>
      <c r="G109" s="15">
        <v>0</v>
      </c>
      <c r="H109" s="15">
        <v>2.1</v>
      </c>
      <c r="I109" s="15">
        <v>0</v>
      </c>
      <c r="J109" s="106" t="s">
        <v>10</v>
      </c>
      <c r="K109" s="591" t="s">
        <v>424</v>
      </c>
      <c r="L109" s="24"/>
      <c r="M109" s="593"/>
      <c r="N109" s="617"/>
    </row>
    <row r="110" spans="1:14" s="26" customFormat="1" ht="16" customHeight="1" x14ac:dyDescent="0.35">
      <c r="A110" s="589">
        <v>61</v>
      </c>
      <c r="B110" s="43" t="s">
        <v>260</v>
      </c>
      <c r="C110" s="15">
        <f t="shared" si="9"/>
        <v>4.5</v>
      </c>
      <c r="D110" s="590">
        <f>'[23]road inventory 2018'!C123</f>
        <v>4.5</v>
      </c>
      <c r="E110" s="15">
        <v>1.63</v>
      </c>
      <c r="F110" s="15">
        <v>0</v>
      </c>
      <c r="G110" s="15">
        <v>0</v>
      </c>
      <c r="H110" s="15">
        <v>2.87</v>
      </c>
      <c r="I110" s="15">
        <v>0</v>
      </c>
      <c r="J110" s="106" t="s">
        <v>10</v>
      </c>
      <c r="K110" s="591" t="s">
        <v>425</v>
      </c>
      <c r="L110" s="24"/>
      <c r="M110" s="593"/>
      <c r="N110" s="617"/>
    </row>
    <row r="111" spans="1:14" s="26" customFormat="1" ht="16" customHeight="1" x14ac:dyDescent="0.35">
      <c r="A111" s="589">
        <v>62</v>
      </c>
      <c r="B111" s="43" t="s">
        <v>269</v>
      </c>
      <c r="C111" s="15">
        <f t="shared" si="9"/>
        <v>3.03</v>
      </c>
      <c r="D111" s="590">
        <f>'[23]road inventory 2018'!C124</f>
        <v>2</v>
      </c>
      <c r="E111" s="15">
        <v>0</v>
      </c>
      <c r="F111" s="15">
        <v>0</v>
      </c>
      <c r="G111" s="15">
        <v>0</v>
      </c>
      <c r="H111" s="15">
        <v>3.03</v>
      </c>
      <c r="I111" s="15">
        <v>0</v>
      </c>
      <c r="J111" s="106" t="s">
        <v>12</v>
      </c>
      <c r="K111" s="591" t="s">
        <v>426</v>
      </c>
      <c r="L111" s="24"/>
      <c r="M111" s="593"/>
      <c r="N111" s="617"/>
    </row>
    <row r="112" spans="1:14" s="26" customFormat="1" ht="16" customHeight="1" x14ac:dyDescent="0.35">
      <c r="A112" s="589">
        <v>63</v>
      </c>
      <c r="B112" s="43" t="s">
        <v>265</v>
      </c>
      <c r="C112" s="15">
        <f t="shared" si="9"/>
        <v>3.04</v>
      </c>
      <c r="D112" s="590">
        <f>'[23]road inventory 2018'!C125</f>
        <v>3</v>
      </c>
      <c r="E112" s="15">
        <v>0.11</v>
      </c>
      <c r="F112" s="15">
        <v>0</v>
      </c>
      <c r="G112" s="15">
        <v>0</v>
      </c>
      <c r="H112" s="15">
        <v>2.93</v>
      </c>
      <c r="I112" s="15">
        <v>0</v>
      </c>
      <c r="J112" s="106" t="s">
        <v>12</v>
      </c>
      <c r="K112" s="591" t="s">
        <v>427</v>
      </c>
      <c r="L112" s="24"/>
      <c r="M112" s="593"/>
      <c r="N112" s="617"/>
    </row>
    <row r="113" spans="1:14" s="26" customFormat="1" ht="16" customHeight="1" x14ac:dyDescent="0.35">
      <c r="A113" s="589">
        <v>98</v>
      </c>
      <c r="B113" s="43" t="s">
        <v>247</v>
      </c>
      <c r="C113" s="15">
        <f t="shared" si="9"/>
        <v>5.18</v>
      </c>
      <c r="D113" s="590">
        <f>'[23]road inventory 2018'!C126</f>
        <v>5.1000000000000005</v>
      </c>
      <c r="E113" s="15">
        <v>5.08</v>
      </c>
      <c r="F113" s="15">
        <v>0</v>
      </c>
      <c r="G113" s="15">
        <v>0</v>
      </c>
      <c r="H113" s="15">
        <v>0.1</v>
      </c>
      <c r="I113" s="15">
        <v>0</v>
      </c>
      <c r="J113" s="106" t="s">
        <v>12</v>
      </c>
      <c r="K113" s="591" t="s">
        <v>428</v>
      </c>
      <c r="L113" s="24"/>
      <c r="M113" s="593"/>
      <c r="N113" s="617"/>
    </row>
    <row r="114" spans="1:14" s="26" customFormat="1" ht="16" customHeight="1" x14ac:dyDescent="0.35">
      <c r="A114" s="589">
        <v>64</v>
      </c>
      <c r="B114" s="43" t="s">
        <v>246</v>
      </c>
      <c r="C114" s="15">
        <f t="shared" si="9"/>
        <v>3.64</v>
      </c>
      <c r="D114" s="590">
        <f>'[23]road inventory 2018'!C127</f>
        <v>3.6</v>
      </c>
      <c r="E114" s="15">
        <v>2.41</v>
      </c>
      <c r="F114" s="15">
        <v>0</v>
      </c>
      <c r="G114" s="15">
        <v>0</v>
      </c>
      <c r="H114" s="15">
        <v>1.23</v>
      </c>
      <c r="I114" s="15">
        <v>0</v>
      </c>
      <c r="J114" s="106" t="s">
        <v>12</v>
      </c>
      <c r="K114" s="591" t="s">
        <v>429</v>
      </c>
      <c r="L114" s="24"/>
      <c r="M114" s="593"/>
      <c r="N114" s="617"/>
    </row>
    <row r="115" spans="1:14" s="625" customFormat="1" ht="16" customHeight="1" x14ac:dyDescent="0.35">
      <c r="A115" s="618">
        <v>96</v>
      </c>
      <c r="B115" s="648" t="s">
        <v>270</v>
      </c>
      <c r="C115" s="620">
        <f>SUM(E115:I115)</f>
        <v>5.73</v>
      </c>
      <c r="D115" s="634">
        <f>'[23]road inventory 2018'!C128</f>
        <v>5.6999999999999993</v>
      </c>
      <c r="E115" s="620">
        <v>2.2669999999999999</v>
      </c>
      <c r="F115" s="620">
        <v>0</v>
      </c>
      <c r="G115" s="620">
        <v>0</v>
      </c>
      <c r="H115" s="620">
        <v>3.4630000000000001</v>
      </c>
      <c r="I115" s="620">
        <v>0</v>
      </c>
      <c r="J115" s="621" t="s">
        <v>12</v>
      </c>
      <c r="K115" s="622" t="s">
        <v>430</v>
      </c>
      <c r="L115" s="619"/>
      <c r="M115" s="623"/>
      <c r="N115" s="624"/>
    </row>
    <row r="116" spans="1:14" s="26" customFormat="1" ht="16" customHeight="1" x14ac:dyDescent="0.35">
      <c r="A116" s="589">
        <v>65</v>
      </c>
      <c r="B116" s="43" t="s">
        <v>261</v>
      </c>
      <c r="C116" s="15">
        <f t="shared" si="9"/>
        <v>2.7</v>
      </c>
      <c r="D116" s="590">
        <f>'[23]road inventory 2018'!C129</f>
        <v>1.65</v>
      </c>
      <c r="E116" s="15">
        <v>0</v>
      </c>
      <c r="F116" s="15">
        <v>0</v>
      </c>
      <c r="G116" s="15">
        <v>0</v>
      </c>
      <c r="H116" s="15">
        <v>2.7</v>
      </c>
      <c r="I116" s="15">
        <v>0</v>
      </c>
      <c r="J116" s="106" t="s">
        <v>12</v>
      </c>
      <c r="K116" s="591" t="s">
        <v>431</v>
      </c>
      <c r="L116" s="24"/>
      <c r="M116" s="593"/>
      <c r="N116" s="617"/>
    </row>
    <row r="117" spans="1:14" s="26" customFormat="1" ht="16" customHeight="1" x14ac:dyDescent="0.35">
      <c r="A117" s="589">
        <v>66</v>
      </c>
      <c r="B117" s="43" t="s">
        <v>432</v>
      </c>
      <c r="C117" s="15">
        <f t="shared" si="9"/>
        <v>3.8400000000000003</v>
      </c>
      <c r="D117" s="590">
        <f>'[23]road inventory 2018'!C130</f>
        <v>3.8000000000000003</v>
      </c>
      <c r="E117" s="15">
        <v>0.1</v>
      </c>
      <c r="F117" s="15">
        <v>0</v>
      </c>
      <c r="G117" s="15">
        <v>0</v>
      </c>
      <c r="H117" s="15">
        <v>3.74</v>
      </c>
      <c r="I117" s="15">
        <v>0</v>
      </c>
      <c r="J117" s="106" t="s">
        <v>12</v>
      </c>
      <c r="K117" s="591" t="s">
        <v>433</v>
      </c>
      <c r="L117" s="24"/>
      <c r="M117" s="593"/>
      <c r="N117" s="617"/>
    </row>
    <row r="118" spans="1:14" s="26" customFormat="1" ht="16" customHeight="1" thickBot="1" x14ac:dyDescent="0.4">
      <c r="A118" s="649">
        <v>69</v>
      </c>
      <c r="B118" s="650" t="s">
        <v>264</v>
      </c>
      <c r="C118" s="15">
        <f t="shared" si="9"/>
        <v>1.68</v>
      </c>
      <c r="D118" s="590">
        <f>'[23]road inventory 2018'!C133</f>
        <v>1.6</v>
      </c>
      <c r="E118" s="65">
        <v>0</v>
      </c>
      <c r="F118" s="65">
        <v>0</v>
      </c>
      <c r="G118" s="65">
        <v>0</v>
      </c>
      <c r="H118" s="65">
        <v>1.68</v>
      </c>
      <c r="I118" s="65">
        <v>0</v>
      </c>
      <c r="J118" s="651" t="s">
        <v>12</v>
      </c>
      <c r="K118" s="652" t="s">
        <v>435</v>
      </c>
      <c r="L118" s="24"/>
      <c r="M118" s="593"/>
      <c r="N118" s="617"/>
    </row>
    <row r="119" spans="1:14" s="26" customFormat="1" ht="16" customHeight="1" x14ac:dyDescent="0.35">
      <c r="A119" s="589">
        <v>70</v>
      </c>
      <c r="B119" s="43" t="s">
        <v>263</v>
      </c>
      <c r="C119" s="15">
        <f t="shared" si="9"/>
        <v>2.77</v>
      </c>
      <c r="D119" s="590">
        <f>'[23]road inventory 2018'!C136</f>
        <v>2.6</v>
      </c>
      <c r="E119" s="15">
        <v>0</v>
      </c>
      <c r="F119" s="15">
        <v>0</v>
      </c>
      <c r="G119" s="15">
        <v>0</v>
      </c>
      <c r="H119" s="15">
        <v>2.77</v>
      </c>
      <c r="I119" s="15">
        <v>0</v>
      </c>
      <c r="J119" s="106" t="s">
        <v>12</v>
      </c>
      <c r="K119" s="591" t="s">
        <v>436</v>
      </c>
      <c r="L119" s="24"/>
      <c r="M119" s="593"/>
      <c r="N119" s="617"/>
    </row>
    <row r="120" spans="1:14" s="26" customFormat="1" ht="16" customHeight="1" x14ac:dyDescent="0.35">
      <c r="A120" s="589">
        <v>71</v>
      </c>
      <c r="B120" s="43" t="s">
        <v>54</v>
      </c>
      <c r="C120" s="15">
        <f t="shared" si="9"/>
        <v>2.69</v>
      </c>
      <c r="D120" s="590">
        <f>'[23]road inventory 2018'!C137</f>
        <v>2.7</v>
      </c>
      <c r="E120" s="15">
        <v>0</v>
      </c>
      <c r="F120" s="15">
        <v>0</v>
      </c>
      <c r="G120" s="15">
        <v>0</v>
      </c>
      <c r="H120" s="15">
        <v>2.69</v>
      </c>
      <c r="I120" s="15">
        <v>0</v>
      </c>
      <c r="J120" s="106" t="s">
        <v>12</v>
      </c>
      <c r="K120" s="591" t="s">
        <v>437</v>
      </c>
      <c r="L120" s="24"/>
      <c r="M120" s="593"/>
      <c r="N120" s="617"/>
    </row>
    <row r="121" spans="1:14" s="26" customFormat="1" ht="16" customHeight="1" x14ac:dyDescent="0.35">
      <c r="A121" s="589">
        <v>72</v>
      </c>
      <c r="B121" s="43" t="s">
        <v>56</v>
      </c>
      <c r="C121" s="15">
        <f t="shared" si="9"/>
        <v>1.8900000000000001</v>
      </c>
      <c r="D121" s="590">
        <f>'[23]road inventory 2018'!C138</f>
        <v>1.7</v>
      </c>
      <c r="E121" s="15">
        <v>0.83</v>
      </c>
      <c r="F121" s="15">
        <v>0</v>
      </c>
      <c r="G121" s="15">
        <v>0</v>
      </c>
      <c r="H121" s="15">
        <v>1.06</v>
      </c>
      <c r="I121" s="15">
        <v>0</v>
      </c>
      <c r="J121" s="106" t="s">
        <v>12</v>
      </c>
      <c r="K121" s="591" t="s">
        <v>438</v>
      </c>
      <c r="L121" s="24"/>
      <c r="M121" s="593"/>
      <c r="N121" s="617"/>
    </row>
    <row r="122" spans="1:14" s="26" customFormat="1" ht="16" customHeight="1" x14ac:dyDescent="0.35">
      <c r="A122" s="589">
        <v>73</v>
      </c>
      <c r="B122" s="24" t="s">
        <v>258</v>
      </c>
      <c r="C122" s="15">
        <f t="shared" si="9"/>
        <v>4.5599999999999996</v>
      </c>
      <c r="D122" s="590">
        <f>'[23]road inventory 2018'!C139</f>
        <v>5.5</v>
      </c>
      <c r="E122" s="15">
        <v>0</v>
      </c>
      <c r="F122" s="15">
        <v>0</v>
      </c>
      <c r="G122" s="15">
        <v>0</v>
      </c>
      <c r="H122" s="15">
        <v>4.5599999999999996</v>
      </c>
      <c r="I122" s="15">
        <v>0</v>
      </c>
      <c r="J122" s="106" t="s">
        <v>12</v>
      </c>
      <c r="K122" s="591" t="s">
        <v>439</v>
      </c>
      <c r="L122" s="24"/>
      <c r="M122" s="593"/>
      <c r="N122" s="617"/>
    </row>
    <row r="123" spans="1:14" s="1" customFormat="1" ht="16" customHeight="1" x14ac:dyDescent="0.35">
      <c r="A123" s="596">
        <v>75</v>
      </c>
      <c r="B123" s="28" t="s">
        <v>259</v>
      </c>
      <c r="C123" s="15">
        <f t="shared" si="9"/>
        <v>3.1</v>
      </c>
      <c r="D123" s="590">
        <f>'[23]road inventory 2018'!C141</f>
        <v>2.1</v>
      </c>
      <c r="E123" s="10">
        <v>0</v>
      </c>
      <c r="F123" s="10">
        <v>0</v>
      </c>
      <c r="G123" s="10">
        <v>0</v>
      </c>
      <c r="H123" s="10">
        <v>3.1</v>
      </c>
      <c r="I123" s="10">
        <v>0</v>
      </c>
      <c r="J123" s="103" t="s">
        <v>12</v>
      </c>
      <c r="K123" s="597" t="s">
        <v>440</v>
      </c>
      <c r="L123" s="28"/>
      <c r="M123" s="2"/>
      <c r="N123" s="581"/>
    </row>
    <row r="124" spans="1:14" s="26" customFormat="1" ht="16" customHeight="1" x14ac:dyDescent="0.35">
      <c r="A124" s="589">
        <v>76</v>
      </c>
      <c r="B124" s="24" t="s">
        <v>256</v>
      </c>
      <c r="C124" s="15">
        <f t="shared" si="9"/>
        <v>0.2</v>
      </c>
      <c r="D124" s="590">
        <f>'[23]road inventory 2018'!C142</f>
        <v>0.2</v>
      </c>
      <c r="E124" s="15">
        <v>0.2</v>
      </c>
      <c r="F124" s="15">
        <v>0</v>
      </c>
      <c r="G124" s="15">
        <v>0</v>
      </c>
      <c r="H124" s="15">
        <v>0</v>
      </c>
      <c r="I124" s="15">
        <v>0</v>
      </c>
      <c r="J124" s="106" t="s">
        <v>10</v>
      </c>
      <c r="K124" s="591" t="s">
        <v>425</v>
      </c>
      <c r="L124" s="24"/>
      <c r="M124" s="593"/>
      <c r="N124" s="617"/>
    </row>
    <row r="125" spans="1:14" s="26" customFormat="1" ht="16" customHeight="1" x14ac:dyDescent="0.35">
      <c r="A125" s="626"/>
      <c r="B125" s="60"/>
      <c r="C125" s="61">
        <f t="shared" ref="C125:I125" si="10">SUM(C98:C124)</f>
        <v>107.36000000000001</v>
      </c>
      <c r="D125" s="636">
        <f t="shared" si="10"/>
        <v>102.74999999999999</v>
      </c>
      <c r="E125" s="61">
        <f t="shared" si="10"/>
        <v>39.007000000000005</v>
      </c>
      <c r="F125" s="61">
        <f t="shared" si="10"/>
        <v>0</v>
      </c>
      <c r="G125" s="61">
        <f t="shared" si="10"/>
        <v>0</v>
      </c>
      <c r="H125" s="61">
        <f t="shared" si="10"/>
        <v>68.352999999999994</v>
      </c>
      <c r="I125" s="61">
        <f t="shared" si="10"/>
        <v>0</v>
      </c>
      <c r="J125" s="628"/>
      <c r="K125" s="629"/>
      <c r="L125" s="24"/>
      <c r="M125" s="593"/>
      <c r="N125" s="617"/>
    </row>
    <row r="126" spans="1:14" s="1" customFormat="1" ht="18" customHeight="1" thickBot="1" x14ac:dyDescent="0.4">
      <c r="A126" s="53" t="s">
        <v>341</v>
      </c>
      <c r="B126" s="34"/>
      <c r="C126" s="31">
        <f>E126+H126</f>
        <v>107.36</v>
      </c>
      <c r="D126" s="630"/>
      <c r="E126" s="31">
        <f>SUM(E98:E124)</f>
        <v>39.007000000000005</v>
      </c>
      <c r="F126" s="31">
        <f>SUM(F98:F124)</f>
        <v>0</v>
      </c>
      <c r="G126" s="31">
        <f>SUM(G98:G124)</f>
        <v>0</v>
      </c>
      <c r="H126" s="31">
        <f>SUM(H98:H124)</f>
        <v>68.352999999999994</v>
      </c>
      <c r="I126" s="31">
        <f>SUM(I98:I124)</f>
        <v>0</v>
      </c>
      <c r="J126" s="608"/>
      <c r="K126" s="609"/>
      <c r="L126" s="653"/>
      <c r="M126" s="21"/>
      <c r="N126" s="581"/>
    </row>
    <row r="127" spans="1:14" s="1" customFormat="1" ht="18" customHeight="1" x14ac:dyDescent="0.35">
      <c r="A127" s="544"/>
      <c r="B127" s="35"/>
      <c r="C127" s="22"/>
      <c r="D127" s="610"/>
      <c r="E127" s="22"/>
      <c r="F127" s="22"/>
      <c r="G127" s="22"/>
      <c r="H127" s="22"/>
      <c r="I127" s="22"/>
      <c r="K127" s="21"/>
      <c r="L127" s="653"/>
      <c r="M127" s="21"/>
      <c r="N127" s="581"/>
    </row>
    <row r="128" spans="1:14" s="1" customFormat="1" x14ac:dyDescent="0.35">
      <c r="A128" s="1203" t="s">
        <v>441</v>
      </c>
      <c r="B128" s="1204"/>
      <c r="C128" s="1204"/>
      <c r="D128" s="1204"/>
      <c r="E128" s="1204"/>
      <c r="F128" s="1204"/>
      <c r="G128" s="1204"/>
      <c r="H128" s="1204"/>
      <c r="I128" s="1204"/>
      <c r="J128" s="1204"/>
      <c r="K128" s="1204"/>
      <c r="L128" s="1205"/>
      <c r="M128" s="584"/>
      <c r="N128" s="581"/>
    </row>
    <row r="129" spans="1:14" s="1" customFormat="1" ht="16" thickBot="1" x14ac:dyDescent="0.4">
      <c r="A129" s="585"/>
      <c r="B129" s="2"/>
      <c r="C129" s="5"/>
      <c r="D129" s="586"/>
      <c r="E129" s="5"/>
      <c r="F129" s="5"/>
      <c r="G129" s="5"/>
      <c r="H129" s="5"/>
      <c r="I129" s="5"/>
      <c r="J129" s="3"/>
      <c r="K129" s="21"/>
      <c r="L129" s="97"/>
      <c r="M129" s="21"/>
      <c r="N129" s="581"/>
    </row>
    <row r="130" spans="1:14" s="1" customFormat="1" ht="21" customHeight="1" x14ac:dyDescent="0.35">
      <c r="A130" s="1206" t="s">
        <v>302</v>
      </c>
      <c r="B130" s="1208" t="s">
        <v>28</v>
      </c>
      <c r="C130" s="1210" t="s">
        <v>343</v>
      </c>
      <c r="D130" s="613"/>
      <c r="E130" s="1212" t="s">
        <v>305</v>
      </c>
      <c r="F130" s="1212"/>
      <c r="G130" s="1212"/>
      <c r="H130" s="1212"/>
      <c r="I130" s="1212"/>
      <c r="J130" s="1208" t="s">
        <v>29</v>
      </c>
      <c r="K130" s="1213" t="s">
        <v>306</v>
      </c>
      <c r="L130" s="1226" t="s">
        <v>307</v>
      </c>
      <c r="M130" s="588"/>
      <c r="N130" s="581"/>
    </row>
    <row r="131" spans="1:14" s="1" customFormat="1" ht="21" customHeight="1" thickBot="1" x14ac:dyDescent="0.4">
      <c r="A131" s="1207"/>
      <c r="B131" s="1209"/>
      <c r="C131" s="1211"/>
      <c r="D131" s="614"/>
      <c r="E131" s="7" t="s">
        <v>308</v>
      </c>
      <c r="F131" s="7" t="s">
        <v>309</v>
      </c>
      <c r="G131" s="7" t="s">
        <v>310</v>
      </c>
      <c r="H131" s="7" t="s">
        <v>311</v>
      </c>
      <c r="I131" s="7" t="s">
        <v>312</v>
      </c>
      <c r="J131" s="1209"/>
      <c r="K131" s="1214"/>
      <c r="L131" s="1227"/>
      <c r="M131" s="588"/>
      <c r="N131" s="581"/>
    </row>
    <row r="132" spans="1:14" s="26" customFormat="1" ht="16.5" customHeight="1" x14ac:dyDescent="0.35">
      <c r="A132" s="626">
        <v>95</v>
      </c>
      <c r="B132" s="43" t="s">
        <v>276</v>
      </c>
      <c r="C132" s="61">
        <f>SUM(E132:I132)</f>
        <v>2.3200000000000003</v>
      </c>
      <c r="D132" s="636">
        <f>'[23]road inventory 2018'!C149</f>
        <v>3</v>
      </c>
      <c r="E132" s="15">
        <v>1.02</v>
      </c>
      <c r="F132" s="15">
        <v>0</v>
      </c>
      <c r="G132" s="15">
        <v>0</v>
      </c>
      <c r="H132" s="61">
        <v>1.3</v>
      </c>
      <c r="I132" s="15">
        <v>0</v>
      </c>
      <c r="J132" s="106" t="s">
        <v>10</v>
      </c>
      <c r="K132" s="591" t="s">
        <v>442</v>
      </c>
      <c r="L132" s="592"/>
      <c r="M132" s="593"/>
      <c r="N132" s="617"/>
    </row>
    <row r="133" spans="1:14" s="26" customFormat="1" ht="15" customHeight="1" x14ac:dyDescent="0.35">
      <c r="A133" s="589">
        <v>77</v>
      </c>
      <c r="B133" s="43" t="s">
        <v>271</v>
      </c>
      <c r="C133" s="61">
        <f>SUM(E133:I133)</f>
        <v>0.76</v>
      </c>
      <c r="D133" s="636">
        <f>'[23]road inventory 2018'!C150</f>
        <v>0.7</v>
      </c>
      <c r="E133" s="15">
        <v>0.76</v>
      </c>
      <c r="F133" s="15">
        <v>0</v>
      </c>
      <c r="G133" s="15">
        <v>0</v>
      </c>
      <c r="H133" s="15">
        <v>0</v>
      </c>
      <c r="I133" s="15">
        <v>0</v>
      </c>
      <c r="J133" s="106" t="s">
        <v>10</v>
      </c>
      <c r="K133" s="591" t="s">
        <v>443</v>
      </c>
      <c r="L133" s="24"/>
      <c r="M133" s="593"/>
      <c r="N133" s="617"/>
    </row>
    <row r="134" spans="1:14" s="26" customFormat="1" ht="15" customHeight="1" x14ac:dyDescent="0.35">
      <c r="A134" s="589">
        <v>94</v>
      </c>
      <c r="B134" s="43" t="s">
        <v>278</v>
      </c>
      <c r="C134" s="61">
        <f>SUM(E134:I134)</f>
        <v>0.6</v>
      </c>
      <c r="D134" s="636">
        <f>'[23]road inventory 2018'!C151</f>
        <v>0.6</v>
      </c>
      <c r="E134" s="15">
        <v>0.5</v>
      </c>
      <c r="F134" s="15">
        <v>0</v>
      </c>
      <c r="G134" s="15">
        <v>0</v>
      </c>
      <c r="H134" s="15">
        <v>0.1</v>
      </c>
      <c r="I134" s="15">
        <v>0</v>
      </c>
      <c r="J134" s="106" t="s">
        <v>10</v>
      </c>
      <c r="K134" s="591" t="s">
        <v>444</v>
      </c>
      <c r="L134" s="24"/>
      <c r="M134" s="593"/>
      <c r="N134" s="617"/>
    </row>
    <row r="135" spans="1:14" s="1" customFormat="1" x14ac:dyDescent="0.35">
      <c r="A135" s="596">
        <v>83</v>
      </c>
      <c r="B135" s="45" t="s">
        <v>58</v>
      </c>
      <c r="C135" s="61">
        <f>SUM(E135:I135)</f>
        <v>4.12</v>
      </c>
      <c r="D135" s="636">
        <f>'[23]road inventory 2018'!C157</f>
        <v>4.2</v>
      </c>
      <c r="E135" s="10">
        <v>0.34</v>
      </c>
      <c r="F135" s="10">
        <v>0</v>
      </c>
      <c r="G135" s="10">
        <v>0</v>
      </c>
      <c r="H135" s="10">
        <v>3.78</v>
      </c>
      <c r="I135" s="10">
        <v>0</v>
      </c>
      <c r="J135" s="103" t="s">
        <v>12</v>
      </c>
      <c r="K135" s="597" t="s">
        <v>447</v>
      </c>
      <c r="L135" s="28"/>
      <c r="M135" s="2"/>
      <c r="N135" s="581"/>
    </row>
    <row r="136" spans="1:14" s="26" customFormat="1" ht="13.15" customHeight="1" x14ac:dyDescent="0.35">
      <c r="A136" s="589">
        <v>85</v>
      </c>
      <c r="B136" s="43" t="s">
        <v>281</v>
      </c>
      <c r="C136" s="61">
        <f>SUM(E136:I136)</f>
        <v>2.86</v>
      </c>
      <c r="D136" s="636">
        <f>'[23]road inventory 2018'!C159</f>
        <v>2.8</v>
      </c>
      <c r="E136" s="15">
        <v>0</v>
      </c>
      <c r="F136" s="15">
        <v>0</v>
      </c>
      <c r="G136" s="15">
        <v>0</v>
      </c>
      <c r="H136" s="15">
        <v>2.86</v>
      </c>
      <c r="I136" s="15">
        <v>0</v>
      </c>
      <c r="J136" s="106" t="s">
        <v>10</v>
      </c>
      <c r="K136" s="591" t="s">
        <v>451</v>
      </c>
      <c r="L136" s="24"/>
      <c r="M136" s="593"/>
      <c r="N136" s="617"/>
    </row>
    <row r="137" spans="1:14" x14ac:dyDescent="0.35">
      <c r="A137" s="635"/>
      <c r="B137" s="654"/>
      <c r="C137" s="41">
        <f t="shared" ref="C137:I137" si="11">SUM(C132:C136)</f>
        <v>10.66</v>
      </c>
      <c r="D137" s="41">
        <f t="shared" si="11"/>
        <v>11.3</v>
      </c>
      <c r="E137" s="41">
        <f t="shared" si="11"/>
        <v>2.62</v>
      </c>
      <c r="F137" s="41">
        <f t="shared" si="11"/>
        <v>0</v>
      </c>
      <c r="G137" s="41">
        <f t="shared" si="11"/>
        <v>0</v>
      </c>
      <c r="H137" s="41">
        <f t="shared" si="11"/>
        <v>8.0399999999999991</v>
      </c>
      <c r="I137" s="41">
        <f t="shared" si="11"/>
        <v>0</v>
      </c>
      <c r="J137" s="109"/>
      <c r="K137" s="605"/>
      <c r="L137" s="28"/>
    </row>
    <row r="138" spans="1:14" ht="18" customHeight="1" thickBot="1" x14ac:dyDescent="0.4">
      <c r="A138" s="53" t="s">
        <v>341</v>
      </c>
      <c r="B138" s="34"/>
      <c r="C138" s="31">
        <f>E138+H138</f>
        <v>10.66</v>
      </c>
      <c r="D138" s="630"/>
      <c r="E138" s="31">
        <f>SUM(E132:E136)</f>
        <v>2.62</v>
      </c>
      <c r="F138" s="31">
        <f>SUM(F132:F136)</f>
        <v>0</v>
      </c>
      <c r="G138" s="31">
        <f>SUM(G132:G136)</f>
        <v>0</v>
      </c>
      <c r="H138" s="31">
        <f>SUM(H132:H136)</f>
        <v>8.0399999999999991</v>
      </c>
      <c r="I138" s="31">
        <f>SUM(I132:I136)</f>
        <v>0</v>
      </c>
      <c r="J138" s="608"/>
      <c r="K138" s="609"/>
      <c r="L138" s="653"/>
      <c r="M138" s="21"/>
    </row>
    <row r="139" spans="1:14" ht="18" customHeight="1" thickBot="1" x14ac:dyDescent="0.4">
      <c r="A139" s="544"/>
      <c r="B139" s="35"/>
      <c r="C139" s="22"/>
      <c r="D139" s="610"/>
      <c r="E139" s="22"/>
      <c r="F139" s="22"/>
      <c r="G139" s="22"/>
      <c r="H139" s="22"/>
      <c r="I139" s="22"/>
      <c r="J139" s="1"/>
      <c r="K139" s="21"/>
      <c r="L139" s="97"/>
      <c r="M139" s="21"/>
    </row>
    <row r="140" spans="1:14" s="1" customFormat="1" x14ac:dyDescent="0.35">
      <c r="A140" s="1217" t="s">
        <v>455</v>
      </c>
      <c r="B140" s="1218"/>
      <c r="C140" s="1218"/>
      <c r="D140" s="1218"/>
      <c r="E140" s="1218"/>
      <c r="F140" s="1218"/>
      <c r="G140" s="1218"/>
      <c r="H140" s="1218"/>
      <c r="I140" s="1218"/>
      <c r="J140" s="1218"/>
      <c r="K140" s="1218"/>
      <c r="L140" s="1219"/>
      <c r="M140" s="584"/>
      <c r="N140" s="581"/>
    </row>
    <row r="141" spans="1:14" s="1" customFormat="1" ht="16" thickBot="1" x14ac:dyDescent="0.4">
      <c r="A141" s="585"/>
      <c r="B141" s="2"/>
      <c r="C141" s="5"/>
      <c r="D141" s="586"/>
      <c r="E141" s="5"/>
      <c r="F141" s="5"/>
      <c r="G141" s="5"/>
      <c r="H141" s="5"/>
      <c r="I141" s="5"/>
      <c r="J141" s="3"/>
      <c r="K141" s="21"/>
      <c r="L141" s="97"/>
      <c r="M141" s="21"/>
      <c r="N141" s="581"/>
    </row>
    <row r="142" spans="1:14" s="1" customFormat="1" ht="21" customHeight="1" x14ac:dyDescent="0.35">
      <c r="A142" s="1206" t="s">
        <v>302</v>
      </c>
      <c r="B142" s="1208" t="s">
        <v>28</v>
      </c>
      <c r="C142" s="1210" t="s">
        <v>343</v>
      </c>
      <c r="D142" s="613"/>
      <c r="E142" s="1212" t="s">
        <v>305</v>
      </c>
      <c r="F142" s="1212"/>
      <c r="G142" s="1212"/>
      <c r="H142" s="1212"/>
      <c r="I142" s="1212"/>
      <c r="J142" s="1208" t="s">
        <v>29</v>
      </c>
      <c r="K142" s="1213" t="s">
        <v>306</v>
      </c>
      <c r="L142" s="1226" t="s">
        <v>307</v>
      </c>
      <c r="M142" s="588"/>
      <c r="N142" s="581"/>
    </row>
    <row r="143" spans="1:14" s="1" customFormat="1" ht="21" customHeight="1" thickBot="1" x14ac:dyDescent="0.4">
      <c r="A143" s="1207"/>
      <c r="B143" s="1209"/>
      <c r="C143" s="1211"/>
      <c r="D143" s="614"/>
      <c r="E143" s="7" t="s">
        <v>308</v>
      </c>
      <c r="F143" s="7" t="s">
        <v>309</v>
      </c>
      <c r="G143" s="7" t="s">
        <v>310</v>
      </c>
      <c r="H143" s="7" t="s">
        <v>311</v>
      </c>
      <c r="I143" s="7" t="s">
        <v>312</v>
      </c>
      <c r="J143" s="1209"/>
      <c r="K143" s="1214"/>
      <c r="L143" s="1227"/>
      <c r="M143" s="588"/>
      <c r="N143" s="581"/>
    </row>
    <row r="144" spans="1:14" x14ac:dyDescent="0.35">
      <c r="A144" s="655">
        <v>91</v>
      </c>
      <c r="B144" s="47" t="s">
        <v>62</v>
      </c>
      <c r="C144" s="11">
        <f>SUM(E144:I144)</f>
        <v>13.07</v>
      </c>
      <c r="D144" s="656">
        <f>'[23]road inventory 2018'!C169</f>
        <v>12.9</v>
      </c>
      <c r="E144" s="11">
        <v>10</v>
      </c>
      <c r="F144" s="11">
        <v>0</v>
      </c>
      <c r="G144" s="11">
        <v>0</v>
      </c>
      <c r="H144" s="11">
        <v>3.07</v>
      </c>
      <c r="I144" s="11">
        <v>0</v>
      </c>
      <c r="J144" s="111" t="s">
        <v>10</v>
      </c>
      <c r="K144" s="657" t="s">
        <v>456</v>
      </c>
      <c r="L144" s="112"/>
    </row>
    <row r="145" spans="1:14" s="16" customFormat="1" x14ac:dyDescent="0.35">
      <c r="A145" s="589">
        <v>92</v>
      </c>
      <c r="B145" s="43" t="s">
        <v>457</v>
      </c>
      <c r="C145" s="11">
        <f>SUM(E145:I145)</f>
        <v>5.6</v>
      </c>
      <c r="D145" s="656">
        <f>'[23]road inventory 2018'!C170</f>
        <v>5.6</v>
      </c>
      <c r="E145" s="15">
        <v>3</v>
      </c>
      <c r="F145" s="15">
        <v>0</v>
      </c>
      <c r="G145" s="15">
        <v>0</v>
      </c>
      <c r="H145" s="15">
        <v>2.6</v>
      </c>
      <c r="I145" s="15">
        <v>0</v>
      </c>
      <c r="J145" s="106" t="s">
        <v>317</v>
      </c>
      <c r="K145" s="591" t="s">
        <v>459</v>
      </c>
      <c r="L145" s="24"/>
      <c r="M145" s="593"/>
      <c r="N145" s="598"/>
    </row>
    <row r="146" spans="1:14" x14ac:dyDescent="0.35">
      <c r="A146" s="658" t="s">
        <v>341</v>
      </c>
      <c r="B146" s="50"/>
      <c r="C146" s="51">
        <f t="shared" ref="C146:I146" si="12">SUM(C144:C145)</f>
        <v>18.670000000000002</v>
      </c>
      <c r="D146" s="51">
        <f t="shared" si="12"/>
        <v>18.5</v>
      </c>
      <c r="E146" s="51">
        <f t="shared" si="12"/>
        <v>13</v>
      </c>
      <c r="F146" s="51">
        <f t="shared" si="12"/>
        <v>0</v>
      </c>
      <c r="G146" s="51">
        <f t="shared" si="12"/>
        <v>0</v>
      </c>
      <c r="H146" s="51">
        <f t="shared" si="12"/>
        <v>5.67</v>
      </c>
      <c r="I146" s="51">
        <f t="shared" si="12"/>
        <v>0</v>
      </c>
      <c r="J146" s="102"/>
      <c r="K146" s="659"/>
      <c r="L146" s="653"/>
      <c r="M146" s="21"/>
    </row>
    <row r="147" spans="1:14" x14ac:dyDescent="0.35">
      <c r="A147" s="596"/>
      <c r="B147" s="45"/>
      <c r="C147" s="10"/>
      <c r="D147" s="615"/>
      <c r="E147" s="10"/>
      <c r="F147" s="10"/>
      <c r="G147" s="10"/>
      <c r="H147" s="10"/>
      <c r="I147" s="10"/>
      <c r="J147" s="103"/>
      <c r="K147" s="597"/>
      <c r="L147" s="28"/>
    </row>
    <row r="148" spans="1:14" ht="18" customHeight="1" thickBot="1" x14ac:dyDescent="0.4">
      <c r="A148" s="1224" t="s">
        <v>460</v>
      </c>
      <c r="B148" s="1225"/>
      <c r="C148" s="660">
        <f>C30+C58+C71+C78+C92+C126+C138+C146</f>
        <v>371.99000000000007</v>
      </c>
      <c r="D148" s="661">
        <f>D146+D137+D125+D91+D77+D70+D57+D29</f>
        <v>368.55</v>
      </c>
      <c r="E148" s="660">
        <f>+E146+E138+E126+E92+E78+E71+E58+E30</f>
        <v>145.251</v>
      </c>
      <c r="F148" s="660">
        <f>+F146+F138+F126+F92+F78+F71+F58+F30</f>
        <v>0</v>
      </c>
      <c r="G148" s="660">
        <f>+G146+G138+G126+G92+G78+G71+G58+G30</f>
        <v>5.8</v>
      </c>
      <c r="H148" s="660">
        <f>+H146+H138+H126+H92+H78+H71+H58+H30</f>
        <v>220.93899999999999</v>
      </c>
      <c r="I148" s="660">
        <f>+I146+I138+I126+I92+I78+I71+I58+I30</f>
        <v>0</v>
      </c>
      <c r="J148" s="662"/>
      <c r="K148" s="663"/>
      <c r="L148" s="664"/>
      <c r="M148" s="21"/>
    </row>
    <row r="149" spans="1:14" ht="18" customHeight="1" thickBot="1" x14ac:dyDescent="0.4">
      <c r="A149" s="544"/>
      <c r="B149" s="35"/>
      <c r="C149" s="22"/>
      <c r="D149" s="610"/>
      <c r="E149" s="22"/>
      <c r="F149" s="22"/>
      <c r="G149" s="22"/>
      <c r="H149" s="22"/>
      <c r="I149" s="22"/>
      <c r="J149" s="1"/>
      <c r="K149" s="21"/>
      <c r="L149" s="97"/>
      <c r="M149" s="21"/>
    </row>
    <row r="150" spans="1:14" s="1" customFormat="1" x14ac:dyDescent="0.35">
      <c r="A150" s="1217" t="s">
        <v>461</v>
      </c>
      <c r="B150" s="1218"/>
      <c r="C150" s="1218"/>
      <c r="D150" s="1218"/>
      <c r="E150" s="1218"/>
      <c r="F150" s="1218"/>
      <c r="G150" s="1218"/>
      <c r="H150" s="1218"/>
      <c r="I150" s="1218"/>
      <c r="J150" s="1218"/>
      <c r="K150" s="1218"/>
      <c r="L150" s="1219"/>
      <c r="M150" s="584"/>
      <c r="N150" s="581"/>
    </row>
    <row r="151" spans="1:14" s="1" customFormat="1" ht="16" thickBot="1" x14ac:dyDescent="0.4">
      <c r="A151" s="585"/>
      <c r="B151" s="2"/>
      <c r="C151" s="5"/>
      <c r="D151" s="586"/>
      <c r="E151" s="5"/>
      <c r="F151" s="5"/>
      <c r="G151" s="5"/>
      <c r="H151" s="5"/>
      <c r="I151" s="5"/>
      <c r="J151" s="3"/>
      <c r="K151" s="21"/>
      <c r="L151" s="97"/>
      <c r="M151" s="21"/>
      <c r="N151" s="581"/>
    </row>
    <row r="152" spans="1:14" s="1" customFormat="1" ht="21" customHeight="1" x14ac:dyDescent="0.35">
      <c r="A152" s="1206" t="s">
        <v>302</v>
      </c>
      <c r="B152" s="1208" t="s">
        <v>28</v>
      </c>
      <c r="C152" s="1210" t="s">
        <v>343</v>
      </c>
      <c r="D152" s="613"/>
      <c r="E152" s="1212" t="s">
        <v>305</v>
      </c>
      <c r="F152" s="1212"/>
      <c r="G152" s="1212"/>
      <c r="H152" s="1212"/>
      <c r="I152" s="1212"/>
      <c r="J152" s="1208" t="s">
        <v>29</v>
      </c>
      <c r="K152" s="1213" t="s">
        <v>306</v>
      </c>
      <c r="L152" s="1226" t="s">
        <v>307</v>
      </c>
      <c r="M152" s="588"/>
      <c r="N152" s="581"/>
    </row>
    <row r="153" spans="1:14" s="1" customFormat="1" ht="21" customHeight="1" thickBot="1" x14ac:dyDescent="0.4">
      <c r="A153" s="1207"/>
      <c r="B153" s="1209"/>
      <c r="C153" s="1211"/>
      <c r="D153" s="614"/>
      <c r="E153" s="7" t="s">
        <v>308</v>
      </c>
      <c r="F153" s="7" t="s">
        <v>309</v>
      </c>
      <c r="G153" s="7" t="s">
        <v>310</v>
      </c>
      <c r="H153" s="7" t="s">
        <v>311</v>
      </c>
      <c r="I153" s="7" t="s">
        <v>312</v>
      </c>
      <c r="J153" s="1209"/>
      <c r="K153" s="1214"/>
      <c r="L153" s="1227"/>
      <c r="M153" s="588"/>
      <c r="N153" s="581"/>
    </row>
    <row r="154" spans="1:14" s="16" customFormat="1" ht="18" customHeight="1" x14ac:dyDescent="0.35">
      <c r="A154" s="589">
        <v>89</v>
      </c>
      <c r="B154" s="24" t="s">
        <v>462</v>
      </c>
      <c r="C154" s="15">
        <f>SUM(E154:I154)</f>
        <v>0.63</v>
      </c>
      <c r="D154" s="590">
        <f>'[23]road inventory 2018'!C179</f>
        <v>0.63</v>
      </c>
      <c r="E154" s="15">
        <v>0.3</v>
      </c>
      <c r="F154" s="15">
        <v>0</v>
      </c>
      <c r="G154" s="15">
        <v>0</v>
      </c>
      <c r="H154" s="15">
        <v>0.33</v>
      </c>
      <c r="I154" s="15">
        <v>0</v>
      </c>
      <c r="J154" s="24" t="s">
        <v>10</v>
      </c>
      <c r="K154" s="591" t="s">
        <v>360</v>
      </c>
      <c r="L154" s="592"/>
      <c r="M154" s="593"/>
      <c r="N154" s="598"/>
    </row>
    <row r="155" spans="1:14" s="16" customFormat="1" x14ac:dyDescent="0.35">
      <c r="A155" s="589">
        <v>109</v>
      </c>
      <c r="B155" s="24" t="s">
        <v>285</v>
      </c>
      <c r="C155" s="15">
        <f t="shared" ref="C155:C166" si="13">SUM(E155:I155)</f>
        <v>2.5</v>
      </c>
      <c r="D155" s="590">
        <f>'[23]road inventory 2018'!C180</f>
        <v>2.5</v>
      </c>
      <c r="E155" s="15">
        <v>0.25700000000000001</v>
      </c>
      <c r="F155" s="15">
        <v>0</v>
      </c>
      <c r="G155" s="15">
        <v>0</v>
      </c>
      <c r="H155" s="15">
        <v>2.2429999999999999</v>
      </c>
      <c r="I155" s="15">
        <v>0</v>
      </c>
      <c r="J155" s="24" t="s">
        <v>10</v>
      </c>
      <c r="K155" s="591" t="s">
        <v>463</v>
      </c>
      <c r="L155" s="24"/>
      <c r="M155" s="593"/>
      <c r="N155" s="598"/>
    </row>
    <row r="156" spans="1:14" s="16" customFormat="1" ht="31" x14ac:dyDescent="0.35">
      <c r="A156" s="589">
        <v>112</v>
      </c>
      <c r="B156" s="24" t="s">
        <v>73</v>
      </c>
      <c r="C156" s="15">
        <f t="shared" si="13"/>
        <v>8.5100000000000016</v>
      </c>
      <c r="D156" s="590">
        <f>'[23]road inventory 2018'!C183</f>
        <v>8.4</v>
      </c>
      <c r="E156" s="15">
        <v>0.21</v>
      </c>
      <c r="F156" s="15">
        <v>0</v>
      </c>
      <c r="G156" s="15">
        <v>0</v>
      </c>
      <c r="H156" s="15">
        <v>8.3000000000000007</v>
      </c>
      <c r="I156" s="15">
        <v>0</v>
      </c>
      <c r="J156" s="24" t="s">
        <v>12</v>
      </c>
      <c r="K156" s="591" t="s">
        <v>466</v>
      </c>
      <c r="L156" s="24"/>
      <c r="M156" s="593"/>
      <c r="N156" s="598"/>
    </row>
    <row r="157" spans="1:14" ht="31" x14ac:dyDescent="0.35">
      <c r="A157" s="596">
        <v>114</v>
      </c>
      <c r="B157" s="28" t="s">
        <v>468</v>
      </c>
      <c r="C157" s="15">
        <f t="shared" si="13"/>
        <v>9.5500000000000007</v>
      </c>
      <c r="D157" s="590">
        <f>'[23]road inventory 2018'!C185</f>
        <v>9.5</v>
      </c>
      <c r="E157" s="10">
        <v>0</v>
      </c>
      <c r="F157" s="10">
        <v>0</v>
      </c>
      <c r="G157" s="10">
        <v>0</v>
      </c>
      <c r="H157" s="10">
        <v>9.5500000000000007</v>
      </c>
      <c r="I157" s="10">
        <v>0</v>
      </c>
      <c r="J157" s="103" t="s">
        <v>12</v>
      </c>
      <c r="K157" s="597" t="s">
        <v>469</v>
      </c>
      <c r="L157" s="28"/>
    </row>
    <row r="158" spans="1:14" s="16" customFormat="1" ht="18" customHeight="1" x14ac:dyDescent="0.35">
      <c r="A158" s="589">
        <v>115</v>
      </c>
      <c r="B158" s="24" t="s">
        <v>77</v>
      </c>
      <c r="C158" s="15">
        <f t="shared" si="13"/>
        <v>10.71</v>
      </c>
      <c r="D158" s="590">
        <f>'[23]road inventory 2018'!C186</f>
        <v>10.700000000000001</v>
      </c>
      <c r="E158" s="15">
        <v>10.71</v>
      </c>
      <c r="F158" s="15">
        <v>0</v>
      </c>
      <c r="G158" s="15">
        <v>0</v>
      </c>
      <c r="H158" s="15">
        <v>0</v>
      </c>
      <c r="I158" s="15">
        <v>0</v>
      </c>
      <c r="J158" s="24" t="s">
        <v>10</v>
      </c>
      <c r="K158" s="591" t="s">
        <v>470</v>
      </c>
      <c r="L158" s="24"/>
      <c r="M158" s="593"/>
      <c r="N158" s="598"/>
    </row>
    <row r="159" spans="1:14" ht="18" customHeight="1" x14ac:dyDescent="0.35">
      <c r="A159" s="596">
        <v>117</v>
      </c>
      <c r="B159" s="28" t="s">
        <v>79</v>
      </c>
      <c r="C159" s="15">
        <f t="shared" si="13"/>
        <v>9.51</v>
      </c>
      <c r="D159" s="590">
        <f>'[23]road inventory 2018'!C187</f>
        <v>8.6</v>
      </c>
      <c r="E159" s="10">
        <v>1.7</v>
      </c>
      <c r="F159" s="10">
        <v>0</v>
      </c>
      <c r="G159" s="10">
        <v>0</v>
      </c>
      <c r="H159" s="10">
        <v>7.81</v>
      </c>
      <c r="I159" s="10">
        <v>0</v>
      </c>
      <c r="J159" s="103" t="s">
        <v>12</v>
      </c>
      <c r="K159" s="597" t="s">
        <v>471</v>
      </c>
      <c r="L159" s="28"/>
    </row>
    <row r="160" spans="1:14" s="16" customFormat="1" ht="31" x14ac:dyDescent="0.35">
      <c r="A160" s="589">
        <v>132</v>
      </c>
      <c r="B160" s="24" t="s">
        <v>85</v>
      </c>
      <c r="C160" s="15">
        <f t="shared" si="13"/>
        <v>13.31</v>
      </c>
      <c r="D160" s="590">
        <f>'[23]road inventory 2018'!C189</f>
        <v>13.5</v>
      </c>
      <c r="E160" s="15">
        <v>6.58</v>
      </c>
      <c r="F160" s="15">
        <v>0</v>
      </c>
      <c r="G160" s="15">
        <v>0</v>
      </c>
      <c r="H160" s="15">
        <v>6.73</v>
      </c>
      <c r="I160" s="15">
        <v>0</v>
      </c>
      <c r="J160" s="106" t="s">
        <v>10</v>
      </c>
      <c r="K160" s="591" t="s">
        <v>473</v>
      </c>
      <c r="L160" s="24"/>
      <c r="M160" s="593"/>
      <c r="N160" s="598"/>
    </row>
    <row r="161" spans="1:14" s="16" customFormat="1" ht="18" customHeight="1" thickBot="1" x14ac:dyDescent="0.4">
      <c r="A161" s="649">
        <v>139</v>
      </c>
      <c r="B161" s="64" t="s">
        <v>474</v>
      </c>
      <c r="C161" s="15">
        <f t="shared" si="13"/>
        <v>9.1</v>
      </c>
      <c r="D161" s="590">
        <f>'[23]road inventory 2018'!C190</f>
        <v>8.9</v>
      </c>
      <c r="E161" s="65">
        <v>0</v>
      </c>
      <c r="F161" s="65">
        <v>0</v>
      </c>
      <c r="G161" s="65">
        <v>0</v>
      </c>
      <c r="H161" s="65">
        <v>9.1</v>
      </c>
      <c r="I161" s="65">
        <v>0</v>
      </c>
      <c r="J161" s="651" t="s">
        <v>12</v>
      </c>
      <c r="K161" s="652" t="s">
        <v>475</v>
      </c>
      <c r="L161" s="60"/>
      <c r="M161" s="593"/>
      <c r="N161" s="598"/>
    </row>
    <row r="162" spans="1:14" s="667" customFormat="1" ht="18" customHeight="1" x14ac:dyDescent="0.35">
      <c r="A162" s="618">
        <v>122</v>
      </c>
      <c r="B162" s="619" t="s">
        <v>476</v>
      </c>
      <c r="C162" s="620">
        <f t="shared" si="13"/>
        <v>3.4400000000000004</v>
      </c>
      <c r="D162" s="634">
        <f>'[23]road inventory 2018'!C193</f>
        <v>3.25</v>
      </c>
      <c r="E162" s="620">
        <v>2.0920000000000001</v>
      </c>
      <c r="F162" s="620">
        <v>0</v>
      </c>
      <c r="G162" s="620">
        <v>0</v>
      </c>
      <c r="H162" s="620">
        <v>1.3480000000000001</v>
      </c>
      <c r="I162" s="620">
        <v>0</v>
      </c>
      <c r="J162" s="621" t="s">
        <v>12</v>
      </c>
      <c r="K162" s="622" t="s">
        <v>477</v>
      </c>
      <c r="L162" s="665"/>
      <c r="M162" s="623"/>
      <c r="N162" s="666"/>
    </row>
    <row r="163" spans="1:14" s="16" customFormat="1" ht="18" customHeight="1" x14ac:dyDescent="0.35">
      <c r="A163" s="589">
        <v>216</v>
      </c>
      <c r="B163" s="24" t="s">
        <v>87</v>
      </c>
      <c r="C163" s="15">
        <f t="shared" si="13"/>
        <v>6.32</v>
      </c>
      <c r="D163" s="590">
        <f>'[23]road inventory 2018'!C194</f>
        <v>6.1</v>
      </c>
      <c r="E163" s="15">
        <v>0</v>
      </c>
      <c r="F163" s="15">
        <v>0</v>
      </c>
      <c r="G163" s="15">
        <v>0</v>
      </c>
      <c r="H163" s="15">
        <v>6.32</v>
      </c>
      <c r="I163" s="15">
        <v>0</v>
      </c>
      <c r="J163" s="106" t="s">
        <v>12</v>
      </c>
      <c r="K163" s="591" t="s">
        <v>478</v>
      </c>
      <c r="L163" s="24"/>
      <c r="M163" s="593"/>
      <c r="N163" s="598"/>
    </row>
    <row r="164" spans="1:14" s="16" customFormat="1" ht="18" customHeight="1" x14ac:dyDescent="0.35">
      <c r="A164" s="589">
        <v>133</v>
      </c>
      <c r="B164" s="24" t="s">
        <v>90</v>
      </c>
      <c r="C164" s="15">
        <f t="shared" si="13"/>
        <v>4.47</v>
      </c>
      <c r="D164" s="590">
        <f>'[23]road inventory 2018'!C195</f>
        <v>4.4000000000000004</v>
      </c>
      <c r="E164" s="15">
        <v>0</v>
      </c>
      <c r="F164" s="15">
        <v>0</v>
      </c>
      <c r="G164" s="15">
        <v>0</v>
      </c>
      <c r="H164" s="15">
        <v>4.47</v>
      </c>
      <c r="I164" s="15">
        <v>0</v>
      </c>
      <c r="J164" s="106" t="s">
        <v>12</v>
      </c>
      <c r="K164" s="591" t="s">
        <v>478</v>
      </c>
      <c r="L164" s="24"/>
      <c r="M164" s="593"/>
      <c r="N164" s="598"/>
    </row>
    <row r="165" spans="1:14" s="667" customFormat="1" ht="18" customHeight="1" x14ac:dyDescent="0.35">
      <c r="A165" s="618">
        <v>123</v>
      </c>
      <c r="B165" s="619" t="s">
        <v>91</v>
      </c>
      <c r="C165" s="620">
        <f t="shared" si="13"/>
        <v>21.82</v>
      </c>
      <c r="D165" s="634">
        <f>'[23]road inventory 2018'!C196</f>
        <v>17</v>
      </c>
      <c r="E165" s="620">
        <v>14</v>
      </c>
      <c r="F165" s="620">
        <v>0</v>
      </c>
      <c r="G165" s="620">
        <v>0</v>
      </c>
      <c r="H165" s="620">
        <v>7.82</v>
      </c>
      <c r="I165" s="620">
        <v>0</v>
      </c>
      <c r="J165" s="621" t="s">
        <v>12</v>
      </c>
      <c r="K165" s="622" t="s">
        <v>475</v>
      </c>
      <c r="L165" s="619"/>
      <c r="M165" s="623"/>
      <c r="N165" s="666"/>
    </row>
    <row r="166" spans="1:14" ht="18" customHeight="1" x14ac:dyDescent="0.35">
      <c r="A166" s="596">
        <v>134</v>
      </c>
      <c r="B166" s="45" t="s">
        <v>284</v>
      </c>
      <c r="C166" s="15">
        <f t="shared" si="13"/>
        <v>8.23</v>
      </c>
      <c r="D166" s="590">
        <f>'[23]road inventory 2018'!C197</f>
        <v>8.3000000000000007</v>
      </c>
      <c r="E166" s="10">
        <v>0</v>
      </c>
      <c r="F166" s="10">
        <v>0</v>
      </c>
      <c r="G166" s="10">
        <v>0</v>
      </c>
      <c r="H166" s="10">
        <v>8.23</v>
      </c>
      <c r="I166" s="10">
        <v>0</v>
      </c>
      <c r="J166" s="103" t="s">
        <v>317</v>
      </c>
      <c r="K166" s="597"/>
      <c r="L166" s="28"/>
    </row>
    <row r="167" spans="1:14" ht="18" customHeight="1" x14ac:dyDescent="0.35">
      <c r="A167" s="635"/>
      <c r="B167" s="654"/>
      <c r="C167" s="41">
        <f t="shared" ref="C167:I167" si="14">SUM(C154:C166)</f>
        <v>108.10000000000001</v>
      </c>
      <c r="D167" s="41">
        <f t="shared" si="14"/>
        <v>101.78</v>
      </c>
      <c r="E167" s="41">
        <f t="shared" si="14"/>
        <v>35.848999999999997</v>
      </c>
      <c r="F167" s="41">
        <f t="shared" si="14"/>
        <v>0</v>
      </c>
      <c r="G167" s="41">
        <f t="shared" si="14"/>
        <v>0</v>
      </c>
      <c r="H167" s="41">
        <f t="shared" si="14"/>
        <v>72.251000000000005</v>
      </c>
      <c r="I167" s="41">
        <f t="shared" si="14"/>
        <v>0</v>
      </c>
      <c r="J167" s="109"/>
      <c r="K167" s="605"/>
      <c r="L167" s="28"/>
    </row>
    <row r="168" spans="1:14" ht="18" customHeight="1" thickBot="1" x14ac:dyDescent="0.4">
      <c r="A168" s="53" t="s">
        <v>341</v>
      </c>
      <c r="B168" s="34"/>
      <c r="C168" s="31">
        <f>E168+H168</f>
        <v>108.1</v>
      </c>
      <c r="D168" s="630"/>
      <c r="E168" s="31">
        <f>SUM(E154:E166)</f>
        <v>35.848999999999997</v>
      </c>
      <c r="F168" s="31">
        <f>SUM(F154:F166)</f>
        <v>0</v>
      </c>
      <c r="G168" s="31">
        <f>SUM(G154:G166)</f>
        <v>0</v>
      </c>
      <c r="H168" s="31">
        <f>SUM(H154:H166)</f>
        <v>72.251000000000005</v>
      </c>
      <c r="I168" s="31">
        <f>SUM(I154:I166)</f>
        <v>0</v>
      </c>
      <c r="J168" s="608"/>
      <c r="K168" s="609"/>
      <c r="L168" s="653"/>
      <c r="M168" s="21"/>
    </row>
    <row r="169" spans="1:14" ht="18" customHeight="1" thickBot="1" x14ac:dyDescent="0.4">
      <c r="L169" s="28"/>
    </row>
    <row r="170" spans="1:14" s="1" customFormat="1" x14ac:dyDescent="0.35">
      <c r="A170" s="1217" t="s">
        <v>479</v>
      </c>
      <c r="B170" s="1218"/>
      <c r="C170" s="1218"/>
      <c r="D170" s="1218"/>
      <c r="E170" s="1218"/>
      <c r="F170" s="1218"/>
      <c r="G170" s="1218"/>
      <c r="H170" s="1218"/>
      <c r="I170" s="1218"/>
      <c r="J170" s="1218"/>
      <c r="K170" s="1218"/>
      <c r="L170" s="668"/>
      <c r="M170" s="584"/>
      <c r="N170" s="581"/>
    </row>
    <row r="171" spans="1:14" s="1" customFormat="1" ht="16" thickBot="1" x14ac:dyDescent="0.4">
      <c r="A171" s="585"/>
      <c r="B171" s="2"/>
      <c r="C171" s="5"/>
      <c r="D171" s="586"/>
      <c r="E171" s="5"/>
      <c r="F171" s="5"/>
      <c r="G171" s="5"/>
      <c r="H171" s="5"/>
      <c r="I171" s="5"/>
      <c r="J171" s="3"/>
      <c r="K171" s="21"/>
      <c r="L171" s="653"/>
      <c r="M171" s="21"/>
      <c r="N171" s="581"/>
    </row>
    <row r="172" spans="1:14" s="1" customFormat="1" ht="21" customHeight="1" x14ac:dyDescent="0.35">
      <c r="A172" s="1206" t="s">
        <v>302</v>
      </c>
      <c r="B172" s="1208" t="s">
        <v>28</v>
      </c>
      <c r="C172" s="1210" t="s">
        <v>343</v>
      </c>
      <c r="D172" s="613"/>
      <c r="E172" s="1212" t="s">
        <v>305</v>
      </c>
      <c r="F172" s="1212"/>
      <c r="G172" s="1212"/>
      <c r="H172" s="1212"/>
      <c r="I172" s="1212"/>
      <c r="J172" s="1208" t="s">
        <v>29</v>
      </c>
      <c r="K172" s="1213" t="s">
        <v>306</v>
      </c>
      <c r="L172" s="1215" t="s">
        <v>307</v>
      </c>
      <c r="M172" s="588"/>
      <c r="N172" s="581"/>
    </row>
    <row r="173" spans="1:14" s="1" customFormat="1" ht="21" customHeight="1" thickBot="1" x14ac:dyDescent="0.4">
      <c r="A173" s="1207"/>
      <c r="B173" s="1209"/>
      <c r="C173" s="1211"/>
      <c r="D173" s="614"/>
      <c r="E173" s="7" t="s">
        <v>308</v>
      </c>
      <c r="F173" s="7" t="s">
        <v>309</v>
      </c>
      <c r="G173" s="7" t="s">
        <v>310</v>
      </c>
      <c r="H173" s="7" t="s">
        <v>311</v>
      </c>
      <c r="I173" s="7" t="s">
        <v>312</v>
      </c>
      <c r="J173" s="1209"/>
      <c r="K173" s="1214"/>
      <c r="L173" s="1216"/>
      <c r="M173" s="588"/>
      <c r="N173" s="581"/>
    </row>
    <row r="174" spans="1:14" s="16" customFormat="1" ht="18" customHeight="1" x14ac:dyDescent="0.35">
      <c r="A174" s="589">
        <v>136</v>
      </c>
      <c r="B174" s="24" t="s">
        <v>93</v>
      </c>
      <c r="C174" s="15">
        <f t="shared" ref="C174:C179" si="15">SUM(E174:I174)</f>
        <v>11.309999999999999</v>
      </c>
      <c r="D174" s="590">
        <f>'[23]road inventory 2018'!C204</f>
        <v>11.3</v>
      </c>
      <c r="E174" s="15">
        <v>8.6999999999999993</v>
      </c>
      <c r="F174" s="15">
        <v>0</v>
      </c>
      <c r="G174" s="15">
        <v>0</v>
      </c>
      <c r="H174" s="15">
        <v>2.61</v>
      </c>
      <c r="I174" s="15">
        <v>0</v>
      </c>
      <c r="J174" s="24" t="s">
        <v>10</v>
      </c>
      <c r="K174" s="591" t="s">
        <v>480</v>
      </c>
      <c r="L174" s="24"/>
      <c r="M174" s="593"/>
      <c r="N174" s="598"/>
    </row>
    <row r="175" spans="1:14" s="16" customFormat="1" ht="18" customHeight="1" x14ac:dyDescent="0.35">
      <c r="A175" s="589">
        <v>137</v>
      </c>
      <c r="B175" s="24" t="s">
        <v>95</v>
      </c>
      <c r="C175" s="15">
        <f t="shared" si="15"/>
        <v>12.59</v>
      </c>
      <c r="D175" s="590">
        <f>'[23]road inventory 2018'!C205</f>
        <v>12.5</v>
      </c>
      <c r="E175" s="15">
        <v>8.74</v>
      </c>
      <c r="F175" s="15">
        <v>0</v>
      </c>
      <c r="G175" s="15">
        <v>0</v>
      </c>
      <c r="H175" s="15">
        <v>3.85</v>
      </c>
      <c r="I175" s="15">
        <v>0</v>
      </c>
      <c r="J175" s="24" t="s">
        <v>10</v>
      </c>
      <c r="K175" s="591" t="s">
        <v>481</v>
      </c>
      <c r="L175" s="24"/>
      <c r="M175" s="593"/>
      <c r="N175" s="598"/>
    </row>
    <row r="176" spans="1:14" s="16" customFormat="1" x14ac:dyDescent="0.35">
      <c r="A176" s="589">
        <v>120</v>
      </c>
      <c r="B176" s="24" t="s">
        <v>99</v>
      </c>
      <c r="C176" s="15">
        <f t="shared" si="15"/>
        <v>10.85</v>
      </c>
      <c r="D176" s="590">
        <f>'[23]road inventory 2018'!C207</f>
        <v>10.75</v>
      </c>
      <c r="E176" s="15">
        <v>10.24</v>
      </c>
      <c r="F176" s="15">
        <v>0</v>
      </c>
      <c r="G176" s="15">
        <v>0</v>
      </c>
      <c r="H176" s="15">
        <v>0.61</v>
      </c>
      <c r="I176" s="15">
        <v>0</v>
      </c>
      <c r="J176" s="24" t="s">
        <v>10</v>
      </c>
      <c r="K176" s="591" t="s">
        <v>483</v>
      </c>
      <c r="L176" s="24"/>
      <c r="M176" s="593"/>
      <c r="N176" s="598"/>
    </row>
    <row r="177" spans="1:15" s="16" customFormat="1" ht="31" x14ac:dyDescent="0.35">
      <c r="A177" s="589">
        <v>140</v>
      </c>
      <c r="B177" s="24" t="s">
        <v>101</v>
      </c>
      <c r="C177" s="15">
        <f t="shared" si="15"/>
        <v>18.149999999999999</v>
      </c>
      <c r="D177" s="590">
        <f>'[23]road inventory 2018'!C208</f>
        <v>19.52</v>
      </c>
      <c r="E177" s="15">
        <v>2.41</v>
      </c>
      <c r="F177" s="15">
        <v>0</v>
      </c>
      <c r="G177" s="15">
        <v>0</v>
      </c>
      <c r="H177" s="15">
        <v>15.74</v>
      </c>
      <c r="I177" s="15">
        <v>0</v>
      </c>
      <c r="J177" s="24" t="s">
        <v>12</v>
      </c>
      <c r="K177" s="591"/>
      <c r="L177" s="24"/>
      <c r="M177" s="593"/>
      <c r="N177" s="598"/>
    </row>
    <row r="178" spans="1:15" ht="31" x14ac:dyDescent="0.35">
      <c r="A178" s="596">
        <v>124</v>
      </c>
      <c r="B178" s="28" t="s">
        <v>485</v>
      </c>
      <c r="C178" s="15">
        <f t="shared" si="15"/>
        <v>12.5</v>
      </c>
      <c r="D178" s="590">
        <f>'[23]road inventory 2018'!C210</f>
        <v>17</v>
      </c>
      <c r="E178" s="10">
        <v>3.52</v>
      </c>
      <c r="F178" s="10">
        <v>0</v>
      </c>
      <c r="G178" s="10">
        <v>0</v>
      </c>
      <c r="H178" s="10">
        <v>8.98</v>
      </c>
      <c r="I178" s="10">
        <v>0</v>
      </c>
      <c r="J178" s="103" t="s">
        <v>12</v>
      </c>
      <c r="K178" s="597"/>
      <c r="L178" s="28"/>
    </row>
    <row r="179" spans="1:15" s="16" customFormat="1" ht="18" customHeight="1" x14ac:dyDescent="0.35">
      <c r="A179" s="589">
        <v>141</v>
      </c>
      <c r="B179" s="24" t="s">
        <v>486</v>
      </c>
      <c r="C179" s="15">
        <f t="shared" si="15"/>
        <v>6</v>
      </c>
      <c r="D179" s="590">
        <f>'[23]road inventory 2018'!C211</f>
        <v>6</v>
      </c>
      <c r="E179" s="15">
        <v>0</v>
      </c>
      <c r="F179" s="15">
        <v>0</v>
      </c>
      <c r="G179" s="15">
        <v>0</v>
      </c>
      <c r="H179" s="15">
        <v>6</v>
      </c>
      <c r="I179" s="15">
        <v>0</v>
      </c>
      <c r="J179" s="106" t="s">
        <v>12</v>
      </c>
      <c r="K179" s="591" t="s">
        <v>487</v>
      </c>
      <c r="L179" s="24"/>
      <c r="M179" s="593"/>
      <c r="N179" s="598"/>
    </row>
    <row r="180" spans="1:15" s="16" customFormat="1" ht="18" customHeight="1" x14ac:dyDescent="0.35">
      <c r="A180" s="626"/>
      <c r="B180" s="60"/>
      <c r="C180" s="61">
        <f t="shared" ref="C180:I180" si="16">SUM(C174:C179)</f>
        <v>71.400000000000006</v>
      </c>
      <c r="D180" s="61">
        <f t="shared" si="16"/>
        <v>77.069999999999993</v>
      </c>
      <c r="E180" s="61">
        <f t="shared" si="16"/>
        <v>33.61</v>
      </c>
      <c r="F180" s="61">
        <f t="shared" si="16"/>
        <v>0</v>
      </c>
      <c r="G180" s="61">
        <f t="shared" si="16"/>
        <v>0</v>
      </c>
      <c r="H180" s="61">
        <f t="shared" si="16"/>
        <v>37.790000000000006</v>
      </c>
      <c r="I180" s="61">
        <f t="shared" si="16"/>
        <v>0</v>
      </c>
      <c r="J180" s="628"/>
      <c r="K180" s="629"/>
      <c r="L180" s="24"/>
      <c r="M180" s="593"/>
      <c r="N180" s="598"/>
    </row>
    <row r="181" spans="1:15" ht="18" customHeight="1" thickBot="1" x14ac:dyDescent="0.4">
      <c r="A181" s="53" t="s">
        <v>341</v>
      </c>
      <c r="B181" s="34"/>
      <c r="C181" s="31">
        <f>SUM(C174:C179)</f>
        <v>71.400000000000006</v>
      </c>
      <c r="D181" s="630"/>
      <c r="E181" s="31">
        <f>SUM(E174:E179)</f>
        <v>33.61</v>
      </c>
      <c r="F181" s="31">
        <f>SUM(F174:F179)</f>
        <v>0</v>
      </c>
      <c r="G181" s="31">
        <f>SUM(G174:G179)</f>
        <v>0</v>
      </c>
      <c r="H181" s="31">
        <f>SUM(H174:H179)</f>
        <v>37.790000000000006</v>
      </c>
      <c r="I181" s="31">
        <f>SUM(I174:I179)</f>
        <v>0</v>
      </c>
      <c r="J181" s="608"/>
      <c r="K181" s="609"/>
      <c r="L181" s="653"/>
      <c r="M181" s="21"/>
    </row>
    <row r="182" spans="1:15" ht="18" customHeight="1" thickBot="1" x14ac:dyDescent="0.4">
      <c r="L182" s="28"/>
    </row>
    <row r="183" spans="1:15" s="1" customFormat="1" x14ac:dyDescent="0.35">
      <c r="A183" s="1217" t="s">
        <v>488</v>
      </c>
      <c r="B183" s="1218"/>
      <c r="C183" s="1218"/>
      <c r="D183" s="1218"/>
      <c r="E183" s="1218"/>
      <c r="F183" s="1218"/>
      <c r="G183" s="1218"/>
      <c r="H183" s="1218"/>
      <c r="I183" s="1218"/>
      <c r="J183" s="1218"/>
      <c r="K183" s="1218"/>
      <c r="L183" s="668"/>
      <c r="M183" s="584"/>
      <c r="N183" s="581"/>
    </row>
    <row r="184" spans="1:15" s="1" customFormat="1" ht="16" thickBot="1" x14ac:dyDescent="0.4">
      <c r="A184" s="585"/>
      <c r="B184" s="2"/>
      <c r="C184" s="5"/>
      <c r="D184" s="586"/>
      <c r="E184" s="5"/>
      <c r="F184" s="5"/>
      <c r="G184" s="5"/>
      <c r="H184" s="5"/>
      <c r="I184" s="5"/>
      <c r="J184" s="3"/>
      <c r="K184" s="21"/>
      <c r="L184" s="653"/>
      <c r="M184" s="21"/>
      <c r="N184" s="581"/>
    </row>
    <row r="185" spans="1:15" s="1" customFormat="1" ht="21" customHeight="1" x14ac:dyDescent="0.35">
      <c r="A185" s="1206" t="s">
        <v>302</v>
      </c>
      <c r="B185" s="1208" t="s">
        <v>28</v>
      </c>
      <c r="C185" s="1210" t="s">
        <v>343</v>
      </c>
      <c r="D185" s="613"/>
      <c r="E185" s="1212" t="s">
        <v>305</v>
      </c>
      <c r="F185" s="1212"/>
      <c r="G185" s="1212"/>
      <c r="H185" s="1212"/>
      <c r="I185" s="1212"/>
      <c r="J185" s="1208" t="s">
        <v>29</v>
      </c>
      <c r="K185" s="1213" t="s">
        <v>306</v>
      </c>
      <c r="L185" s="1215" t="str">
        <f>L172</f>
        <v>REMARKS</v>
      </c>
      <c r="M185" s="588"/>
      <c r="N185" s="581"/>
    </row>
    <row r="186" spans="1:15" s="1" customFormat="1" ht="21" customHeight="1" thickBot="1" x14ac:dyDescent="0.4">
      <c r="A186" s="1207"/>
      <c r="B186" s="1209"/>
      <c r="C186" s="1211"/>
      <c r="D186" s="614"/>
      <c r="E186" s="7" t="s">
        <v>308</v>
      </c>
      <c r="F186" s="7" t="s">
        <v>309</v>
      </c>
      <c r="G186" s="7" t="s">
        <v>310</v>
      </c>
      <c r="H186" s="7" t="s">
        <v>311</v>
      </c>
      <c r="I186" s="7" t="s">
        <v>312</v>
      </c>
      <c r="J186" s="1209"/>
      <c r="K186" s="1214"/>
      <c r="L186" s="1216"/>
      <c r="M186" s="588"/>
      <c r="N186" s="581"/>
    </row>
    <row r="187" spans="1:15" s="16" customFormat="1" ht="31" x14ac:dyDescent="0.35">
      <c r="A187" s="589">
        <v>142</v>
      </c>
      <c r="B187" s="24" t="s">
        <v>286</v>
      </c>
      <c r="C187" s="15">
        <f>SUM(E187:I187)</f>
        <v>21.69</v>
      </c>
      <c r="D187" s="590">
        <f>'[23]road inventory 2018'!C218</f>
        <v>19.299999999999997</v>
      </c>
      <c r="E187" s="15">
        <v>0.8</v>
      </c>
      <c r="F187" s="15">
        <v>0</v>
      </c>
      <c r="G187" s="15">
        <v>0</v>
      </c>
      <c r="H187" s="15">
        <v>20.89</v>
      </c>
      <c r="I187" s="15">
        <v>0</v>
      </c>
      <c r="J187" s="106" t="s">
        <v>12</v>
      </c>
      <c r="K187" s="591" t="s">
        <v>489</v>
      </c>
      <c r="L187" s="24"/>
      <c r="M187" s="593"/>
      <c r="N187" s="598"/>
    </row>
    <row r="188" spans="1:15" ht="31" x14ac:dyDescent="0.35">
      <c r="A188" s="596">
        <v>143</v>
      </c>
      <c r="B188" s="28" t="s">
        <v>287</v>
      </c>
      <c r="C188" s="15">
        <f t="shared" ref="C188:C193" si="17">SUM(E188:I188)</f>
        <v>8.91</v>
      </c>
      <c r="D188" s="590">
        <f>'[23]road inventory 2018'!C219</f>
        <v>8.7999999999999989</v>
      </c>
      <c r="E188" s="10">
        <v>0.2</v>
      </c>
      <c r="F188" s="10">
        <v>0</v>
      </c>
      <c r="G188" s="10">
        <v>0</v>
      </c>
      <c r="H188" s="10">
        <v>8.7100000000000009</v>
      </c>
      <c r="I188" s="10">
        <v>0</v>
      </c>
      <c r="J188" s="103" t="s">
        <v>12</v>
      </c>
      <c r="K188" s="597" t="s">
        <v>490</v>
      </c>
      <c r="L188" s="28"/>
      <c r="O188" s="3">
        <f>3750*4</f>
        <v>15000</v>
      </c>
    </row>
    <row r="189" spans="1:15" s="16" customFormat="1" ht="31" x14ac:dyDescent="0.35">
      <c r="A189" s="589">
        <v>144</v>
      </c>
      <c r="B189" s="24" t="s">
        <v>288</v>
      </c>
      <c r="C189" s="15">
        <f t="shared" si="17"/>
        <v>7.88</v>
      </c>
      <c r="D189" s="590">
        <f>'[23]road inventory 2018'!C220</f>
        <v>7.8999999999999995</v>
      </c>
      <c r="E189" s="15">
        <v>1.75</v>
      </c>
      <c r="F189" s="15">
        <v>0</v>
      </c>
      <c r="G189" s="15">
        <v>0</v>
      </c>
      <c r="H189" s="15">
        <v>6.13</v>
      </c>
      <c r="I189" s="15">
        <v>0</v>
      </c>
      <c r="J189" s="106" t="s">
        <v>12</v>
      </c>
      <c r="K189" s="591" t="s">
        <v>491</v>
      </c>
      <c r="L189" s="24"/>
      <c r="M189" s="593"/>
      <c r="N189" s="598"/>
    </row>
    <row r="190" spans="1:15" s="667" customFormat="1" x14ac:dyDescent="0.35">
      <c r="A190" s="618">
        <v>121</v>
      </c>
      <c r="B190" s="619" t="s">
        <v>104</v>
      </c>
      <c r="C190" s="620">
        <f t="shared" si="17"/>
        <v>23.3</v>
      </c>
      <c r="D190" s="634">
        <f>'[23]road inventory 2018'!C221</f>
        <v>23.2</v>
      </c>
      <c r="E190" s="620">
        <v>3.6030000000000002</v>
      </c>
      <c r="F190" s="620">
        <v>0</v>
      </c>
      <c r="G190" s="620">
        <v>1.72</v>
      </c>
      <c r="H190" s="620">
        <v>17.977</v>
      </c>
      <c r="I190" s="620">
        <v>0</v>
      </c>
      <c r="J190" s="621" t="s">
        <v>12</v>
      </c>
      <c r="K190" s="622" t="s">
        <v>492</v>
      </c>
      <c r="L190" s="619"/>
      <c r="M190" s="623"/>
      <c r="N190" s="666"/>
    </row>
    <row r="191" spans="1:15" s="667" customFormat="1" ht="18" customHeight="1" x14ac:dyDescent="0.35">
      <c r="A191" s="618">
        <v>126</v>
      </c>
      <c r="B191" s="619" t="s">
        <v>110</v>
      </c>
      <c r="C191" s="620">
        <f t="shared" si="17"/>
        <v>10.097</v>
      </c>
      <c r="D191" s="634">
        <f>'[23]road inventory 2018'!C223</f>
        <v>9.6</v>
      </c>
      <c r="E191" s="620">
        <v>10.097</v>
      </c>
      <c r="F191" s="620">
        <v>0</v>
      </c>
      <c r="G191" s="620">
        <v>0</v>
      </c>
      <c r="H191" s="620">
        <v>0</v>
      </c>
      <c r="I191" s="620">
        <v>0</v>
      </c>
      <c r="J191" s="621" t="s">
        <v>836</v>
      </c>
      <c r="K191" s="622" t="s">
        <v>493</v>
      </c>
      <c r="L191" s="619"/>
      <c r="M191" s="623"/>
      <c r="N191" s="666"/>
    </row>
    <row r="192" spans="1:15" s="16" customFormat="1" ht="31" x14ac:dyDescent="0.35">
      <c r="A192" s="589">
        <v>146</v>
      </c>
      <c r="B192" s="24" t="s">
        <v>115</v>
      </c>
      <c r="C192" s="15">
        <f t="shared" si="17"/>
        <v>12.15</v>
      </c>
      <c r="D192" s="590">
        <f>'[23]road inventory 2018'!C224</f>
        <v>8.3000000000000007</v>
      </c>
      <c r="E192" s="15">
        <v>0</v>
      </c>
      <c r="F192" s="15">
        <v>0</v>
      </c>
      <c r="G192" s="15">
        <v>0</v>
      </c>
      <c r="H192" s="15">
        <v>12.15</v>
      </c>
      <c r="I192" s="15">
        <v>0</v>
      </c>
      <c r="J192" s="106" t="s">
        <v>12</v>
      </c>
      <c r="K192" s="591"/>
      <c r="L192" s="24"/>
      <c r="M192" s="593"/>
      <c r="N192" s="598"/>
    </row>
    <row r="193" spans="1:14" s="16" customFormat="1" ht="18" customHeight="1" x14ac:dyDescent="0.35">
      <c r="A193" s="589">
        <v>147</v>
      </c>
      <c r="B193" s="24" t="s">
        <v>289</v>
      </c>
      <c r="C193" s="15">
        <f t="shared" si="17"/>
        <v>4.59</v>
      </c>
      <c r="D193" s="590">
        <f>'[23]road inventory 2018'!C225</f>
        <v>4.2</v>
      </c>
      <c r="E193" s="15">
        <v>0.2</v>
      </c>
      <c r="F193" s="15">
        <v>0</v>
      </c>
      <c r="G193" s="15">
        <v>0</v>
      </c>
      <c r="H193" s="15">
        <v>4.3899999999999997</v>
      </c>
      <c r="I193" s="15">
        <v>0</v>
      </c>
      <c r="J193" s="106" t="s">
        <v>10</v>
      </c>
      <c r="K193" s="591"/>
      <c r="L193" s="24"/>
      <c r="M193" s="593"/>
      <c r="N193" s="598"/>
    </row>
    <row r="194" spans="1:14" s="16" customFormat="1" ht="18" customHeight="1" x14ac:dyDescent="0.35">
      <c r="A194" s="626"/>
      <c r="B194" s="60"/>
      <c r="C194" s="61">
        <f t="shared" ref="C194:I194" si="18">SUM(C187:C193)</f>
        <v>88.617000000000004</v>
      </c>
      <c r="D194" s="61">
        <f t="shared" si="18"/>
        <v>81.299999999999983</v>
      </c>
      <c r="E194" s="61">
        <f t="shared" si="18"/>
        <v>16.649999999999999</v>
      </c>
      <c r="F194" s="61">
        <f t="shared" si="18"/>
        <v>0</v>
      </c>
      <c r="G194" s="61">
        <f t="shared" si="18"/>
        <v>1.72</v>
      </c>
      <c r="H194" s="61">
        <f t="shared" si="18"/>
        <v>70.247000000000014</v>
      </c>
      <c r="I194" s="61">
        <f t="shared" si="18"/>
        <v>0</v>
      </c>
      <c r="J194" s="628"/>
      <c r="K194" s="629"/>
      <c r="L194" s="24"/>
      <c r="M194" s="593"/>
      <c r="N194" s="598"/>
    </row>
    <row r="195" spans="1:14" ht="18" customHeight="1" thickBot="1" x14ac:dyDescent="0.4">
      <c r="A195" s="53" t="s">
        <v>341</v>
      </c>
      <c r="B195" s="34"/>
      <c r="C195" s="31">
        <f>SUM(C187:C193)</f>
        <v>88.617000000000004</v>
      </c>
      <c r="D195" s="630"/>
      <c r="E195" s="31">
        <f>SUM(E187:E193)</f>
        <v>16.649999999999999</v>
      </c>
      <c r="F195" s="31">
        <f>SUM(F187:F193)</f>
        <v>0</v>
      </c>
      <c r="G195" s="31">
        <f>SUM(G187:G193)</f>
        <v>1.72</v>
      </c>
      <c r="H195" s="31">
        <f>SUM(H187:H193)</f>
        <v>70.247000000000014</v>
      </c>
      <c r="I195" s="31">
        <f>SUM(I187:I193)</f>
        <v>0</v>
      </c>
      <c r="J195" s="608"/>
      <c r="K195" s="609"/>
      <c r="L195" s="653"/>
      <c r="M195" s="21"/>
    </row>
    <row r="196" spans="1:14" ht="18" customHeight="1" thickBot="1" x14ac:dyDescent="0.4">
      <c r="L196" s="28"/>
    </row>
    <row r="197" spans="1:14" s="1" customFormat="1" x14ac:dyDescent="0.35">
      <c r="A197" s="1217" t="s">
        <v>494</v>
      </c>
      <c r="B197" s="1218"/>
      <c r="C197" s="1218"/>
      <c r="D197" s="1218"/>
      <c r="E197" s="1218"/>
      <c r="F197" s="1218"/>
      <c r="G197" s="1218"/>
      <c r="H197" s="1218"/>
      <c r="I197" s="1218"/>
      <c r="J197" s="1218"/>
      <c r="K197" s="1218"/>
      <c r="L197" s="668"/>
      <c r="M197" s="584"/>
      <c r="N197" s="581"/>
    </row>
    <row r="198" spans="1:14" s="1" customFormat="1" ht="16" thickBot="1" x14ac:dyDescent="0.4">
      <c r="A198" s="585"/>
      <c r="B198" s="2"/>
      <c r="C198" s="5"/>
      <c r="D198" s="586"/>
      <c r="E198" s="5"/>
      <c r="F198" s="5"/>
      <c r="G198" s="5"/>
      <c r="H198" s="5"/>
      <c r="I198" s="5"/>
      <c r="J198" s="3"/>
      <c r="K198" s="21"/>
      <c r="L198" s="653"/>
      <c r="M198" s="21"/>
      <c r="N198" s="581"/>
    </row>
    <row r="199" spans="1:14" s="1" customFormat="1" ht="21" customHeight="1" x14ac:dyDescent="0.35">
      <c r="A199" s="1206" t="s">
        <v>302</v>
      </c>
      <c r="B199" s="1208" t="s">
        <v>28</v>
      </c>
      <c r="C199" s="1210" t="s">
        <v>343</v>
      </c>
      <c r="D199" s="613"/>
      <c r="E199" s="1212" t="s">
        <v>305</v>
      </c>
      <c r="F199" s="1212"/>
      <c r="G199" s="1212"/>
      <c r="H199" s="1212"/>
      <c r="I199" s="1212"/>
      <c r="J199" s="1208" t="s">
        <v>29</v>
      </c>
      <c r="K199" s="1213" t="s">
        <v>306</v>
      </c>
      <c r="L199" s="1215" t="str">
        <f>L185</f>
        <v>REMARKS</v>
      </c>
      <c r="M199" s="588"/>
      <c r="N199" s="581"/>
    </row>
    <row r="200" spans="1:14" s="1" customFormat="1" ht="21" customHeight="1" thickBot="1" x14ac:dyDescent="0.4">
      <c r="A200" s="1207"/>
      <c r="B200" s="1209"/>
      <c r="C200" s="1211"/>
      <c r="D200" s="614"/>
      <c r="E200" s="7" t="s">
        <v>308</v>
      </c>
      <c r="F200" s="7" t="s">
        <v>309</v>
      </c>
      <c r="G200" s="7" t="s">
        <v>310</v>
      </c>
      <c r="H200" s="7" t="s">
        <v>311</v>
      </c>
      <c r="I200" s="7" t="s">
        <v>312</v>
      </c>
      <c r="J200" s="1209"/>
      <c r="K200" s="1214"/>
      <c r="L200" s="1216"/>
      <c r="M200" s="588"/>
      <c r="N200" s="581"/>
    </row>
    <row r="201" spans="1:14" s="16" customFormat="1" x14ac:dyDescent="0.35">
      <c r="A201" s="589">
        <v>149</v>
      </c>
      <c r="B201" s="24" t="s">
        <v>496</v>
      </c>
      <c r="C201" s="10">
        <f>SUM(E201:I201)</f>
        <v>5.01</v>
      </c>
      <c r="D201" s="615">
        <f>'[23]road inventory 2018'!C233</f>
        <v>5</v>
      </c>
      <c r="E201" s="15">
        <v>0.79</v>
      </c>
      <c r="F201" s="15">
        <v>0</v>
      </c>
      <c r="G201" s="15">
        <v>0</v>
      </c>
      <c r="H201" s="15">
        <v>4.22</v>
      </c>
      <c r="I201" s="15">
        <v>0</v>
      </c>
      <c r="J201" s="106" t="s">
        <v>12</v>
      </c>
      <c r="K201" s="591" t="s">
        <v>497</v>
      </c>
      <c r="L201" s="24"/>
      <c r="M201" s="593"/>
      <c r="N201" s="598"/>
    </row>
    <row r="202" spans="1:14" s="16" customFormat="1" ht="18" customHeight="1" x14ac:dyDescent="0.35">
      <c r="A202" s="589">
        <v>151</v>
      </c>
      <c r="B202" s="24" t="s">
        <v>499</v>
      </c>
      <c r="C202" s="10">
        <f>SUM(E202:I202)</f>
        <v>3.99</v>
      </c>
      <c r="D202" s="615">
        <f>'[23]road inventory 2018'!C235</f>
        <v>4</v>
      </c>
      <c r="E202" s="15">
        <v>0</v>
      </c>
      <c r="F202" s="15">
        <v>0</v>
      </c>
      <c r="G202" s="15">
        <v>0</v>
      </c>
      <c r="H202" s="15">
        <v>3.99</v>
      </c>
      <c r="I202" s="15">
        <v>0</v>
      </c>
      <c r="J202" s="106" t="s">
        <v>12</v>
      </c>
      <c r="K202" s="591" t="s">
        <v>500</v>
      </c>
      <c r="L202" s="24"/>
      <c r="M202" s="593"/>
      <c r="N202" s="598"/>
    </row>
    <row r="203" spans="1:14" ht="18" customHeight="1" x14ac:dyDescent="0.35">
      <c r="A203" s="635"/>
      <c r="B203" s="40"/>
      <c r="C203" s="41">
        <f t="shared" ref="C203:I203" si="19">SUM(C201:C202)</f>
        <v>9</v>
      </c>
      <c r="D203" s="41">
        <f t="shared" si="19"/>
        <v>9</v>
      </c>
      <c r="E203" s="41">
        <f t="shared" si="19"/>
        <v>0.79</v>
      </c>
      <c r="F203" s="41">
        <f t="shared" si="19"/>
        <v>0</v>
      </c>
      <c r="G203" s="41">
        <f t="shared" si="19"/>
        <v>0</v>
      </c>
      <c r="H203" s="41">
        <f t="shared" si="19"/>
        <v>8.2100000000000009</v>
      </c>
      <c r="I203" s="41">
        <f t="shared" si="19"/>
        <v>0</v>
      </c>
      <c r="J203" s="109"/>
      <c r="K203" s="605"/>
      <c r="L203" s="28"/>
    </row>
    <row r="204" spans="1:14" ht="18" customHeight="1" thickBot="1" x14ac:dyDescent="0.4">
      <c r="A204" s="53" t="s">
        <v>341</v>
      </c>
      <c r="B204" s="34"/>
      <c r="C204" s="31">
        <f>SUM(C201:C202)</f>
        <v>9</v>
      </c>
      <c r="D204" s="630"/>
      <c r="E204" s="31">
        <f>SUM(E201:E202)</f>
        <v>0.79</v>
      </c>
      <c r="F204" s="31">
        <f>SUM(F201:F202)</f>
        <v>0</v>
      </c>
      <c r="G204" s="31">
        <f>SUM(G201:G202)</f>
        <v>0</v>
      </c>
      <c r="H204" s="31">
        <f>SUM(H201:H202)</f>
        <v>8.2100000000000009</v>
      </c>
      <c r="I204" s="31">
        <f>SUM(I201:I202)</f>
        <v>0</v>
      </c>
      <c r="J204" s="608"/>
      <c r="K204" s="609"/>
      <c r="L204" s="653"/>
      <c r="M204" s="21"/>
    </row>
    <row r="205" spans="1:14" ht="18" customHeight="1" thickBot="1" x14ac:dyDescent="0.4">
      <c r="L205" s="28"/>
    </row>
    <row r="206" spans="1:14" s="1" customFormat="1" x14ac:dyDescent="0.35">
      <c r="A206" s="1217" t="s">
        <v>501</v>
      </c>
      <c r="B206" s="1218"/>
      <c r="C206" s="1218"/>
      <c r="D206" s="1218"/>
      <c r="E206" s="1218"/>
      <c r="F206" s="1218"/>
      <c r="G206" s="1218"/>
      <c r="H206" s="1218"/>
      <c r="I206" s="1218"/>
      <c r="J206" s="1218"/>
      <c r="K206" s="1218"/>
      <c r="L206" s="668"/>
      <c r="M206" s="584"/>
      <c r="N206" s="581"/>
    </row>
    <row r="207" spans="1:14" s="1" customFormat="1" ht="16" thickBot="1" x14ac:dyDescent="0.4">
      <c r="A207" s="585"/>
      <c r="B207" s="2"/>
      <c r="C207" s="5"/>
      <c r="D207" s="586"/>
      <c r="E207" s="5"/>
      <c r="F207" s="5"/>
      <c r="G207" s="5"/>
      <c r="H207" s="5"/>
      <c r="I207" s="5"/>
      <c r="J207" s="3"/>
      <c r="K207" s="21"/>
      <c r="L207" s="653"/>
      <c r="M207" s="21"/>
      <c r="N207" s="581"/>
    </row>
    <row r="208" spans="1:14" s="1" customFormat="1" ht="21" customHeight="1" x14ac:dyDescent="0.35">
      <c r="A208" s="1206" t="s">
        <v>302</v>
      </c>
      <c r="B208" s="1208" t="s">
        <v>28</v>
      </c>
      <c r="C208" s="1210" t="s">
        <v>343</v>
      </c>
      <c r="D208" s="613"/>
      <c r="E208" s="1212" t="s">
        <v>305</v>
      </c>
      <c r="F208" s="1212"/>
      <c r="G208" s="1212"/>
      <c r="H208" s="1212"/>
      <c r="I208" s="1212"/>
      <c r="J208" s="1208" t="s">
        <v>29</v>
      </c>
      <c r="K208" s="1213" t="s">
        <v>306</v>
      </c>
      <c r="L208" s="1215" t="str">
        <f>L199</f>
        <v>REMARKS</v>
      </c>
      <c r="M208" s="588"/>
      <c r="N208" s="581"/>
    </row>
    <row r="209" spans="1:14" s="1" customFormat="1" ht="21" customHeight="1" thickBot="1" x14ac:dyDescent="0.4">
      <c r="A209" s="1207"/>
      <c r="B209" s="1209"/>
      <c r="C209" s="1211"/>
      <c r="D209" s="614"/>
      <c r="E209" s="7" t="s">
        <v>308</v>
      </c>
      <c r="F209" s="7" t="s">
        <v>309</v>
      </c>
      <c r="G209" s="7" t="s">
        <v>310</v>
      </c>
      <c r="H209" s="7" t="s">
        <v>311</v>
      </c>
      <c r="I209" s="7" t="s">
        <v>312</v>
      </c>
      <c r="J209" s="1209"/>
      <c r="K209" s="1214"/>
      <c r="L209" s="1216"/>
      <c r="M209" s="588"/>
      <c r="N209" s="581"/>
    </row>
    <row r="210" spans="1:14" s="677" customFormat="1" ht="18" customHeight="1" x14ac:dyDescent="0.35">
      <c r="A210" s="669">
        <v>153</v>
      </c>
      <c r="B210" s="107" t="s">
        <v>121</v>
      </c>
      <c r="C210" s="670">
        <f>SUM(E210:I210)</f>
        <v>11</v>
      </c>
      <c r="D210" s="671">
        <f>'[23]road inventory 2018'!C243</f>
        <v>11</v>
      </c>
      <c r="E210" s="670">
        <v>1.96</v>
      </c>
      <c r="F210" s="670">
        <f>[24]CARRIAGEWAY!$X$360</f>
        <v>0</v>
      </c>
      <c r="G210" s="670">
        <f>[24]CARRIAGEWAY!$Z$360</f>
        <v>0</v>
      </c>
      <c r="H210" s="672">
        <v>9.0399999999999991</v>
      </c>
      <c r="I210" s="670">
        <v>0</v>
      </c>
      <c r="J210" s="673" t="str">
        <f>[24]CARRIAGEWAY!$Z$361</f>
        <v>FAIR</v>
      </c>
      <c r="K210" s="674" t="s">
        <v>502</v>
      </c>
      <c r="L210" s="107"/>
      <c r="M210" s="675"/>
      <c r="N210" s="676"/>
    </row>
    <row r="211" spans="1:14" s="16" customFormat="1" ht="18" customHeight="1" x14ac:dyDescent="0.35">
      <c r="A211" s="589">
        <v>125</v>
      </c>
      <c r="B211" s="24" t="s">
        <v>125</v>
      </c>
      <c r="C211" s="670">
        <f t="shared" ref="C211:C219" si="20">SUM(E211:I211)</f>
        <v>2.9</v>
      </c>
      <c r="D211" s="671">
        <f>'[23]road inventory 2018'!C244</f>
        <v>2.9</v>
      </c>
      <c r="E211" s="15">
        <v>0</v>
      </c>
      <c r="F211" s="15">
        <v>0</v>
      </c>
      <c r="G211" s="15">
        <v>0</v>
      </c>
      <c r="H211" s="70">
        <v>2.9</v>
      </c>
      <c r="I211" s="15">
        <v>0</v>
      </c>
      <c r="J211" s="106" t="s">
        <v>12</v>
      </c>
      <c r="K211" s="591" t="s">
        <v>502</v>
      </c>
      <c r="L211" s="24"/>
      <c r="M211" s="593"/>
      <c r="N211" s="598"/>
    </row>
    <row r="212" spans="1:14" s="16" customFormat="1" ht="18" customHeight="1" x14ac:dyDescent="0.35">
      <c r="A212" s="589">
        <v>154</v>
      </c>
      <c r="B212" s="24" t="s">
        <v>127</v>
      </c>
      <c r="C212" s="670">
        <f t="shared" si="20"/>
        <v>7</v>
      </c>
      <c r="D212" s="671">
        <f>'[23]road inventory 2018'!C245</f>
        <v>7</v>
      </c>
      <c r="E212" s="15">
        <v>0</v>
      </c>
      <c r="F212" s="15">
        <v>0</v>
      </c>
      <c r="G212" s="15">
        <v>0</v>
      </c>
      <c r="H212" s="70">
        <v>7</v>
      </c>
      <c r="I212" s="15">
        <v>0</v>
      </c>
      <c r="J212" s="106" t="s">
        <v>12</v>
      </c>
      <c r="K212" s="591" t="s">
        <v>503</v>
      </c>
      <c r="L212" s="24"/>
      <c r="M212" s="593"/>
      <c r="N212" s="598"/>
    </row>
    <row r="213" spans="1:14" s="16" customFormat="1" x14ac:dyDescent="0.35">
      <c r="A213" s="589">
        <v>127</v>
      </c>
      <c r="B213" s="24" t="s">
        <v>504</v>
      </c>
      <c r="C213" s="670">
        <f t="shared" si="20"/>
        <v>2.7</v>
      </c>
      <c r="D213" s="590">
        <f>'[23]road inventory 2018'!C249</f>
        <v>2.7</v>
      </c>
      <c r="E213" s="15">
        <v>0</v>
      </c>
      <c r="F213" s="15">
        <v>0</v>
      </c>
      <c r="G213" s="15">
        <v>0</v>
      </c>
      <c r="H213" s="70">
        <v>2.7</v>
      </c>
      <c r="I213" s="15">
        <v>0</v>
      </c>
      <c r="J213" s="106" t="s">
        <v>12</v>
      </c>
      <c r="K213" s="591" t="s">
        <v>505</v>
      </c>
      <c r="L213" s="24"/>
      <c r="M213" s="593"/>
      <c r="N213" s="598" t="s">
        <v>506</v>
      </c>
    </row>
    <row r="214" spans="1:14" x14ac:dyDescent="0.35">
      <c r="A214" s="596">
        <v>128</v>
      </c>
      <c r="B214" s="28" t="s">
        <v>507</v>
      </c>
      <c r="C214" s="670">
        <f t="shared" si="20"/>
        <v>2.2999999999999998</v>
      </c>
      <c r="D214" s="590">
        <f>'[23]road inventory 2018'!C250</f>
        <v>2.3000000000000003</v>
      </c>
      <c r="E214" s="10">
        <v>2.2999999999999998</v>
      </c>
      <c r="F214" s="10">
        <v>0</v>
      </c>
      <c r="G214" s="10">
        <v>0</v>
      </c>
      <c r="H214" s="678">
        <v>0</v>
      </c>
      <c r="I214" s="10">
        <v>0</v>
      </c>
      <c r="J214" s="103" t="s">
        <v>10</v>
      </c>
      <c r="K214" s="597" t="s">
        <v>508</v>
      </c>
      <c r="L214" s="28"/>
    </row>
    <row r="215" spans="1:14" s="667" customFormat="1" ht="18" customHeight="1" x14ac:dyDescent="0.35">
      <c r="A215" s="618">
        <v>156</v>
      </c>
      <c r="B215" s="619" t="s">
        <v>130</v>
      </c>
      <c r="C215" s="620">
        <f t="shared" si="20"/>
        <v>20</v>
      </c>
      <c r="D215" s="634">
        <f>'[23]road inventory 2018'!C253</f>
        <v>20</v>
      </c>
      <c r="E215" s="620">
        <v>8.2050000000000001</v>
      </c>
      <c r="F215" s="620">
        <v>0</v>
      </c>
      <c r="G215" s="620">
        <v>0</v>
      </c>
      <c r="H215" s="679">
        <v>11.795</v>
      </c>
      <c r="I215" s="620">
        <v>0</v>
      </c>
      <c r="J215" s="621" t="s">
        <v>10</v>
      </c>
      <c r="K215" s="622" t="s">
        <v>514</v>
      </c>
      <c r="L215" s="619"/>
      <c r="M215" s="623"/>
      <c r="N215" s="666"/>
    </row>
    <row r="216" spans="1:14" ht="18" customHeight="1" x14ac:dyDescent="0.35">
      <c r="A216" s="596">
        <v>157</v>
      </c>
      <c r="B216" s="28" t="s">
        <v>515</v>
      </c>
      <c r="C216" s="670">
        <f t="shared" si="20"/>
        <v>0</v>
      </c>
      <c r="D216" s="10">
        <f>'[23]road inventory 2018'!C254</f>
        <v>8.6999999999999993</v>
      </c>
      <c r="E216" s="10">
        <v>0</v>
      </c>
      <c r="F216" s="10">
        <v>0</v>
      </c>
      <c r="G216" s="10">
        <v>0</v>
      </c>
      <c r="H216" s="678">
        <v>0</v>
      </c>
      <c r="I216" s="10">
        <v>0</v>
      </c>
      <c r="J216" s="103" t="s">
        <v>12</v>
      </c>
      <c r="K216" s="597"/>
      <c r="L216" s="28" t="s">
        <v>837</v>
      </c>
      <c r="N216" s="1233" t="s">
        <v>516</v>
      </c>
    </row>
    <row r="217" spans="1:14" s="667" customFormat="1" ht="18" customHeight="1" x14ac:dyDescent="0.35">
      <c r="A217" s="618">
        <v>158</v>
      </c>
      <c r="B217" s="619" t="s">
        <v>517</v>
      </c>
      <c r="C217" s="620">
        <f t="shared" si="20"/>
        <v>7.2</v>
      </c>
      <c r="D217" s="620">
        <f>'[23]road inventory 2018'!C255</f>
        <v>7.1999999999999993</v>
      </c>
      <c r="E217" s="620">
        <v>4.08</v>
      </c>
      <c r="F217" s="620">
        <v>0</v>
      </c>
      <c r="G217" s="620">
        <v>3.12</v>
      </c>
      <c r="H217" s="679">
        <v>0</v>
      </c>
      <c r="I217" s="620">
        <v>0</v>
      </c>
      <c r="J217" s="621" t="s">
        <v>206</v>
      </c>
      <c r="K217" s="622"/>
      <c r="L217" s="619" t="s">
        <v>837</v>
      </c>
      <c r="M217" s="623"/>
      <c r="N217" s="1233"/>
    </row>
    <row r="218" spans="1:14" s="16" customFormat="1" ht="18" customHeight="1" x14ac:dyDescent="0.35">
      <c r="A218" s="589">
        <v>131</v>
      </c>
      <c r="B218" s="24" t="s">
        <v>523</v>
      </c>
      <c r="C218" s="670">
        <f t="shared" si="20"/>
        <v>5.1999999999999993</v>
      </c>
      <c r="D218" s="590">
        <f>'[23]road inventory 2018'!C258</f>
        <v>5.2</v>
      </c>
      <c r="E218" s="15">
        <v>2.0099999999999998</v>
      </c>
      <c r="F218" s="15">
        <v>0</v>
      </c>
      <c r="G218" s="15">
        <v>0</v>
      </c>
      <c r="H218" s="70">
        <v>3.19</v>
      </c>
      <c r="I218" s="15">
        <v>0</v>
      </c>
      <c r="J218" s="106" t="s">
        <v>12</v>
      </c>
      <c r="K218" s="591"/>
      <c r="L218" s="24"/>
      <c r="M218" s="593"/>
      <c r="N218" s="598"/>
    </row>
    <row r="219" spans="1:14" s="16" customFormat="1" ht="18" customHeight="1" x14ac:dyDescent="0.35">
      <c r="A219" s="589">
        <v>135</v>
      </c>
      <c r="B219" s="24" t="s">
        <v>139</v>
      </c>
      <c r="C219" s="670">
        <f t="shared" si="20"/>
        <v>4.4000000000000004</v>
      </c>
      <c r="D219" s="590">
        <f>'[23]road inventory 2018'!C259</f>
        <v>4.4000000000000004</v>
      </c>
      <c r="E219" s="15">
        <v>0</v>
      </c>
      <c r="F219" s="15">
        <v>0</v>
      </c>
      <c r="G219" s="15">
        <v>0</v>
      </c>
      <c r="H219" s="70">
        <v>4.4000000000000004</v>
      </c>
      <c r="I219" s="15">
        <v>0</v>
      </c>
      <c r="J219" s="106" t="s">
        <v>12</v>
      </c>
      <c r="K219" s="591" t="s">
        <v>525</v>
      </c>
      <c r="L219" s="24"/>
      <c r="M219" s="593"/>
      <c r="N219" s="598"/>
    </row>
    <row r="220" spans="1:14" s="16" customFormat="1" ht="18" customHeight="1" x14ac:dyDescent="0.35">
      <c r="A220" s="626"/>
      <c r="B220" s="60"/>
      <c r="C220" s="61">
        <f t="shared" ref="C220:I220" si="21">SUM(C210:C219)</f>
        <v>62.699999999999996</v>
      </c>
      <c r="D220" s="61">
        <f t="shared" si="21"/>
        <v>71.400000000000006</v>
      </c>
      <c r="E220" s="61">
        <f t="shared" si="21"/>
        <v>18.555</v>
      </c>
      <c r="F220" s="61">
        <f t="shared" si="21"/>
        <v>0</v>
      </c>
      <c r="G220" s="61">
        <f t="shared" si="21"/>
        <v>3.12</v>
      </c>
      <c r="H220" s="61">
        <f t="shared" si="21"/>
        <v>41.024999999999991</v>
      </c>
      <c r="I220" s="61">
        <f t="shared" si="21"/>
        <v>0</v>
      </c>
      <c r="J220" s="628"/>
      <c r="K220" s="629"/>
      <c r="L220" s="24"/>
      <c r="M220" s="593"/>
      <c r="N220" s="598"/>
    </row>
    <row r="221" spans="1:14" ht="18" customHeight="1" thickBot="1" x14ac:dyDescent="0.4">
      <c r="A221" s="53" t="s">
        <v>341</v>
      </c>
      <c r="B221" s="34"/>
      <c r="C221" s="31">
        <f>SUM(E221:I221)</f>
        <v>62.699999999999989</v>
      </c>
      <c r="D221" s="630"/>
      <c r="E221" s="31">
        <f>SUM(E210:E219)</f>
        <v>18.555</v>
      </c>
      <c r="F221" s="31">
        <f>SUM(F210:F219)</f>
        <v>0</v>
      </c>
      <c r="G221" s="31">
        <f>SUM(G210:G219)</f>
        <v>3.12</v>
      </c>
      <c r="H221" s="31">
        <f>SUM(H210:H219)</f>
        <v>41.024999999999991</v>
      </c>
      <c r="I221" s="31">
        <f>SUM(I210:I219)</f>
        <v>0</v>
      </c>
      <c r="J221" s="608"/>
      <c r="K221" s="609"/>
      <c r="L221" s="653"/>
      <c r="M221" s="21"/>
    </row>
    <row r="222" spans="1:14" ht="18" customHeight="1" thickBot="1" x14ac:dyDescent="0.4">
      <c r="L222" s="40"/>
    </row>
    <row r="223" spans="1:14" s="1" customFormat="1" x14ac:dyDescent="0.35">
      <c r="A223" s="1217" t="s">
        <v>526</v>
      </c>
      <c r="B223" s="1218"/>
      <c r="C223" s="1218"/>
      <c r="D223" s="1218"/>
      <c r="E223" s="1218"/>
      <c r="F223" s="1218"/>
      <c r="G223" s="1218"/>
      <c r="H223" s="1218"/>
      <c r="I223" s="1218"/>
      <c r="J223" s="1218"/>
      <c r="K223" s="1218"/>
      <c r="L223" s="1219"/>
      <c r="M223" s="584"/>
      <c r="N223" s="581"/>
    </row>
    <row r="224" spans="1:14" s="1" customFormat="1" ht="16" thickBot="1" x14ac:dyDescent="0.4">
      <c r="A224" s="585"/>
      <c r="B224" s="2"/>
      <c r="C224" s="5"/>
      <c r="D224" s="586"/>
      <c r="E224" s="5"/>
      <c r="F224" s="5"/>
      <c r="G224" s="5"/>
      <c r="H224" s="5"/>
      <c r="I224" s="5"/>
      <c r="J224" s="3"/>
      <c r="K224" s="21"/>
      <c r="L224" s="18"/>
      <c r="M224" s="21"/>
      <c r="N224" s="581"/>
    </row>
    <row r="225" spans="1:14" s="1" customFormat="1" ht="21" customHeight="1" x14ac:dyDescent="0.35">
      <c r="A225" s="1206" t="s">
        <v>302</v>
      </c>
      <c r="B225" s="1208" t="s">
        <v>28</v>
      </c>
      <c r="C225" s="1210" t="s">
        <v>343</v>
      </c>
      <c r="D225" s="613"/>
      <c r="E225" s="1212" t="s">
        <v>305</v>
      </c>
      <c r="F225" s="1212"/>
      <c r="G225" s="1212"/>
      <c r="H225" s="1212"/>
      <c r="I225" s="1212"/>
      <c r="J225" s="1208" t="s">
        <v>29</v>
      </c>
      <c r="K225" s="1213" t="s">
        <v>306</v>
      </c>
      <c r="L225" s="1220" t="s">
        <v>307</v>
      </c>
      <c r="M225" s="588"/>
      <c r="N225" s="581"/>
    </row>
    <row r="226" spans="1:14" s="1" customFormat="1" ht="21" customHeight="1" thickBot="1" x14ac:dyDescent="0.4">
      <c r="A226" s="1207"/>
      <c r="B226" s="1209"/>
      <c r="C226" s="1211"/>
      <c r="D226" s="614"/>
      <c r="E226" s="7" t="s">
        <v>308</v>
      </c>
      <c r="F226" s="7" t="s">
        <v>309</v>
      </c>
      <c r="G226" s="7" t="s">
        <v>310</v>
      </c>
      <c r="H226" s="7" t="s">
        <v>311</v>
      </c>
      <c r="I226" s="7" t="s">
        <v>312</v>
      </c>
      <c r="J226" s="1209"/>
      <c r="K226" s="1214"/>
      <c r="L226" s="1221"/>
      <c r="M226" s="588"/>
      <c r="N226" s="581"/>
    </row>
    <row r="227" spans="1:14" s="16" customFormat="1" ht="18" customHeight="1" x14ac:dyDescent="0.35">
      <c r="A227" s="589">
        <v>161</v>
      </c>
      <c r="B227" s="24" t="s">
        <v>529</v>
      </c>
      <c r="C227" s="15">
        <f>SUM(E227:I227)</f>
        <v>1.8</v>
      </c>
      <c r="D227" s="590">
        <f>'[23]road inventory 2018'!C267</f>
        <v>1.8</v>
      </c>
      <c r="E227" s="15">
        <v>1.8</v>
      </c>
      <c r="F227" s="15">
        <v>0</v>
      </c>
      <c r="G227" s="15">
        <v>0</v>
      </c>
      <c r="H227" s="15">
        <v>0</v>
      </c>
      <c r="I227" s="15">
        <v>0</v>
      </c>
      <c r="J227" s="106" t="s">
        <v>12</v>
      </c>
      <c r="K227" s="591" t="s">
        <v>528</v>
      </c>
      <c r="L227" s="24"/>
      <c r="M227" s="593"/>
      <c r="N227" s="598"/>
    </row>
    <row r="228" spans="1:14" s="16" customFormat="1" ht="18" customHeight="1" x14ac:dyDescent="0.35">
      <c r="A228" s="589">
        <v>166</v>
      </c>
      <c r="B228" s="24" t="s">
        <v>538</v>
      </c>
      <c r="C228" s="15">
        <f>SUM(E228:I228)</f>
        <v>2.8</v>
      </c>
      <c r="D228" s="590">
        <f>'[23]road inventory 2018'!C272</f>
        <v>2.8</v>
      </c>
      <c r="E228" s="15">
        <v>0</v>
      </c>
      <c r="F228" s="15">
        <v>0</v>
      </c>
      <c r="G228" s="15">
        <v>0</v>
      </c>
      <c r="H228" s="15">
        <v>2.8</v>
      </c>
      <c r="I228" s="15">
        <v>0</v>
      </c>
      <c r="J228" s="106" t="s">
        <v>12</v>
      </c>
      <c r="K228" s="591" t="s">
        <v>539</v>
      </c>
      <c r="L228" s="24"/>
      <c r="M228" s="593"/>
      <c r="N228" s="598"/>
    </row>
    <row r="229" spans="1:14" ht="18" customHeight="1" x14ac:dyDescent="0.35">
      <c r="A229" s="596">
        <v>167</v>
      </c>
      <c r="B229" s="28" t="s">
        <v>540</v>
      </c>
      <c r="C229" s="15">
        <f>SUM(E229:I229)</f>
        <v>5.5</v>
      </c>
      <c r="D229" s="590">
        <f>'[23]road inventory 2018'!C273</f>
        <v>5.5</v>
      </c>
      <c r="E229" s="10">
        <v>0</v>
      </c>
      <c r="F229" s="10">
        <v>0</v>
      </c>
      <c r="G229" s="10">
        <v>0</v>
      </c>
      <c r="H229" s="10">
        <v>5.5</v>
      </c>
      <c r="I229" s="10">
        <v>0</v>
      </c>
      <c r="J229" s="103" t="s">
        <v>12</v>
      </c>
      <c r="K229" s="597" t="s">
        <v>541</v>
      </c>
      <c r="L229" s="28"/>
    </row>
    <row r="230" spans="1:14" ht="18" customHeight="1" x14ac:dyDescent="0.35">
      <c r="A230" s="635"/>
      <c r="B230" s="40"/>
      <c r="C230" s="41">
        <f t="shared" ref="C230:I230" si="22">SUM(C227:C229)</f>
        <v>10.1</v>
      </c>
      <c r="D230" s="41">
        <f t="shared" si="22"/>
        <v>10.1</v>
      </c>
      <c r="E230" s="41">
        <f t="shared" si="22"/>
        <v>1.8</v>
      </c>
      <c r="F230" s="41">
        <f t="shared" si="22"/>
        <v>0</v>
      </c>
      <c r="G230" s="41">
        <f t="shared" si="22"/>
        <v>0</v>
      </c>
      <c r="H230" s="41">
        <f t="shared" si="22"/>
        <v>8.3000000000000007</v>
      </c>
      <c r="I230" s="41">
        <f t="shared" si="22"/>
        <v>0</v>
      </c>
      <c r="J230" s="109"/>
      <c r="K230" s="605"/>
      <c r="L230" s="28"/>
    </row>
    <row r="231" spans="1:14" ht="18" customHeight="1" thickBot="1" x14ac:dyDescent="0.4">
      <c r="A231" s="53" t="s">
        <v>341</v>
      </c>
      <c r="B231" s="34"/>
      <c r="C231" s="31">
        <f>SUM(E231:I231)</f>
        <v>10.100000000000001</v>
      </c>
      <c r="D231" s="630"/>
      <c r="E231" s="31">
        <f>SUM(E227:E229)</f>
        <v>1.8</v>
      </c>
      <c r="F231" s="31">
        <f>SUM(F227:F229)</f>
        <v>0</v>
      </c>
      <c r="G231" s="31">
        <f>SUM(G227:G229)</f>
        <v>0</v>
      </c>
      <c r="H231" s="31">
        <f>SUM(H227:H229)</f>
        <v>8.3000000000000007</v>
      </c>
      <c r="I231" s="31">
        <f>SUM(I227:I229)</f>
        <v>0</v>
      </c>
      <c r="J231" s="608"/>
      <c r="K231" s="609"/>
      <c r="L231" s="653"/>
      <c r="M231" s="21"/>
    </row>
    <row r="232" spans="1:14" ht="18" customHeight="1" thickBot="1" x14ac:dyDescent="0.4">
      <c r="L232" s="40"/>
    </row>
    <row r="233" spans="1:14" s="1" customFormat="1" x14ac:dyDescent="0.35">
      <c r="A233" s="1217" t="s">
        <v>547</v>
      </c>
      <c r="B233" s="1218"/>
      <c r="C233" s="1218"/>
      <c r="D233" s="1218"/>
      <c r="E233" s="1218"/>
      <c r="F233" s="1218"/>
      <c r="G233" s="1218"/>
      <c r="H233" s="1218"/>
      <c r="I233" s="1218"/>
      <c r="J233" s="1218"/>
      <c r="K233" s="1218"/>
      <c r="L233" s="684"/>
      <c r="M233" s="584"/>
      <c r="N233" s="581"/>
    </row>
    <row r="234" spans="1:14" s="1" customFormat="1" ht="16" thickBot="1" x14ac:dyDescent="0.4">
      <c r="A234" s="585"/>
      <c r="B234" s="2"/>
      <c r="C234" s="5"/>
      <c r="D234" s="586"/>
      <c r="E234" s="5"/>
      <c r="F234" s="5"/>
      <c r="G234" s="5"/>
      <c r="H234" s="5"/>
      <c r="I234" s="5"/>
      <c r="J234" s="3"/>
      <c r="K234" s="21"/>
      <c r="L234" s="97"/>
      <c r="M234" s="21"/>
      <c r="N234" s="581"/>
    </row>
    <row r="235" spans="1:14" s="1" customFormat="1" ht="21" customHeight="1" x14ac:dyDescent="0.35">
      <c r="A235" s="1206" t="s">
        <v>302</v>
      </c>
      <c r="B235" s="1208" t="s">
        <v>28</v>
      </c>
      <c r="C235" s="1210" t="s">
        <v>343</v>
      </c>
      <c r="D235" s="613"/>
      <c r="E235" s="1212" t="s">
        <v>305</v>
      </c>
      <c r="F235" s="1212"/>
      <c r="G235" s="1212"/>
      <c r="H235" s="1212"/>
      <c r="I235" s="1212"/>
      <c r="J235" s="1208" t="s">
        <v>29</v>
      </c>
      <c r="K235" s="1213" t="s">
        <v>306</v>
      </c>
      <c r="L235" s="1222" t="s">
        <v>307</v>
      </c>
      <c r="M235" s="588"/>
      <c r="N235" s="581"/>
    </row>
    <row r="236" spans="1:14" s="1" customFormat="1" ht="21" customHeight="1" thickBot="1" x14ac:dyDescent="0.4">
      <c r="A236" s="1207"/>
      <c r="B236" s="1209"/>
      <c r="C236" s="1211"/>
      <c r="D236" s="614"/>
      <c r="E236" s="7" t="s">
        <v>308</v>
      </c>
      <c r="F236" s="7" t="s">
        <v>309</v>
      </c>
      <c r="G236" s="7" t="s">
        <v>310</v>
      </c>
      <c r="H236" s="7" t="s">
        <v>311</v>
      </c>
      <c r="I236" s="7" t="s">
        <v>312</v>
      </c>
      <c r="J236" s="1209"/>
      <c r="K236" s="1214"/>
      <c r="L236" s="1223"/>
      <c r="M236" s="588"/>
      <c r="N236" s="581"/>
    </row>
    <row r="237" spans="1:14" ht="28.5" customHeight="1" x14ac:dyDescent="0.35">
      <c r="A237" s="596">
        <v>196</v>
      </c>
      <c r="B237" s="28" t="s">
        <v>548</v>
      </c>
      <c r="C237" s="10">
        <f t="shared" ref="C237:C242" si="23">SUM(E237:I237)</f>
        <v>12.69</v>
      </c>
      <c r="D237" s="10">
        <f>'[23]road inventory 2018'!C283</f>
        <v>12.700000000000001</v>
      </c>
      <c r="E237" s="10">
        <v>8.1999999999999993</v>
      </c>
      <c r="F237" s="10">
        <v>0</v>
      </c>
      <c r="G237" s="10">
        <v>0</v>
      </c>
      <c r="H237" s="10">
        <v>4.49</v>
      </c>
      <c r="I237" s="10">
        <v>0</v>
      </c>
      <c r="J237" s="103" t="s">
        <v>12</v>
      </c>
      <c r="K237" s="597" t="s">
        <v>549</v>
      </c>
      <c r="L237" s="112" t="s">
        <v>838</v>
      </c>
    </row>
    <row r="238" spans="1:14" s="16" customFormat="1" ht="18" customHeight="1" x14ac:dyDescent="0.35">
      <c r="A238" s="589">
        <v>197</v>
      </c>
      <c r="B238" s="24" t="s">
        <v>550</v>
      </c>
      <c r="C238" s="10">
        <f t="shared" si="23"/>
        <v>4.9400000000000004</v>
      </c>
      <c r="D238" s="590">
        <f>'[23]road inventory 2018'!C284</f>
        <v>6.6</v>
      </c>
      <c r="E238" s="15">
        <v>4.9400000000000004</v>
      </c>
      <c r="F238" s="15">
        <v>0</v>
      </c>
      <c r="G238" s="15">
        <v>0</v>
      </c>
      <c r="H238" s="15">
        <v>0</v>
      </c>
      <c r="I238" s="15">
        <v>0</v>
      </c>
      <c r="J238" s="106" t="s">
        <v>12</v>
      </c>
      <c r="K238" s="591" t="s">
        <v>551</v>
      </c>
      <c r="L238" s="24"/>
      <c r="M238" s="593"/>
      <c r="N238" s="598"/>
    </row>
    <row r="239" spans="1:14" s="16" customFormat="1" ht="18" customHeight="1" x14ac:dyDescent="0.35">
      <c r="A239" s="589">
        <v>200</v>
      </c>
      <c r="B239" s="24" t="s">
        <v>291</v>
      </c>
      <c r="C239" s="10">
        <f t="shared" si="23"/>
        <v>1.1000000000000001</v>
      </c>
      <c r="D239" s="590">
        <f>'[23]road inventory 2018'!C286</f>
        <v>1.1000000000000001</v>
      </c>
      <c r="E239" s="15">
        <v>1.1000000000000001</v>
      </c>
      <c r="F239" s="15">
        <v>0</v>
      </c>
      <c r="G239" s="15">
        <v>0</v>
      </c>
      <c r="H239" s="15">
        <v>0</v>
      </c>
      <c r="I239" s="15">
        <v>0</v>
      </c>
      <c r="J239" s="106" t="s">
        <v>10</v>
      </c>
      <c r="K239" s="591" t="s">
        <v>554</v>
      </c>
      <c r="L239" s="24"/>
      <c r="M239" s="593"/>
      <c r="N239" s="598"/>
    </row>
    <row r="240" spans="1:14" ht="18" customHeight="1" x14ac:dyDescent="0.35">
      <c r="A240" s="596">
        <v>201</v>
      </c>
      <c r="B240" s="28" t="s">
        <v>555</v>
      </c>
      <c r="C240" s="10">
        <f t="shared" si="23"/>
        <v>4.97</v>
      </c>
      <c r="D240" s="590">
        <f>'[23]road inventory 2018'!C287</f>
        <v>5.2</v>
      </c>
      <c r="E240" s="10">
        <v>4.97</v>
      </c>
      <c r="F240" s="10">
        <v>0</v>
      </c>
      <c r="G240" s="10">
        <v>0</v>
      </c>
      <c r="H240" s="10">
        <v>0</v>
      </c>
      <c r="I240" s="10">
        <v>0</v>
      </c>
      <c r="J240" s="103" t="s">
        <v>12</v>
      </c>
      <c r="K240" s="597" t="s">
        <v>556</v>
      </c>
      <c r="L240" s="28"/>
    </row>
    <row r="241" spans="1:14" s="667" customFormat="1" ht="31" x14ac:dyDescent="0.35">
      <c r="A241" s="618">
        <v>202</v>
      </c>
      <c r="B241" s="619" t="s">
        <v>557</v>
      </c>
      <c r="C241" s="620">
        <f t="shared" si="23"/>
        <v>5.3</v>
      </c>
      <c r="D241" s="620">
        <f>'[23]road inventory 2018'!C288</f>
        <v>5.3000000000000007</v>
      </c>
      <c r="E241" s="620">
        <v>2.4</v>
      </c>
      <c r="F241" s="620">
        <v>0</v>
      </c>
      <c r="G241" s="620">
        <v>0</v>
      </c>
      <c r="H241" s="620">
        <v>2.9</v>
      </c>
      <c r="I241" s="620">
        <v>0</v>
      </c>
      <c r="J241" s="621" t="s">
        <v>12</v>
      </c>
      <c r="K241" s="622" t="s">
        <v>556</v>
      </c>
      <c r="L241" s="619" t="str">
        <f>L237</f>
        <v>FOR VERIFICATION</v>
      </c>
      <c r="M241" s="623"/>
      <c r="N241" s="666"/>
    </row>
    <row r="242" spans="1:14" s="16" customFormat="1" ht="18" customHeight="1" x14ac:dyDescent="0.35">
      <c r="A242" s="589">
        <v>203</v>
      </c>
      <c r="B242" s="24" t="s">
        <v>558</v>
      </c>
      <c r="C242" s="10">
        <f t="shared" si="23"/>
        <v>4</v>
      </c>
      <c r="D242" s="590">
        <f>'[23]road inventory 2018'!C289</f>
        <v>3.8</v>
      </c>
      <c r="E242" s="15">
        <v>2.5499999999999998</v>
      </c>
      <c r="F242" s="15">
        <v>1.45</v>
      </c>
      <c r="G242" s="15">
        <v>0</v>
      </c>
      <c r="H242" s="15">
        <v>0</v>
      </c>
      <c r="I242" s="15">
        <v>0</v>
      </c>
      <c r="J242" s="106" t="s">
        <v>839</v>
      </c>
      <c r="K242" s="591" t="s">
        <v>559</v>
      </c>
      <c r="L242" s="24"/>
      <c r="M242" s="593"/>
      <c r="N242" s="598"/>
    </row>
    <row r="243" spans="1:14" ht="18" customHeight="1" x14ac:dyDescent="0.35">
      <c r="A243" s="596"/>
      <c r="B243" s="28"/>
      <c r="C243" s="10">
        <f t="shared" ref="C243:I243" si="24">SUM(C237:C242)</f>
        <v>33</v>
      </c>
      <c r="D243" s="10">
        <f t="shared" si="24"/>
        <v>34.700000000000003</v>
      </c>
      <c r="E243" s="10">
        <f t="shared" si="24"/>
        <v>24.16</v>
      </c>
      <c r="F243" s="10">
        <f t="shared" si="24"/>
        <v>1.45</v>
      </c>
      <c r="G243" s="10">
        <f t="shared" si="24"/>
        <v>0</v>
      </c>
      <c r="H243" s="10">
        <f t="shared" si="24"/>
        <v>7.3900000000000006</v>
      </c>
      <c r="I243" s="10">
        <f t="shared" si="24"/>
        <v>0</v>
      </c>
      <c r="J243" s="103"/>
      <c r="K243" s="597"/>
      <c r="L243" s="28"/>
    </row>
    <row r="244" spans="1:14" ht="18" customHeight="1" thickBot="1" x14ac:dyDescent="0.4">
      <c r="A244" s="53" t="s">
        <v>341</v>
      </c>
      <c r="B244" s="34"/>
      <c r="C244" s="31">
        <f>SUM(E244:I244)</f>
        <v>33</v>
      </c>
      <c r="D244" s="630"/>
      <c r="E244" s="31">
        <f>SUM(E237:E242)</f>
        <v>24.16</v>
      </c>
      <c r="F244" s="31">
        <f>SUM(F237:F242)</f>
        <v>1.45</v>
      </c>
      <c r="G244" s="31">
        <f>SUM(G237:G242)</f>
        <v>0</v>
      </c>
      <c r="H244" s="31">
        <f>SUM(H237:H242)</f>
        <v>7.3900000000000006</v>
      </c>
      <c r="I244" s="31">
        <f>SUM(I237:I242)</f>
        <v>0</v>
      </c>
      <c r="J244" s="608"/>
      <c r="K244" s="609"/>
      <c r="L244" s="653"/>
      <c r="M244" s="21"/>
      <c r="N244" s="685">
        <f>SUM(E244:I244)</f>
        <v>33</v>
      </c>
    </row>
    <row r="245" spans="1:14" x14ac:dyDescent="0.35">
      <c r="L245" s="28"/>
    </row>
    <row r="246" spans="1:14" s="1" customFormat="1" x14ac:dyDescent="0.35">
      <c r="A246" s="1203" t="s">
        <v>560</v>
      </c>
      <c r="B246" s="1204"/>
      <c r="C246" s="1204"/>
      <c r="D246" s="1204"/>
      <c r="E246" s="1204"/>
      <c r="F246" s="1204"/>
      <c r="G246" s="1204"/>
      <c r="H246" s="1204"/>
      <c r="I246" s="1204"/>
      <c r="J246" s="1204"/>
      <c r="K246" s="1204"/>
      <c r="L246" s="1205"/>
      <c r="M246" s="584"/>
      <c r="N246" s="581"/>
    </row>
    <row r="247" spans="1:14" s="1" customFormat="1" ht="16" thickBot="1" x14ac:dyDescent="0.4">
      <c r="A247" s="585"/>
      <c r="B247" s="2"/>
      <c r="C247" s="5"/>
      <c r="D247" s="586"/>
      <c r="E247" s="5"/>
      <c r="F247" s="5"/>
      <c r="G247" s="5"/>
      <c r="H247" s="5"/>
      <c r="I247" s="5"/>
      <c r="J247" s="3"/>
      <c r="K247" s="21"/>
      <c r="L247" s="653"/>
      <c r="M247" s="21"/>
      <c r="N247" s="581"/>
    </row>
    <row r="248" spans="1:14" s="1" customFormat="1" ht="21" customHeight="1" x14ac:dyDescent="0.35">
      <c r="A248" s="1206" t="s">
        <v>302</v>
      </c>
      <c r="B248" s="1208" t="s">
        <v>28</v>
      </c>
      <c r="C248" s="1210" t="s">
        <v>343</v>
      </c>
      <c r="D248" s="613"/>
      <c r="E248" s="1212" t="s">
        <v>305</v>
      </c>
      <c r="F248" s="1212"/>
      <c r="G248" s="1212"/>
      <c r="H248" s="1212"/>
      <c r="I248" s="1212"/>
      <c r="J248" s="1208" t="s">
        <v>29</v>
      </c>
      <c r="K248" s="1213" t="s">
        <v>306</v>
      </c>
      <c r="L248" s="1215" t="str">
        <f>L235</f>
        <v>REMARKS</v>
      </c>
      <c r="M248" s="588"/>
      <c r="N248" s="581"/>
    </row>
    <row r="249" spans="1:14" s="1" customFormat="1" ht="21" customHeight="1" thickBot="1" x14ac:dyDescent="0.4">
      <c r="A249" s="1207"/>
      <c r="B249" s="1209"/>
      <c r="C249" s="1211"/>
      <c r="D249" s="614"/>
      <c r="E249" s="7" t="s">
        <v>308</v>
      </c>
      <c r="F249" s="7" t="s">
        <v>309</v>
      </c>
      <c r="G249" s="7" t="s">
        <v>310</v>
      </c>
      <c r="H249" s="7" t="s">
        <v>311</v>
      </c>
      <c r="I249" s="7" t="s">
        <v>312</v>
      </c>
      <c r="J249" s="1209"/>
      <c r="K249" s="1214"/>
      <c r="L249" s="1216"/>
      <c r="M249" s="588"/>
      <c r="N249" s="581"/>
    </row>
    <row r="250" spans="1:14" s="16" customFormat="1" ht="18" customHeight="1" x14ac:dyDescent="0.35">
      <c r="A250" s="589">
        <v>205</v>
      </c>
      <c r="B250" s="24" t="s">
        <v>563</v>
      </c>
      <c r="C250" s="10">
        <f t="shared" ref="C250:C255" si="25">SUM(E250:I250)</f>
        <v>0.37</v>
      </c>
      <c r="D250" s="615">
        <f>'[23]road inventory 2018'!C299</f>
        <v>0.37</v>
      </c>
      <c r="E250" s="15">
        <v>0.37</v>
      </c>
      <c r="F250" s="15">
        <v>0</v>
      </c>
      <c r="G250" s="15">
        <v>0</v>
      </c>
      <c r="H250" s="15">
        <v>0</v>
      </c>
      <c r="I250" s="15">
        <v>0</v>
      </c>
      <c r="J250" s="106" t="s">
        <v>10</v>
      </c>
      <c r="K250" s="591" t="s">
        <v>564</v>
      </c>
      <c r="L250" s="24"/>
      <c r="M250" s="593"/>
      <c r="N250" s="598"/>
    </row>
    <row r="251" spans="1:14" s="16" customFormat="1" ht="31" x14ac:dyDescent="0.35">
      <c r="A251" s="589">
        <v>213</v>
      </c>
      <c r="B251" s="24" t="s">
        <v>293</v>
      </c>
      <c r="C251" s="10">
        <f t="shared" si="25"/>
        <v>2.8499999999999996</v>
      </c>
      <c r="D251" s="615">
        <f>'[23]road inventory 2018'!C300</f>
        <v>1.8599999999999999</v>
      </c>
      <c r="E251" s="15">
        <v>2.11</v>
      </c>
      <c r="F251" s="15">
        <v>0.74</v>
      </c>
      <c r="G251" s="15">
        <v>0</v>
      </c>
      <c r="H251" s="15">
        <v>0</v>
      </c>
      <c r="I251" s="15">
        <v>0</v>
      </c>
      <c r="J251" s="106" t="s">
        <v>10</v>
      </c>
      <c r="K251" s="591" t="s">
        <v>565</v>
      </c>
      <c r="L251" s="24"/>
      <c r="M251" s="593"/>
      <c r="N251" s="598"/>
    </row>
    <row r="252" spans="1:14" ht="18" customHeight="1" x14ac:dyDescent="0.35">
      <c r="A252" s="596">
        <v>206</v>
      </c>
      <c r="B252" s="28" t="s">
        <v>295</v>
      </c>
      <c r="C252" s="10">
        <f t="shared" si="25"/>
        <v>1.94</v>
      </c>
      <c r="D252" s="615">
        <f>'[23]road inventory 2018'!C301</f>
        <v>2</v>
      </c>
      <c r="E252" s="10">
        <v>1.94</v>
      </c>
      <c r="F252" s="10">
        <v>0</v>
      </c>
      <c r="G252" s="10">
        <v>0</v>
      </c>
      <c r="H252" s="10">
        <v>0</v>
      </c>
      <c r="I252" s="10">
        <v>0</v>
      </c>
      <c r="J252" s="103" t="s">
        <v>10</v>
      </c>
      <c r="K252" s="597" t="s">
        <v>566</v>
      </c>
      <c r="L252" s="28"/>
    </row>
    <row r="253" spans="1:14" ht="31" x14ac:dyDescent="0.35">
      <c r="A253" s="596">
        <v>207</v>
      </c>
      <c r="B253" s="28" t="s">
        <v>292</v>
      </c>
      <c r="C253" s="10">
        <f t="shared" si="25"/>
        <v>2.0099999999999998</v>
      </c>
      <c r="D253" s="615">
        <f>'[23]road inventory 2018'!C302</f>
        <v>3.38</v>
      </c>
      <c r="E253" s="10">
        <v>0</v>
      </c>
      <c r="F253" s="10">
        <v>0</v>
      </c>
      <c r="G253" s="10">
        <v>0</v>
      </c>
      <c r="H253" s="10">
        <v>0</v>
      </c>
      <c r="I253" s="10">
        <v>2.0099999999999998</v>
      </c>
      <c r="J253" s="103" t="s">
        <v>10</v>
      </c>
      <c r="K253" s="597" t="s">
        <v>567</v>
      </c>
      <c r="L253" s="28"/>
    </row>
    <row r="254" spans="1:14" ht="18" customHeight="1" x14ac:dyDescent="0.35">
      <c r="A254" s="596">
        <v>210</v>
      </c>
      <c r="B254" s="28" t="s">
        <v>575</v>
      </c>
      <c r="C254" s="10">
        <f t="shared" si="25"/>
        <v>0.8</v>
      </c>
      <c r="D254" s="10">
        <f>'[23]road inventory 2018'!C310</f>
        <v>0.8</v>
      </c>
      <c r="E254" s="10">
        <v>0.8</v>
      </c>
      <c r="F254" s="10">
        <v>0</v>
      </c>
      <c r="G254" s="10">
        <v>0</v>
      </c>
      <c r="H254" s="10">
        <v>0</v>
      </c>
      <c r="I254" s="10">
        <v>0</v>
      </c>
      <c r="J254" s="103" t="s">
        <v>12</v>
      </c>
      <c r="K254" s="597" t="s">
        <v>576</v>
      </c>
      <c r="L254" s="28" t="e">
        <f>#REF!</f>
        <v>#REF!</v>
      </c>
    </row>
    <row r="255" spans="1:14" ht="18" customHeight="1" x14ac:dyDescent="0.35">
      <c r="A255" s="596">
        <v>211</v>
      </c>
      <c r="B255" s="28" t="s">
        <v>577</v>
      </c>
      <c r="C255" s="10">
        <f t="shared" si="25"/>
        <v>0.85</v>
      </c>
      <c r="D255" s="10">
        <f>'[23]road inventory 2018'!C311</f>
        <v>0.7</v>
      </c>
      <c r="E255" s="10">
        <v>0.85</v>
      </c>
      <c r="F255" s="10">
        <v>0</v>
      </c>
      <c r="G255" s="10">
        <v>0</v>
      </c>
      <c r="H255" s="10">
        <v>0</v>
      </c>
      <c r="I255" s="10">
        <v>0</v>
      </c>
      <c r="J255" s="103" t="s">
        <v>10</v>
      </c>
      <c r="K255" s="597" t="s">
        <v>578</v>
      </c>
      <c r="L255" s="28"/>
    </row>
    <row r="256" spans="1:14" s="16" customFormat="1" ht="18" customHeight="1" x14ac:dyDescent="0.35">
      <c r="A256" s="626"/>
      <c r="B256" s="60"/>
      <c r="C256" s="61">
        <f t="shared" ref="C256:I256" si="26">SUM(C250:C255)</f>
        <v>8.82</v>
      </c>
      <c r="D256" s="61">
        <f t="shared" si="26"/>
        <v>9.11</v>
      </c>
      <c r="E256" s="61">
        <f t="shared" si="26"/>
        <v>6.0699999999999994</v>
      </c>
      <c r="F256" s="61">
        <f t="shared" si="26"/>
        <v>0.74</v>
      </c>
      <c r="G256" s="61">
        <f t="shared" si="26"/>
        <v>0</v>
      </c>
      <c r="H256" s="61">
        <f t="shared" si="26"/>
        <v>0</v>
      </c>
      <c r="I256" s="61">
        <f t="shared" si="26"/>
        <v>2.0099999999999998</v>
      </c>
      <c r="J256" s="628"/>
      <c r="K256" s="629"/>
      <c r="L256" s="24"/>
      <c r="M256" s="593"/>
      <c r="N256" s="598"/>
    </row>
    <row r="257" spans="1:14" ht="18" customHeight="1" thickBot="1" x14ac:dyDescent="0.4">
      <c r="A257" s="53" t="s">
        <v>341</v>
      </c>
      <c r="B257" s="34"/>
      <c r="C257" s="31">
        <f>SUM(E257:I257)</f>
        <v>8.82</v>
      </c>
      <c r="D257" s="630"/>
      <c r="E257" s="31">
        <f>SUM(E250:E255)</f>
        <v>6.0699999999999994</v>
      </c>
      <c r="F257" s="31">
        <f>SUM(F250:F255)</f>
        <v>0.74</v>
      </c>
      <c r="G257" s="31">
        <f>SUM(G250:G255)</f>
        <v>0</v>
      </c>
      <c r="H257" s="31">
        <f>SUM(H250:H255)</f>
        <v>0</v>
      </c>
      <c r="I257" s="31">
        <f>SUM(I250:I255)</f>
        <v>2.0099999999999998</v>
      </c>
      <c r="J257" s="608"/>
      <c r="K257" s="609"/>
      <c r="L257" s="653"/>
      <c r="M257" s="21"/>
      <c r="N257" s="685">
        <f>SUM(E257:I257)</f>
        <v>8.82</v>
      </c>
    </row>
    <row r="258" spans="1:14" ht="18" customHeight="1" x14ac:dyDescent="0.35">
      <c r="L258" s="28"/>
    </row>
    <row r="259" spans="1:14" s="1" customFormat="1" x14ac:dyDescent="0.35">
      <c r="A259" s="1203" t="s">
        <v>579</v>
      </c>
      <c r="B259" s="1204"/>
      <c r="C259" s="1204"/>
      <c r="D259" s="1204"/>
      <c r="E259" s="1204"/>
      <c r="F259" s="1204"/>
      <c r="G259" s="1204"/>
      <c r="H259" s="1204"/>
      <c r="I259" s="1204"/>
      <c r="J259" s="1204"/>
      <c r="K259" s="1204"/>
      <c r="L259" s="1205"/>
      <c r="M259" s="584"/>
      <c r="N259" s="581"/>
    </row>
    <row r="260" spans="1:14" s="1" customFormat="1" ht="16" thickBot="1" x14ac:dyDescent="0.4">
      <c r="A260" s="585"/>
      <c r="B260" s="2"/>
      <c r="C260" s="5"/>
      <c r="D260" s="586"/>
      <c r="E260" s="5"/>
      <c r="F260" s="5"/>
      <c r="G260" s="5"/>
      <c r="H260" s="5"/>
      <c r="I260" s="5"/>
      <c r="J260" s="3"/>
      <c r="K260" s="21"/>
      <c r="L260" s="653"/>
      <c r="M260" s="21"/>
      <c r="N260" s="581"/>
    </row>
    <row r="261" spans="1:14" s="1" customFormat="1" x14ac:dyDescent="0.35">
      <c r="A261" s="1206" t="s">
        <v>302</v>
      </c>
      <c r="B261" s="1208" t="s">
        <v>28</v>
      </c>
      <c r="C261" s="1210" t="s">
        <v>343</v>
      </c>
      <c r="D261" s="613"/>
      <c r="E261" s="1212" t="s">
        <v>305</v>
      </c>
      <c r="F261" s="1212"/>
      <c r="G261" s="1212"/>
      <c r="H261" s="1212"/>
      <c r="I261" s="1212"/>
      <c r="J261" s="1208" t="s">
        <v>29</v>
      </c>
      <c r="K261" s="1213" t="s">
        <v>306</v>
      </c>
      <c r="L261" s="1215" t="str">
        <f>L248</f>
        <v>REMARKS</v>
      </c>
      <c r="M261" s="588"/>
      <c r="N261" s="581"/>
    </row>
    <row r="262" spans="1:14" s="1" customFormat="1" ht="21" customHeight="1" thickBot="1" x14ac:dyDescent="0.4">
      <c r="A262" s="1207"/>
      <c r="B262" s="1209"/>
      <c r="C262" s="1211"/>
      <c r="D262" s="614"/>
      <c r="E262" s="7" t="s">
        <v>308</v>
      </c>
      <c r="F262" s="7" t="s">
        <v>309</v>
      </c>
      <c r="G262" s="7" t="s">
        <v>310</v>
      </c>
      <c r="H262" s="7" t="s">
        <v>311</v>
      </c>
      <c r="I262" s="7" t="s">
        <v>312</v>
      </c>
      <c r="J262" s="1209"/>
      <c r="K262" s="1214"/>
      <c r="L262" s="1216"/>
      <c r="M262" s="588"/>
      <c r="N262" s="581"/>
    </row>
    <row r="263" spans="1:14" ht="18" customHeight="1" x14ac:dyDescent="0.35">
      <c r="A263" s="596">
        <v>214</v>
      </c>
      <c r="B263" s="28" t="s">
        <v>580</v>
      </c>
      <c r="C263" s="10">
        <f>SUM(E263:I263)</f>
        <v>4.5</v>
      </c>
      <c r="D263" s="10">
        <f>'[23]road inventory 2018'!C318</f>
        <v>4.5</v>
      </c>
      <c r="E263" s="633">
        <v>0.7</v>
      </c>
      <c r="F263" s="633">
        <v>0</v>
      </c>
      <c r="G263" s="633">
        <v>0</v>
      </c>
      <c r="H263" s="10">
        <v>3.8</v>
      </c>
      <c r="I263" s="10">
        <v>0</v>
      </c>
      <c r="J263" s="103" t="s">
        <v>12</v>
      </c>
      <c r="K263" s="597" t="s">
        <v>581</v>
      </c>
      <c r="L263" s="28" t="e">
        <f>#REF!</f>
        <v>#REF!</v>
      </c>
    </row>
    <row r="264" spans="1:14" ht="18" customHeight="1" x14ac:dyDescent="0.35">
      <c r="A264" s="596">
        <v>212</v>
      </c>
      <c r="B264" s="28" t="s">
        <v>582</v>
      </c>
      <c r="C264" s="10">
        <f>SUM(E264:I264)</f>
        <v>2.75</v>
      </c>
      <c r="D264" s="10">
        <f>'[23]road inventory 2018'!C319</f>
        <v>2.75</v>
      </c>
      <c r="E264" s="633">
        <v>2.6</v>
      </c>
      <c r="F264" s="633">
        <v>0</v>
      </c>
      <c r="G264" s="633">
        <v>0</v>
      </c>
      <c r="H264" s="10">
        <v>0.15</v>
      </c>
      <c r="I264" s="10">
        <v>0</v>
      </c>
      <c r="J264" s="103" t="s">
        <v>12</v>
      </c>
      <c r="K264" s="597" t="s">
        <v>528</v>
      </c>
      <c r="L264" s="28" t="e">
        <f>L263</f>
        <v>#REF!</v>
      </c>
    </row>
    <row r="265" spans="1:14" s="16" customFormat="1" ht="18" customHeight="1" x14ac:dyDescent="0.35">
      <c r="A265" s="626"/>
      <c r="B265" s="60"/>
      <c r="C265" s="61">
        <f>SUM(C263:C264)</f>
        <v>7.25</v>
      </c>
      <c r="D265" s="61">
        <f t="shared" ref="D265:I265" si="27">SUM(D263:D264)</f>
        <v>7.25</v>
      </c>
      <c r="E265" s="61">
        <f t="shared" si="27"/>
        <v>3.3</v>
      </c>
      <c r="F265" s="61">
        <f t="shared" si="27"/>
        <v>0</v>
      </c>
      <c r="G265" s="61">
        <f t="shared" si="27"/>
        <v>0</v>
      </c>
      <c r="H265" s="61">
        <f t="shared" si="27"/>
        <v>3.9499999999999997</v>
      </c>
      <c r="I265" s="61">
        <f t="shared" si="27"/>
        <v>0</v>
      </c>
      <c r="J265" s="628"/>
      <c r="K265" s="629"/>
      <c r="L265" s="24"/>
      <c r="M265" s="593"/>
      <c r="N265" s="598"/>
    </row>
    <row r="266" spans="1:14" ht="18" customHeight="1" thickBot="1" x14ac:dyDescent="0.4">
      <c r="A266" s="53" t="s">
        <v>341</v>
      </c>
      <c r="B266" s="69"/>
      <c r="C266" s="31">
        <f>SUM(E266:I266)</f>
        <v>7.25</v>
      </c>
      <c r="D266" s="630"/>
      <c r="E266" s="31">
        <f>SUM(E263:E264)</f>
        <v>3.3</v>
      </c>
      <c r="F266" s="31">
        <f>SUM(F263:F264)</f>
        <v>0</v>
      </c>
      <c r="G266" s="31">
        <f>SUM(G263:G264)</f>
        <v>0</v>
      </c>
      <c r="H266" s="31">
        <f>SUM(H263:H264)</f>
        <v>3.9499999999999997</v>
      </c>
      <c r="I266" s="31">
        <f>SUM(I263:I264)</f>
        <v>0</v>
      </c>
      <c r="J266" s="608"/>
      <c r="K266" s="609"/>
      <c r="L266" s="653"/>
      <c r="M266" s="21"/>
    </row>
    <row r="267" spans="1:14" ht="18" customHeight="1" x14ac:dyDescent="0.35">
      <c r="L267" s="28"/>
    </row>
    <row r="268" spans="1:14" s="1" customFormat="1" x14ac:dyDescent="0.35">
      <c r="A268" s="1203" t="s">
        <v>583</v>
      </c>
      <c r="B268" s="1204"/>
      <c r="C268" s="1204"/>
      <c r="D268" s="1204"/>
      <c r="E268" s="1204"/>
      <c r="F268" s="1204"/>
      <c r="G268" s="1204"/>
      <c r="H268" s="1204"/>
      <c r="I268" s="1204"/>
      <c r="J268" s="1204"/>
      <c r="K268" s="1204"/>
      <c r="L268" s="1205"/>
      <c r="M268" s="584"/>
      <c r="N268" s="581"/>
    </row>
    <row r="269" spans="1:14" s="1" customFormat="1" ht="16" thickBot="1" x14ac:dyDescent="0.4">
      <c r="A269" s="585"/>
      <c r="B269" s="2"/>
      <c r="C269" s="5"/>
      <c r="D269" s="586"/>
      <c r="E269" s="5"/>
      <c r="F269" s="5"/>
      <c r="G269" s="5"/>
      <c r="H269" s="5"/>
      <c r="I269" s="5"/>
      <c r="J269" s="3"/>
      <c r="K269" s="21"/>
      <c r="L269" s="653"/>
      <c r="M269" s="21"/>
      <c r="N269" s="581"/>
    </row>
    <row r="270" spans="1:14" s="1" customFormat="1" x14ac:dyDescent="0.35">
      <c r="A270" s="1206" t="s">
        <v>302</v>
      </c>
      <c r="B270" s="1208" t="s">
        <v>28</v>
      </c>
      <c r="C270" s="1210" t="s">
        <v>343</v>
      </c>
      <c r="D270" s="613"/>
      <c r="E270" s="1212" t="s">
        <v>305</v>
      </c>
      <c r="F270" s="1212"/>
      <c r="G270" s="1212"/>
      <c r="H270" s="1212"/>
      <c r="I270" s="1212"/>
      <c r="J270" s="1208" t="s">
        <v>29</v>
      </c>
      <c r="K270" s="1213" t="s">
        <v>306</v>
      </c>
      <c r="L270" s="1215" t="str">
        <f>L261</f>
        <v>REMARKS</v>
      </c>
      <c r="M270" s="588"/>
      <c r="N270" s="581"/>
    </row>
    <row r="271" spans="1:14" s="1" customFormat="1" ht="21" customHeight="1" thickBot="1" x14ac:dyDescent="0.4">
      <c r="A271" s="1207"/>
      <c r="B271" s="1209"/>
      <c r="C271" s="1211"/>
      <c r="D271" s="614"/>
      <c r="E271" s="7" t="s">
        <v>308</v>
      </c>
      <c r="F271" s="7" t="s">
        <v>309</v>
      </c>
      <c r="G271" s="7" t="s">
        <v>310</v>
      </c>
      <c r="H271" s="7" t="s">
        <v>311</v>
      </c>
      <c r="I271" s="7" t="s">
        <v>312</v>
      </c>
      <c r="J271" s="1209"/>
      <c r="K271" s="1214"/>
      <c r="L271" s="1216"/>
      <c r="M271" s="588"/>
      <c r="N271" s="581"/>
    </row>
    <row r="272" spans="1:14" s="697" customFormat="1" ht="18" customHeight="1" x14ac:dyDescent="0.35">
      <c r="A272" s="689">
        <v>173</v>
      </c>
      <c r="B272" s="690" t="s">
        <v>584</v>
      </c>
      <c r="C272" s="691">
        <f>SUM(E272:I272)</f>
        <v>1.04</v>
      </c>
      <c r="D272" s="692">
        <f>'[23]road inventory 2018'!C326</f>
        <v>1.5</v>
      </c>
      <c r="E272" s="691">
        <v>1.04</v>
      </c>
      <c r="F272" s="691">
        <v>0</v>
      </c>
      <c r="G272" s="691">
        <v>0</v>
      </c>
      <c r="H272" s="691">
        <v>0</v>
      </c>
      <c r="I272" s="691">
        <v>0</v>
      </c>
      <c r="J272" s="693" t="s">
        <v>839</v>
      </c>
      <c r="K272" s="694"/>
      <c r="L272" s="690"/>
      <c r="M272" s="695"/>
      <c r="N272" s="696"/>
    </row>
    <row r="273" spans="1:19" s="697" customFormat="1" ht="18" customHeight="1" x14ac:dyDescent="0.35">
      <c r="A273" s="689">
        <v>175</v>
      </c>
      <c r="B273" s="690" t="s">
        <v>586</v>
      </c>
      <c r="C273" s="691">
        <f t="shared" ref="C273:C280" si="28">SUM(E273:I273)</f>
        <v>3.31</v>
      </c>
      <c r="D273" s="692">
        <f>'[23]road inventory 2018'!C328</f>
        <v>3.6</v>
      </c>
      <c r="E273" s="691">
        <v>3.31</v>
      </c>
      <c r="F273" s="691">
        <v>0</v>
      </c>
      <c r="G273" s="691">
        <v>0</v>
      </c>
      <c r="H273" s="691">
        <v>0</v>
      </c>
      <c r="I273" s="691">
        <v>0</v>
      </c>
      <c r="J273" s="690" t="s">
        <v>12</v>
      </c>
      <c r="K273" s="694"/>
      <c r="L273" s="690"/>
      <c r="M273" s="695"/>
      <c r="N273" s="696"/>
    </row>
    <row r="274" spans="1:19" s="697" customFormat="1" ht="18" customHeight="1" x14ac:dyDescent="0.35">
      <c r="A274" s="689">
        <v>176</v>
      </c>
      <c r="B274" s="690" t="s">
        <v>587</v>
      </c>
      <c r="C274" s="691">
        <f t="shared" si="28"/>
        <v>22.21</v>
      </c>
      <c r="D274" s="692">
        <f>'[23]road inventory 2018'!C329</f>
        <v>20.5</v>
      </c>
      <c r="E274" s="691">
        <v>5.21</v>
      </c>
      <c r="F274" s="691">
        <v>0</v>
      </c>
      <c r="G274" s="691">
        <v>0</v>
      </c>
      <c r="H274" s="691">
        <v>17</v>
      </c>
      <c r="I274" s="691">
        <v>0</v>
      </c>
      <c r="J274" s="690" t="s">
        <v>12</v>
      </c>
      <c r="K274" s="694"/>
      <c r="L274" s="690"/>
      <c r="M274" s="695"/>
      <c r="N274" s="696"/>
    </row>
    <row r="275" spans="1:19" s="697" customFormat="1" ht="18" customHeight="1" x14ac:dyDescent="0.35">
      <c r="A275" s="689">
        <v>177</v>
      </c>
      <c r="B275" s="690" t="s">
        <v>588</v>
      </c>
      <c r="C275" s="691">
        <f t="shared" si="28"/>
        <v>13.55</v>
      </c>
      <c r="D275" s="692">
        <f>'[23]road inventory 2018'!C330</f>
        <v>13.5</v>
      </c>
      <c r="E275" s="691">
        <v>13.55</v>
      </c>
      <c r="F275" s="691">
        <v>0</v>
      </c>
      <c r="G275" s="691">
        <v>0</v>
      </c>
      <c r="H275" s="691">
        <v>0</v>
      </c>
      <c r="I275" s="691">
        <v>0</v>
      </c>
      <c r="J275" s="693" t="s">
        <v>10</v>
      </c>
      <c r="K275" s="694"/>
      <c r="L275" s="690"/>
      <c r="M275" s="695"/>
      <c r="N275" s="696"/>
    </row>
    <row r="276" spans="1:19" s="697" customFormat="1" ht="18" customHeight="1" x14ac:dyDescent="0.35">
      <c r="A276" s="689">
        <v>172</v>
      </c>
      <c r="B276" s="690" t="s">
        <v>589</v>
      </c>
      <c r="C276" s="691">
        <f t="shared" si="28"/>
        <v>4.4399999999999995</v>
      </c>
      <c r="D276" s="692">
        <f>'[23]road inventory 2018'!C331</f>
        <v>5.7</v>
      </c>
      <c r="E276" s="691">
        <v>1.02</v>
      </c>
      <c r="F276" s="691">
        <v>0</v>
      </c>
      <c r="G276" s="691">
        <v>0</v>
      </c>
      <c r="H276" s="691">
        <v>0</v>
      </c>
      <c r="I276" s="691">
        <v>3.42</v>
      </c>
      <c r="J276" s="693" t="str">
        <f>J240</f>
        <v>Fair</v>
      </c>
      <c r="K276" s="694"/>
      <c r="L276" s="690"/>
      <c r="M276" s="695"/>
      <c r="N276" s="696"/>
      <c r="S276" s="698" t="e">
        <f>C310+#REF!+D290+D291+#REF!+#REF!+D277+#REF!+#REF!+D254+#REF!+#REF!+#REF!+#REF!+D241+D237</f>
        <v>#REF!</v>
      </c>
    </row>
    <row r="277" spans="1:19" ht="18" customHeight="1" x14ac:dyDescent="0.35">
      <c r="A277" s="596">
        <v>180</v>
      </c>
      <c r="B277" s="28" t="s">
        <v>591</v>
      </c>
      <c r="C277" s="691">
        <f t="shared" si="28"/>
        <v>2.42</v>
      </c>
      <c r="D277" s="10">
        <f>'[23]road inventory 2018'!C334</f>
        <v>2.42</v>
      </c>
      <c r="E277" s="10">
        <v>0</v>
      </c>
      <c r="F277" s="10">
        <v>0</v>
      </c>
      <c r="G277" s="10">
        <v>0</v>
      </c>
      <c r="H277" s="10">
        <v>2.42</v>
      </c>
      <c r="I277" s="10">
        <v>0</v>
      </c>
      <c r="J277" s="28" t="s">
        <v>12</v>
      </c>
      <c r="K277" s="597"/>
      <c r="L277" s="28" t="e">
        <f>#REF!</f>
        <v>#REF!</v>
      </c>
    </row>
    <row r="278" spans="1:19" ht="31" x14ac:dyDescent="0.35">
      <c r="A278" s="596">
        <v>181</v>
      </c>
      <c r="B278" s="28" t="s">
        <v>592</v>
      </c>
      <c r="C278" s="691">
        <f t="shared" si="28"/>
        <v>4.03</v>
      </c>
      <c r="D278" s="10">
        <f>'[23]road inventory 2018'!C335</f>
        <v>4.9000000000000004</v>
      </c>
      <c r="E278" s="10">
        <v>4.03</v>
      </c>
      <c r="F278" s="10">
        <v>0</v>
      </c>
      <c r="G278" s="10">
        <v>0</v>
      </c>
      <c r="H278" s="10">
        <v>0</v>
      </c>
      <c r="I278" s="10">
        <v>0</v>
      </c>
      <c r="J278" s="103" t="s">
        <v>10</v>
      </c>
      <c r="K278" s="597"/>
      <c r="L278" s="28"/>
    </row>
    <row r="279" spans="1:19" ht="31" x14ac:dyDescent="0.35">
      <c r="A279" s="596">
        <v>182</v>
      </c>
      <c r="B279" s="28" t="s">
        <v>593</v>
      </c>
      <c r="C279" s="691">
        <f t="shared" si="28"/>
        <v>16.57</v>
      </c>
      <c r="D279" s="10">
        <f>'[23]road inventory 2018'!C336</f>
        <v>16</v>
      </c>
      <c r="E279" s="10">
        <v>16.57</v>
      </c>
      <c r="F279" s="10">
        <v>0</v>
      </c>
      <c r="G279" s="10">
        <v>0</v>
      </c>
      <c r="H279" s="10">
        <v>0</v>
      </c>
      <c r="I279" s="10">
        <v>0</v>
      </c>
      <c r="J279" s="28" t="s">
        <v>10</v>
      </c>
      <c r="K279" s="597"/>
      <c r="L279" s="28"/>
    </row>
    <row r="280" spans="1:19" s="697" customFormat="1" ht="18" customHeight="1" x14ac:dyDescent="0.35">
      <c r="A280" s="689">
        <v>184</v>
      </c>
      <c r="B280" s="690" t="s">
        <v>595</v>
      </c>
      <c r="C280" s="691">
        <f t="shared" si="28"/>
        <v>12.03</v>
      </c>
      <c r="D280" s="692">
        <f>'[23]road inventory 2018'!C338</f>
        <v>12</v>
      </c>
      <c r="E280" s="691">
        <v>10.01</v>
      </c>
      <c r="F280" s="691">
        <v>0</v>
      </c>
      <c r="G280" s="691">
        <v>0</v>
      </c>
      <c r="H280" s="691">
        <v>2.02</v>
      </c>
      <c r="I280" s="691">
        <v>0</v>
      </c>
      <c r="J280" s="690" t="s">
        <v>10</v>
      </c>
      <c r="K280" s="694"/>
      <c r="L280" s="690"/>
      <c r="M280" s="695"/>
      <c r="N280" s="696"/>
    </row>
    <row r="281" spans="1:19" s="677" customFormat="1" ht="18" customHeight="1" x14ac:dyDescent="0.35">
      <c r="A281" s="699"/>
      <c r="B281" s="108"/>
      <c r="C281" s="700">
        <f t="shared" ref="C281:I281" si="29">SUM(C272:C280)</f>
        <v>79.599999999999994</v>
      </c>
      <c r="D281" s="700">
        <f t="shared" si="29"/>
        <v>80.12</v>
      </c>
      <c r="E281" s="700">
        <f t="shared" si="29"/>
        <v>54.74</v>
      </c>
      <c r="F281" s="700">
        <f t="shared" si="29"/>
        <v>0</v>
      </c>
      <c r="G281" s="700">
        <f t="shared" si="29"/>
        <v>0</v>
      </c>
      <c r="H281" s="700">
        <f t="shared" si="29"/>
        <v>21.44</v>
      </c>
      <c r="I281" s="700">
        <f t="shared" si="29"/>
        <v>3.42</v>
      </c>
      <c r="J281" s="108"/>
      <c r="K281" s="701"/>
      <c r="L281" s="107"/>
      <c r="M281" s="675"/>
      <c r="N281" s="676"/>
    </row>
    <row r="282" spans="1:19" ht="18" customHeight="1" thickBot="1" x14ac:dyDescent="0.4">
      <c r="A282" s="53" t="s">
        <v>341</v>
      </c>
      <c r="B282" s="34"/>
      <c r="C282" s="31">
        <f>SUM(E282:I282)</f>
        <v>79.600000000000009</v>
      </c>
      <c r="D282" s="630"/>
      <c r="E282" s="31">
        <f>SUM(E272:E280)</f>
        <v>54.74</v>
      </c>
      <c r="F282" s="31">
        <f>SUM(F272:F280)</f>
        <v>0</v>
      </c>
      <c r="G282" s="31">
        <f>SUM(G272:G280)</f>
        <v>0</v>
      </c>
      <c r="H282" s="31">
        <f>SUM(H272:H280)</f>
        <v>21.44</v>
      </c>
      <c r="I282" s="31">
        <f>SUM(I272:I280)</f>
        <v>3.42</v>
      </c>
      <c r="J282" s="608"/>
      <c r="K282" s="609"/>
      <c r="L282" s="653"/>
      <c r="M282" s="21"/>
      <c r="N282" s="685">
        <f>SUM(E282:I282)</f>
        <v>79.600000000000009</v>
      </c>
    </row>
    <row r="283" spans="1:19" ht="18" customHeight="1" x14ac:dyDescent="0.35">
      <c r="L283" s="28"/>
    </row>
    <row r="284" spans="1:19" s="1" customFormat="1" x14ac:dyDescent="0.35">
      <c r="A284" s="1203" t="s">
        <v>596</v>
      </c>
      <c r="B284" s="1204"/>
      <c r="C284" s="1204"/>
      <c r="D284" s="1204"/>
      <c r="E284" s="1204"/>
      <c r="F284" s="1204"/>
      <c r="G284" s="1204"/>
      <c r="H284" s="1204"/>
      <c r="I284" s="1204"/>
      <c r="J284" s="1204"/>
      <c r="K284" s="1204"/>
      <c r="L284" s="1205"/>
      <c r="M284" s="584"/>
      <c r="N284" s="581"/>
    </row>
    <row r="285" spans="1:19" s="1" customFormat="1" ht="16" thickBot="1" x14ac:dyDescent="0.4">
      <c r="A285" s="585"/>
      <c r="B285" s="2"/>
      <c r="C285" s="5"/>
      <c r="D285" s="586"/>
      <c r="E285" s="5"/>
      <c r="F285" s="5"/>
      <c r="G285" s="5"/>
      <c r="H285" s="5"/>
      <c r="I285" s="5"/>
      <c r="J285" s="3"/>
      <c r="K285" s="21"/>
      <c r="L285" s="653"/>
      <c r="M285" s="21"/>
      <c r="N285" s="581"/>
    </row>
    <row r="286" spans="1:19" s="1" customFormat="1" x14ac:dyDescent="0.35">
      <c r="A286" s="1206" t="s">
        <v>302</v>
      </c>
      <c r="B286" s="1208" t="s">
        <v>28</v>
      </c>
      <c r="C286" s="1210" t="s">
        <v>343</v>
      </c>
      <c r="D286" s="613"/>
      <c r="E286" s="1212" t="s">
        <v>305</v>
      </c>
      <c r="F286" s="1212"/>
      <c r="G286" s="1212"/>
      <c r="H286" s="1212"/>
      <c r="I286" s="1212"/>
      <c r="J286" s="1208" t="s">
        <v>29</v>
      </c>
      <c r="K286" s="1213" t="s">
        <v>306</v>
      </c>
      <c r="L286" s="1215" t="str">
        <f>L270</f>
        <v>REMARKS</v>
      </c>
      <c r="M286" s="588"/>
      <c r="N286" s="581"/>
    </row>
    <row r="287" spans="1:19" s="1" customFormat="1" ht="21" customHeight="1" thickBot="1" x14ac:dyDescent="0.4">
      <c r="A287" s="1207"/>
      <c r="B287" s="1209"/>
      <c r="C287" s="1211"/>
      <c r="D287" s="614"/>
      <c r="E287" s="7" t="s">
        <v>308</v>
      </c>
      <c r="F287" s="7" t="s">
        <v>309</v>
      </c>
      <c r="G287" s="7" t="s">
        <v>310</v>
      </c>
      <c r="H287" s="7" t="s">
        <v>311</v>
      </c>
      <c r="I287" s="7" t="s">
        <v>312</v>
      </c>
      <c r="J287" s="1209"/>
      <c r="K287" s="1214"/>
      <c r="L287" s="1216"/>
      <c r="M287" s="588"/>
      <c r="N287" s="581"/>
    </row>
    <row r="288" spans="1:19" s="16" customFormat="1" ht="18" customHeight="1" x14ac:dyDescent="0.35">
      <c r="A288" s="589">
        <v>189</v>
      </c>
      <c r="B288" s="24" t="s">
        <v>599</v>
      </c>
      <c r="C288" s="15">
        <f>SUM(E288:I288)</f>
        <v>0.998</v>
      </c>
      <c r="D288" s="702">
        <f>'[23]road inventory 2018'!C347</f>
        <v>0.74199999999999999</v>
      </c>
      <c r="E288" s="15">
        <v>0.998</v>
      </c>
      <c r="F288" s="15">
        <v>0</v>
      </c>
      <c r="G288" s="15">
        <v>0</v>
      </c>
      <c r="H288" s="15">
        <v>0</v>
      </c>
      <c r="I288" s="15">
        <v>0</v>
      </c>
      <c r="J288" s="24" t="s">
        <v>12</v>
      </c>
      <c r="K288" s="591"/>
      <c r="L288" s="24"/>
      <c r="M288" s="593"/>
      <c r="N288" s="598"/>
    </row>
    <row r="289" spans="1:14" s="677" customFormat="1" ht="31" x14ac:dyDescent="0.35">
      <c r="A289" s="669">
        <v>185</v>
      </c>
      <c r="B289" s="107" t="s">
        <v>840</v>
      </c>
      <c r="C289" s="15">
        <f>SUM(E289:I289)</f>
        <v>12.03</v>
      </c>
      <c r="D289" s="702">
        <f>'[23]road inventory 2018'!C348</f>
        <v>10.9</v>
      </c>
      <c r="E289" s="670">
        <v>10.01</v>
      </c>
      <c r="F289" s="670">
        <v>0</v>
      </c>
      <c r="G289" s="670">
        <v>0</v>
      </c>
      <c r="H289" s="670">
        <v>2.02</v>
      </c>
      <c r="I289" s="670">
        <v>0</v>
      </c>
      <c r="J289" s="107" t="s">
        <v>10</v>
      </c>
      <c r="K289" s="674"/>
      <c r="L289" s="107"/>
      <c r="M289" s="675"/>
      <c r="N289" s="676"/>
    </row>
    <row r="290" spans="1:14" ht="18" customHeight="1" x14ac:dyDescent="0.35">
      <c r="A290" s="596">
        <v>190</v>
      </c>
      <c r="B290" s="28" t="s">
        <v>602</v>
      </c>
      <c r="C290" s="15">
        <f>SUM(E290:I290)</f>
        <v>17.5</v>
      </c>
      <c r="D290" s="103">
        <f>'[23]road inventory 2018'!C350</f>
        <v>17.5</v>
      </c>
      <c r="E290" s="10">
        <v>0</v>
      </c>
      <c r="F290" s="10">
        <v>0</v>
      </c>
      <c r="G290" s="10">
        <v>0</v>
      </c>
      <c r="H290" s="10">
        <v>17.5</v>
      </c>
      <c r="I290" s="10">
        <v>0</v>
      </c>
      <c r="J290" s="28" t="s">
        <v>12</v>
      </c>
      <c r="K290" s="597"/>
      <c r="L290" s="28" t="e">
        <f>#REF!</f>
        <v>#REF!</v>
      </c>
    </row>
    <row r="291" spans="1:14" ht="18" customHeight="1" x14ac:dyDescent="0.35">
      <c r="A291" s="596">
        <v>191</v>
      </c>
      <c r="B291" s="28" t="s">
        <v>603</v>
      </c>
      <c r="C291" s="15">
        <f>SUM(E291:I291)</f>
        <v>3.5</v>
      </c>
      <c r="D291" s="103">
        <f>'[23]road inventory 2018'!C351</f>
        <v>3.5</v>
      </c>
      <c r="E291" s="10">
        <v>0</v>
      </c>
      <c r="F291" s="10">
        <v>0</v>
      </c>
      <c r="G291" s="10">
        <v>0</v>
      </c>
      <c r="H291" s="10">
        <v>3.5</v>
      </c>
      <c r="I291" s="10">
        <v>0</v>
      </c>
      <c r="J291" s="28" t="s">
        <v>12</v>
      </c>
      <c r="K291" s="597"/>
      <c r="L291" s="28" t="e">
        <f>L290</f>
        <v>#REF!</v>
      </c>
    </row>
    <row r="292" spans="1:14" ht="18" customHeight="1" x14ac:dyDescent="0.35">
      <c r="A292" s="635"/>
      <c r="B292" s="40"/>
      <c r="C292" s="703">
        <f t="shared" ref="C292:I292" si="30">SUM(C288:C291)</f>
        <v>34.027999999999999</v>
      </c>
      <c r="D292" s="703">
        <f t="shared" si="30"/>
        <v>32.641999999999996</v>
      </c>
      <c r="E292" s="703">
        <f t="shared" si="30"/>
        <v>11.007999999999999</v>
      </c>
      <c r="F292" s="703">
        <f t="shared" si="30"/>
        <v>0</v>
      </c>
      <c r="G292" s="703">
        <f t="shared" si="30"/>
        <v>0</v>
      </c>
      <c r="H292" s="703">
        <f t="shared" si="30"/>
        <v>23.02</v>
      </c>
      <c r="I292" s="703">
        <f t="shared" si="30"/>
        <v>0</v>
      </c>
      <c r="J292" s="40"/>
      <c r="K292" s="605"/>
      <c r="L292" s="28"/>
    </row>
    <row r="293" spans="1:14" ht="18" customHeight="1" thickBot="1" x14ac:dyDescent="0.4">
      <c r="A293" s="53" t="s">
        <v>341</v>
      </c>
      <c r="B293" s="34"/>
      <c r="C293" s="31">
        <f>SUM(E293:I293)</f>
        <v>34.027999999999999</v>
      </c>
      <c r="D293" s="630">
        <f t="shared" ref="D293:I293" si="31">SUM(D288:D291)</f>
        <v>32.641999999999996</v>
      </c>
      <c r="E293" s="31">
        <f t="shared" si="31"/>
        <v>11.007999999999999</v>
      </c>
      <c r="F293" s="31">
        <f t="shared" si="31"/>
        <v>0</v>
      </c>
      <c r="G293" s="31">
        <f t="shared" si="31"/>
        <v>0</v>
      </c>
      <c r="H293" s="31">
        <f t="shared" si="31"/>
        <v>23.02</v>
      </c>
      <c r="I293" s="31">
        <f t="shared" si="31"/>
        <v>0</v>
      </c>
      <c r="J293" s="608"/>
      <c r="K293" s="609"/>
      <c r="L293" s="653"/>
      <c r="M293" s="21"/>
      <c r="N293" s="685">
        <f>SUM(E293:I293)</f>
        <v>34.027999999999999</v>
      </c>
    </row>
    <row r="294" spans="1:14" ht="18" customHeight="1" x14ac:dyDescent="0.35">
      <c r="L294" s="28"/>
    </row>
    <row r="295" spans="1:14" s="1" customFormat="1" x14ac:dyDescent="0.35">
      <c r="A295" s="1203" t="s">
        <v>605</v>
      </c>
      <c r="B295" s="1204"/>
      <c r="C295" s="1204"/>
      <c r="D295" s="1204"/>
      <c r="E295" s="1204"/>
      <c r="F295" s="1204"/>
      <c r="G295" s="1204"/>
      <c r="H295" s="1204"/>
      <c r="I295" s="1204"/>
      <c r="J295" s="1204"/>
      <c r="K295" s="1204"/>
      <c r="L295" s="1205"/>
      <c r="M295" s="584"/>
      <c r="N295" s="581"/>
    </row>
    <row r="296" spans="1:14" s="1" customFormat="1" ht="16" thickBot="1" x14ac:dyDescent="0.4">
      <c r="A296" s="585"/>
      <c r="B296" s="2"/>
      <c r="C296" s="5"/>
      <c r="D296" s="586"/>
      <c r="E296" s="5"/>
      <c r="F296" s="5"/>
      <c r="G296" s="5"/>
      <c r="H296" s="5"/>
      <c r="I296" s="5"/>
      <c r="J296" s="3"/>
      <c r="K296" s="21"/>
      <c r="L296" s="653"/>
      <c r="M296" s="21"/>
      <c r="N296" s="581"/>
    </row>
    <row r="297" spans="1:14" s="1" customFormat="1" x14ac:dyDescent="0.35">
      <c r="A297" s="1206" t="s">
        <v>302</v>
      </c>
      <c r="B297" s="1208" t="s">
        <v>28</v>
      </c>
      <c r="C297" s="1210" t="s">
        <v>343</v>
      </c>
      <c r="D297" s="613"/>
      <c r="E297" s="1212" t="s">
        <v>305</v>
      </c>
      <c r="F297" s="1212"/>
      <c r="G297" s="1212"/>
      <c r="H297" s="1212"/>
      <c r="I297" s="1212"/>
      <c r="J297" s="1208" t="s">
        <v>29</v>
      </c>
      <c r="K297" s="1213" t="s">
        <v>306</v>
      </c>
      <c r="L297" s="1215" t="str">
        <f>L286</f>
        <v>REMARKS</v>
      </c>
      <c r="M297" s="588"/>
      <c r="N297" s="581"/>
    </row>
    <row r="298" spans="1:14" s="1" customFormat="1" ht="21" customHeight="1" thickBot="1" x14ac:dyDescent="0.4">
      <c r="A298" s="1207"/>
      <c r="B298" s="1209"/>
      <c r="C298" s="1211"/>
      <c r="D298" s="614"/>
      <c r="E298" s="7" t="s">
        <v>308</v>
      </c>
      <c r="F298" s="7" t="s">
        <v>309</v>
      </c>
      <c r="G298" s="7" t="s">
        <v>310</v>
      </c>
      <c r="H298" s="7" t="s">
        <v>311</v>
      </c>
      <c r="I298" s="7" t="s">
        <v>312</v>
      </c>
      <c r="J298" s="1209"/>
      <c r="K298" s="1214"/>
      <c r="L298" s="1216"/>
      <c r="M298" s="588"/>
      <c r="N298" s="581"/>
    </row>
    <row r="299" spans="1:14" s="667" customFormat="1" x14ac:dyDescent="0.35">
      <c r="A299" s="618">
        <v>192</v>
      </c>
      <c r="B299" s="619" t="s">
        <v>606</v>
      </c>
      <c r="C299" s="704">
        <f>SUM(E299:I299)</f>
        <v>13.02</v>
      </c>
      <c r="D299" s="705">
        <f>'[23]road inventory 2018'!C359</f>
        <v>17</v>
      </c>
      <c r="E299" s="620">
        <v>10.754</v>
      </c>
      <c r="F299" s="620">
        <v>0</v>
      </c>
      <c r="G299" s="620">
        <v>0</v>
      </c>
      <c r="H299" s="620">
        <v>2.266</v>
      </c>
      <c r="I299" s="620">
        <v>0</v>
      </c>
      <c r="J299" s="619" t="s">
        <v>12</v>
      </c>
      <c r="K299" s="622"/>
      <c r="L299" s="619"/>
      <c r="M299" s="623"/>
      <c r="N299" s="666"/>
    </row>
    <row r="300" spans="1:14" s="16" customFormat="1" ht="31" x14ac:dyDescent="0.35">
      <c r="A300" s="589">
        <v>193</v>
      </c>
      <c r="B300" s="24" t="s">
        <v>607</v>
      </c>
      <c r="C300" s="73">
        <f>SUM(E300:I300)</f>
        <v>1.53</v>
      </c>
      <c r="D300" s="706">
        <f>'[23]road inventory 2018'!C360</f>
        <v>1.8</v>
      </c>
      <c r="E300" s="15">
        <v>1.53</v>
      </c>
      <c r="F300" s="15">
        <v>0</v>
      </c>
      <c r="G300" s="15">
        <v>0</v>
      </c>
      <c r="H300" s="15">
        <v>0</v>
      </c>
      <c r="I300" s="15">
        <v>0</v>
      </c>
      <c r="J300" s="24" t="s">
        <v>12</v>
      </c>
      <c r="K300" s="591"/>
      <c r="L300" s="24"/>
      <c r="M300" s="593"/>
      <c r="N300" s="598"/>
    </row>
    <row r="301" spans="1:14" s="16" customFormat="1" ht="31.5" thickBot="1" x14ac:dyDescent="0.4">
      <c r="A301" s="649">
        <v>194</v>
      </c>
      <c r="B301" s="64" t="s">
        <v>608</v>
      </c>
      <c r="C301" s="73">
        <f>SUM(E301:I301)</f>
        <v>5.12</v>
      </c>
      <c r="D301" s="707">
        <f>'[23]road inventory 2018'!C361</f>
        <v>5.3</v>
      </c>
      <c r="E301" s="65">
        <v>4.12</v>
      </c>
      <c r="F301" s="65">
        <v>0</v>
      </c>
      <c r="G301" s="65">
        <v>0</v>
      </c>
      <c r="H301" s="65">
        <v>1</v>
      </c>
      <c r="I301" s="65">
        <v>0</v>
      </c>
      <c r="J301" s="64" t="s">
        <v>12</v>
      </c>
      <c r="K301" s="652"/>
      <c r="L301" s="24"/>
      <c r="M301" s="593"/>
      <c r="N301" s="598"/>
    </row>
    <row r="302" spans="1:14" s="16" customFormat="1" ht="31" x14ac:dyDescent="0.35">
      <c r="A302" s="589">
        <v>195</v>
      </c>
      <c r="B302" s="24" t="s">
        <v>609</v>
      </c>
      <c r="C302" s="73">
        <f>SUM(E302:I302)</f>
        <v>5.01</v>
      </c>
      <c r="D302" s="706">
        <f>'[23]road inventory 2018'!C365</f>
        <v>3.9000000000000004</v>
      </c>
      <c r="E302" s="15">
        <v>1.06</v>
      </c>
      <c r="F302" s="15">
        <v>0</v>
      </c>
      <c r="G302" s="15">
        <v>0</v>
      </c>
      <c r="H302" s="15">
        <v>3.95</v>
      </c>
      <c r="I302" s="15">
        <v>0</v>
      </c>
      <c r="J302" s="24" t="s">
        <v>12</v>
      </c>
      <c r="K302" s="591"/>
      <c r="L302" s="24"/>
      <c r="M302" s="593"/>
      <c r="N302" s="598"/>
    </row>
    <row r="303" spans="1:14" s="16" customFormat="1" x14ac:dyDescent="0.35">
      <c r="A303" s="626"/>
      <c r="B303" s="60"/>
      <c r="C303" s="75">
        <f t="shared" ref="C303:I303" si="32">SUM(C299:C302)</f>
        <v>24.68</v>
      </c>
      <c r="D303" s="75">
        <f t="shared" si="32"/>
        <v>28</v>
      </c>
      <c r="E303" s="75">
        <f t="shared" si="32"/>
        <v>17.463999999999999</v>
      </c>
      <c r="F303" s="75">
        <f t="shared" si="32"/>
        <v>0</v>
      </c>
      <c r="G303" s="75">
        <f t="shared" si="32"/>
        <v>0</v>
      </c>
      <c r="H303" s="75">
        <f t="shared" si="32"/>
        <v>7.2160000000000002</v>
      </c>
      <c r="I303" s="75">
        <f t="shared" si="32"/>
        <v>0</v>
      </c>
      <c r="J303" s="60"/>
      <c r="K303" s="629"/>
      <c r="L303" s="24"/>
      <c r="M303" s="593"/>
      <c r="N303" s="598"/>
    </row>
    <row r="304" spans="1:14" ht="18" customHeight="1" thickBot="1" x14ac:dyDescent="0.4">
      <c r="A304" s="53" t="s">
        <v>341</v>
      </c>
      <c r="B304" s="34"/>
      <c r="C304" s="31">
        <f>SUM(E304:I304)</f>
        <v>24.68</v>
      </c>
      <c r="D304" s="630">
        <f t="shared" ref="D304:I304" si="33">SUM(D299:D302)</f>
        <v>28</v>
      </c>
      <c r="E304" s="31">
        <f t="shared" si="33"/>
        <v>17.463999999999999</v>
      </c>
      <c r="F304" s="31">
        <f t="shared" si="33"/>
        <v>0</v>
      </c>
      <c r="G304" s="31">
        <f t="shared" si="33"/>
        <v>0</v>
      </c>
      <c r="H304" s="31">
        <f t="shared" si="33"/>
        <v>7.2160000000000002</v>
      </c>
      <c r="I304" s="31">
        <f t="shared" si="33"/>
        <v>0</v>
      </c>
      <c r="J304" s="608"/>
      <c r="K304" s="609"/>
      <c r="L304" s="653"/>
      <c r="M304" s="21"/>
    </row>
    <row r="305" spans="1:14" ht="18" customHeight="1" x14ac:dyDescent="0.35">
      <c r="A305" s="544"/>
      <c r="B305" s="35"/>
      <c r="C305" s="22"/>
      <c r="D305" s="610"/>
      <c r="E305" s="22"/>
      <c r="F305" s="22"/>
      <c r="G305" s="22"/>
      <c r="H305" s="22"/>
      <c r="I305" s="22"/>
      <c r="J305" s="1"/>
      <c r="K305" s="21"/>
      <c r="L305" s="653"/>
      <c r="M305" s="21"/>
      <c r="N305" s="685">
        <f>SUM(E304:I304)</f>
        <v>24.68</v>
      </c>
    </row>
    <row r="306" spans="1:14" s="1" customFormat="1" x14ac:dyDescent="0.35">
      <c r="A306" s="1203" t="s">
        <v>610</v>
      </c>
      <c r="B306" s="1204"/>
      <c r="C306" s="1204"/>
      <c r="D306" s="1204"/>
      <c r="E306" s="1204"/>
      <c r="F306" s="1204"/>
      <c r="G306" s="1204"/>
      <c r="H306" s="1204"/>
      <c r="I306" s="1204"/>
      <c r="J306" s="1204"/>
      <c r="K306" s="1204"/>
      <c r="L306" s="1205"/>
      <c r="M306" s="584"/>
      <c r="N306" s="581"/>
    </row>
    <row r="307" spans="1:14" s="1" customFormat="1" ht="16" thickBot="1" x14ac:dyDescent="0.4">
      <c r="A307" s="585"/>
      <c r="B307" s="2"/>
      <c r="C307" s="5"/>
      <c r="D307" s="586"/>
      <c r="E307" s="5"/>
      <c r="F307" s="5"/>
      <c r="G307" s="5"/>
      <c r="H307" s="5"/>
      <c r="I307" s="5"/>
      <c r="J307" s="3"/>
      <c r="K307" s="21"/>
      <c r="L307" s="653"/>
      <c r="M307" s="21"/>
      <c r="N307" s="581"/>
    </row>
    <row r="308" spans="1:14" s="1" customFormat="1" x14ac:dyDescent="0.35">
      <c r="A308" s="1206" t="s">
        <v>302</v>
      </c>
      <c r="B308" s="1208" t="s">
        <v>28</v>
      </c>
      <c r="C308" s="1210" t="s">
        <v>343</v>
      </c>
      <c r="D308" s="613"/>
      <c r="E308" s="1212" t="s">
        <v>305</v>
      </c>
      <c r="F308" s="1212"/>
      <c r="G308" s="1212"/>
      <c r="H308" s="1212"/>
      <c r="I308" s="1212"/>
      <c r="J308" s="1208" t="s">
        <v>29</v>
      </c>
      <c r="K308" s="1213" t="s">
        <v>306</v>
      </c>
      <c r="L308" s="1215" t="str">
        <f>L297</f>
        <v>REMARKS</v>
      </c>
      <c r="M308" s="588"/>
      <c r="N308" s="581"/>
    </row>
    <row r="309" spans="1:14" s="1" customFormat="1" ht="21" customHeight="1" thickBot="1" x14ac:dyDescent="0.4">
      <c r="A309" s="1207"/>
      <c r="B309" s="1209"/>
      <c r="C309" s="1211"/>
      <c r="D309" s="614"/>
      <c r="E309" s="7" t="s">
        <v>308</v>
      </c>
      <c r="F309" s="7" t="s">
        <v>309</v>
      </c>
      <c r="G309" s="7" t="s">
        <v>310</v>
      </c>
      <c r="H309" s="7" t="s">
        <v>311</v>
      </c>
      <c r="I309" s="7" t="s">
        <v>312</v>
      </c>
      <c r="J309" s="1209"/>
      <c r="K309" s="1214"/>
      <c r="L309" s="1216"/>
      <c r="M309" s="588"/>
      <c r="N309" s="581"/>
    </row>
    <row r="310" spans="1:14" ht="18" customHeight="1" x14ac:dyDescent="0.35">
      <c r="A310" s="596">
        <v>171</v>
      </c>
      <c r="B310" s="28" t="s">
        <v>611</v>
      </c>
      <c r="C310" s="10">
        <f>SUM(E310:H310)</f>
        <v>8.7409999999999997</v>
      </c>
      <c r="D310" s="10"/>
      <c r="E310" s="10">
        <v>1.18</v>
      </c>
      <c r="F310" s="10">
        <v>0</v>
      </c>
      <c r="G310" s="10">
        <v>0</v>
      </c>
      <c r="H310" s="10">
        <v>7.5609999999999999</v>
      </c>
      <c r="I310" s="10">
        <v>0</v>
      </c>
      <c r="J310" s="103" t="s">
        <v>12</v>
      </c>
      <c r="K310" s="597"/>
      <c r="L310" s="28" t="e">
        <f>#REF!</f>
        <v>#REF!</v>
      </c>
    </row>
    <row r="311" spans="1:14" ht="18" customHeight="1" x14ac:dyDescent="0.35">
      <c r="A311" s="596"/>
      <c r="B311" s="28"/>
      <c r="C311" s="10"/>
      <c r="D311" s="615"/>
      <c r="E311" s="10"/>
      <c r="F311" s="10"/>
      <c r="G311" s="10"/>
      <c r="H311" s="10"/>
      <c r="I311" s="10"/>
      <c r="J311" s="102"/>
      <c r="K311" s="659"/>
      <c r="L311" s="653"/>
      <c r="M311" s="21"/>
    </row>
    <row r="312" spans="1:14" x14ac:dyDescent="0.35">
      <c r="A312" s="658" t="s">
        <v>341</v>
      </c>
      <c r="B312" s="81"/>
      <c r="C312" s="82">
        <f t="shared" ref="C312:I312" si="34">+C310</f>
        <v>8.7409999999999997</v>
      </c>
      <c r="D312" s="708"/>
      <c r="E312" s="82">
        <f t="shared" si="34"/>
        <v>1.18</v>
      </c>
      <c r="F312" s="82">
        <f t="shared" si="34"/>
        <v>0</v>
      </c>
      <c r="G312" s="82">
        <f t="shared" si="34"/>
        <v>0</v>
      </c>
      <c r="H312" s="82">
        <f t="shared" si="34"/>
        <v>7.5609999999999999</v>
      </c>
      <c r="I312" s="82">
        <f t="shared" si="34"/>
        <v>0</v>
      </c>
      <c r="J312" s="102"/>
      <c r="K312" s="659"/>
      <c r="L312" s="653"/>
      <c r="M312" s="21"/>
    </row>
    <row r="313" spans="1:14" ht="18" customHeight="1" x14ac:dyDescent="0.35">
      <c r="A313" s="596"/>
      <c r="B313" s="84"/>
      <c r="C313" s="11"/>
      <c r="D313" s="656"/>
      <c r="E313" s="11"/>
      <c r="F313" s="11"/>
      <c r="G313" s="11"/>
      <c r="H313" s="11"/>
      <c r="I313" s="11"/>
      <c r="J313" s="102"/>
      <c r="K313" s="709"/>
      <c r="L313" s="653"/>
      <c r="M313" s="21"/>
    </row>
    <row r="314" spans="1:14" ht="18" customHeight="1" thickBot="1" x14ac:dyDescent="0.4">
      <c r="A314" s="1199" t="s">
        <v>612</v>
      </c>
      <c r="B314" s="1200"/>
      <c r="C314" s="19">
        <f>C312+C304+C293+C282+C266+C257+C244+C231+C221+C204+C195+C181+C168</f>
        <v>546.03600000000006</v>
      </c>
      <c r="D314" s="607"/>
      <c r="E314" s="19">
        <f>+E312+E304+E293+E282+E266+E257+E244+E231+E221+E204+E195+E181+E168</f>
        <v>225.17599999999999</v>
      </c>
      <c r="F314" s="19">
        <f>+F312+F304+F293+F282+F266+F257+F244+F231+F221+F204+F195+F181+F168</f>
        <v>2.19</v>
      </c>
      <c r="G314" s="19">
        <f>+G312+G304+G293+G282+G266+G257+G244+G231+G221+G204+G195+G181+G168</f>
        <v>4.84</v>
      </c>
      <c r="H314" s="19">
        <f>+H312+H304+H293+H282+H266+H257+H244+H231+H221+H204+H195+H181+H168</f>
        <v>308.39999999999998</v>
      </c>
      <c r="I314" s="19">
        <f>+I312+I304+I293+I282+I266+I257+I244+I231+I221+I204+I195+I181+I168</f>
        <v>5.43</v>
      </c>
      <c r="J314" s="608"/>
      <c r="K314" s="710"/>
      <c r="L314" s="653"/>
      <c r="M314" s="21"/>
    </row>
    <row r="315" spans="1:14" ht="16" thickBot="1" x14ac:dyDescent="0.4">
      <c r="A315" s="1201" t="s">
        <v>204</v>
      </c>
      <c r="B315" s="1202"/>
      <c r="C315" s="87">
        <f>C314+C148</f>
        <v>918.02600000000007</v>
      </c>
      <c r="D315" s="711"/>
      <c r="E315" s="87">
        <f>+E314+E148</f>
        <v>370.42700000000002</v>
      </c>
      <c r="F315" s="87">
        <f>+F314+F148</f>
        <v>2.19</v>
      </c>
      <c r="G315" s="87">
        <f>+G314+G148</f>
        <v>10.64</v>
      </c>
      <c r="H315" s="87">
        <f>+H314+H148</f>
        <v>529.33899999999994</v>
      </c>
      <c r="I315" s="87">
        <f>+I314+I148</f>
        <v>5.43</v>
      </c>
      <c r="J315" s="712"/>
      <c r="K315" s="713"/>
      <c r="L315" s="714"/>
      <c r="M315" s="715"/>
    </row>
    <row r="316" spans="1:14" ht="15" customHeight="1" x14ac:dyDescent="0.35">
      <c r="A316" s="716"/>
      <c r="B316" s="716"/>
      <c r="C316" s="22"/>
      <c r="D316" s="610"/>
      <c r="E316" s="22"/>
      <c r="F316" s="22"/>
      <c r="G316" s="22"/>
      <c r="H316" s="22"/>
      <c r="I316" s="22"/>
      <c r="J316" s="1"/>
      <c r="K316" s="21"/>
      <c r="L316" s="21"/>
      <c r="M316" s="21"/>
    </row>
    <row r="317" spans="1:14" ht="15" customHeight="1" x14ac:dyDescent="0.35">
      <c r="A317" s="3"/>
      <c r="B317" s="716" t="s">
        <v>841</v>
      </c>
      <c r="C317" s="22">
        <f>SUM(E315:I315)</f>
        <v>918.02599999999995</v>
      </c>
      <c r="D317" s="610"/>
      <c r="E317" s="22"/>
      <c r="F317" s="22"/>
      <c r="G317" s="22"/>
      <c r="H317" s="22"/>
      <c r="I317" s="22"/>
      <c r="J317" s="1"/>
      <c r="K317" s="21"/>
      <c r="L317" s="21"/>
      <c r="M317" s="21"/>
    </row>
    <row r="318" spans="1:14" ht="15" customHeight="1" x14ac:dyDescent="0.35">
      <c r="A318" s="3"/>
      <c r="B318" s="716"/>
      <c r="C318" s="22"/>
      <c r="D318" s="610"/>
      <c r="E318" s="22"/>
      <c r="F318" s="22"/>
      <c r="G318" s="22"/>
      <c r="H318" s="22"/>
      <c r="I318" s="22"/>
      <c r="J318" s="1"/>
      <c r="K318" s="21"/>
      <c r="L318" s="21"/>
      <c r="M318" s="21"/>
    </row>
    <row r="319" spans="1:14" ht="15" customHeight="1" x14ac:dyDescent="0.35">
      <c r="A319" s="3"/>
      <c r="B319" s="716"/>
      <c r="C319" s="22"/>
      <c r="D319" s="610"/>
      <c r="E319" s="22"/>
      <c r="F319" s="22"/>
      <c r="G319" s="22"/>
      <c r="H319" s="22"/>
      <c r="I319" s="22"/>
      <c r="J319" s="1"/>
      <c r="K319" s="21"/>
      <c r="L319" s="21"/>
      <c r="M319" s="21"/>
    </row>
    <row r="320" spans="1:14" ht="15" customHeight="1" x14ac:dyDescent="0.35">
      <c r="A320" s="3"/>
      <c r="B320" s="717" t="s">
        <v>154</v>
      </c>
      <c r="C320" s="22"/>
      <c r="D320" s="610"/>
      <c r="E320" s="22"/>
      <c r="F320" s="22"/>
      <c r="G320" s="22"/>
      <c r="H320" s="22"/>
      <c r="I320" s="22"/>
      <c r="J320" s="1"/>
      <c r="K320" s="21"/>
      <c r="L320" s="21"/>
      <c r="M320" s="21"/>
    </row>
    <row r="321" spans="1:14" ht="15" customHeight="1" x14ac:dyDescent="0.35">
      <c r="A321" s="3"/>
      <c r="B321" s="583" t="s">
        <v>155</v>
      </c>
      <c r="C321" s="22"/>
      <c r="D321" s="610"/>
      <c r="E321" s="22"/>
      <c r="F321" s="22"/>
      <c r="G321" s="22"/>
      <c r="H321" s="22"/>
      <c r="I321" s="22"/>
      <c r="J321" s="1"/>
      <c r="K321" s="21"/>
      <c r="L321" s="21"/>
      <c r="M321" s="21"/>
    </row>
    <row r="322" spans="1:14" ht="15" customHeight="1" x14ac:dyDescent="0.35">
      <c r="A322" s="3"/>
      <c r="B322" s="583" t="s">
        <v>842</v>
      </c>
      <c r="C322" s="22"/>
      <c r="D322" s="610"/>
      <c r="E322" s="22"/>
      <c r="F322" s="22"/>
      <c r="G322" s="22"/>
      <c r="H322" s="22"/>
      <c r="I322" s="22"/>
      <c r="J322" s="1"/>
      <c r="K322" s="21"/>
      <c r="L322" s="21"/>
      <c r="M322" s="21"/>
    </row>
    <row r="323" spans="1:14" ht="38.25" customHeight="1" x14ac:dyDescent="0.35">
      <c r="A323" s="718"/>
      <c r="B323" s="718"/>
      <c r="C323" s="719"/>
      <c r="D323" s="720"/>
      <c r="E323" s="719"/>
      <c r="F323" s="719"/>
      <c r="G323" s="719"/>
      <c r="H323" s="719"/>
      <c r="I323" s="719"/>
      <c r="J323" s="721"/>
      <c r="K323" s="715"/>
      <c r="L323" s="715"/>
      <c r="M323" s="715"/>
    </row>
    <row r="324" spans="1:14" s="95" customFormat="1" ht="18" customHeight="1" x14ac:dyDescent="0.35">
      <c r="B324" s="2"/>
      <c r="C324" s="3"/>
      <c r="D324" s="582"/>
      <c r="E324" s="3"/>
      <c r="F324" s="3"/>
      <c r="G324" s="3"/>
      <c r="H324" s="3"/>
      <c r="I324" s="3"/>
      <c r="J324" s="3"/>
      <c r="K324" s="2"/>
      <c r="L324" s="2"/>
      <c r="M324" s="2"/>
      <c r="N324" s="745"/>
    </row>
    <row r="325" spans="1:14" s="95" customFormat="1" ht="18" customHeight="1" x14ac:dyDescent="0.35">
      <c r="B325" s="2"/>
      <c r="C325" s="3"/>
      <c r="D325" s="582"/>
      <c r="E325" s="3"/>
      <c r="F325" s="3"/>
      <c r="G325" s="3"/>
      <c r="H325" s="3"/>
      <c r="I325" s="3"/>
      <c r="J325" s="3"/>
      <c r="K325" s="2"/>
      <c r="L325" s="2"/>
      <c r="M325" s="2"/>
      <c r="N325" s="745"/>
    </row>
    <row r="326" spans="1:14" s="95" customFormat="1" ht="18" customHeight="1" x14ac:dyDescent="0.35">
      <c r="B326" s="2"/>
      <c r="C326" s="3"/>
      <c r="D326" s="582"/>
      <c r="E326" s="3"/>
      <c r="F326" s="3"/>
      <c r="G326" s="3"/>
      <c r="H326" s="3"/>
      <c r="I326" s="3"/>
      <c r="J326" s="3"/>
      <c r="K326" s="2"/>
      <c r="L326" s="2"/>
      <c r="M326" s="2"/>
      <c r="N326" s="745"/>
    </row>
    <row r="327" spans="1:14" s="95" customFormat="1" ht="18" customHeight="1" x14ac:dyDescent="0.35">
      <c r="B327" s="2"/>
      <c r="C327" s="3"/>
      <c r="D327" s="582"/>
      <c r="E327" s="3"/>
      <c r="F327" s="3"/>
      <c r="G327" s="3"/>
      <c r="H327" s="3"/>
      <c r="I327" s="3"/>
      <c r="J327" s="3"/>
      <c r="K327" s="2"/>
      <c r="L327" s="2"/>
      <c r="M327" s="2"/>
      <c r="N327" s="745"/>
    </row>
    <row r="328" spans="1:14" s="95" customFormat="1" ht="18" customHeight="1" x14ac:dyDescent="0.35">
      <c r="B328" s="2"/>
      <c r="C328" s="3"/>
      <c r="D328" s="582"/>
      <c r="E328" s="3"/>
      <c r="F328" s="3"/>
      <c r="G328" s="3"/>
      <c r="H328" s="3"/>
      <c r="I328" s="3"/>
      <c r="J328" s="3"/>
      <c r="K328" s="2"/>
      <c r="L328" s="2"/>
      <c r="M328" s="2"/>
      <c r="N328" s="745"/>
    </row>
    <row r="329" spans="1:14" s="95" customFormat="1" ht="18" customHeight="1" x14ac:dyDescent="0.35">
      <c r="B329" s="2"/>
      <c r="C329" s="3"/>
      <c r="D329" s="582"/>
      <c r="E329" s="3"/>
      <c r="F329" s="3"/>
      <c r="G329" s="3"/>
      <c r="H329" s="3"/>
      <c r="I329" s="3"/>
      <c r="J329" s="3"/>
      <c r="K329" s="2"/>
      <c r="L329" s="2"/>
      <c r="M329" s="2"/>
      <c r="N329" s="745"/>
    </row>
    <row r="330" spans="1:14" s="95" customFormat="1" ht="18" customHeight="1" x14ac:dyDescent="0.35">
      <c r="B330" s="2"/>
      <c r="C330" s="3"/>
      <c r="D330" s="582"/>
      <c r="E330" s="3"/>
      <c r="F330" s="3"/>
      <c r="G330" s="3"/>
      <c r="H330" s="3"/>
      <c r="I330" s="3"/>
      <c r="J330" s="3"/>
      <c r="K330" s="2"/>
      <c r="L330" s="2"/>
      <c r="M330" s="2"/>
      <c r="N330" s="745"/>
    </row>
    <row r="331" spans="1:14" s="95" customFormat="1" ht="18" customHeight="1" x14ac:dyDescent="0.35">
      <c r="B331" s="2"/>
      <c r="C331" s="3"/>
      <c r="D331" s="582"/>
      <c r="E331" s="3"/>
      <c r="F331" s="3"/>
      <c r="G331" s="3"/>
      <c r="H331" s="3"/>
      <c r="I331" s="3"/>
      <c r="J331" s="3"/>
      <c r="K331" s="2"/>
      <c r="L331" s="2"/>
      <c r="M331" s="2"/>
      <c r="N331" s="745"/>
    </row>
    <row r="332" spans="1:14" s="95" customFormat="1" ht="18" customHeight="1" x14ac:dyDescent="0.35">
      <c r="B332" s="2"/>
      <c r="C332" s="3"/>
      <c r="D332" s="582"/>
      <c r="E332" s="3"/>
      <c r="F332" s="3"/>
      <c r="G332" s="3"/>
      <c r="H332" s="3"/>
      <c r="I332" s="3"/>
      <c r="J332" s="3"/>
      <c r="K332" s="2"/>
      <c r="L332" s="2"/>
      <c r="M332" s="2"/>
      <c r="N332" s="745"/>
    </row>
    <row r="333" spans="1:14" s="95" customFormat="1" ht="18" customHeight="1" x14ac:dyDescent="0.35">
      <c r="B333" s="2"/>
      <c r="C333" s="3"/>
      <c r="D333" s="582"/>
      <c r="E333" s="3"/>
      <c r="F333" s="3"/>
      <c r="G333" s="3"/>
      <c r="H333" s="3"/>
      <c r="I333" s="3"/>
      <c r="J333" s="3"/>
      <c r="K333" s="2"/>
      <c r="L333" s="2"/>
      <c r="M333" s="2"/>
      <c r="N333" s="745"/>
    </row>
    <row r="334" spans="1:14" s="95" customFormat="1" ht="18" customHeight="1" x14ac:dyDescent="0.35">
      <c r="B334" s="2"/>
      <c r="C334" s="3"/>
      <c r="D334" s="582"/>
      <c r="E334" s="3"/>
      <c r="F334" s="3"/>
      <c r="G334" s="3"/>
      <c r="H334" s="3"/>
      <c r="I334" s="3"/>
      <c r="J334" s="3"/>
      <c r="K334" s="2"/>
      <c r="L334" s="2"/>
      <c r="M334" s="2"/>
      <c r="N334" s="745"/>
    </row>
    <row r="335" spans="1:14" s="95" customFormat="1" ht="18" customHeight="1" x14ac:dyDescent="0.35">
      <c r="B335" s="2"/>
      <c r="C335" s="3"/>
      <c r="D335" s="582"/>
      <c r="E335" s="3"/>
      <c r="F335" s="3"/>
      <c r="G335" s="3"/>
      <c r="H335" s="3"/>
      <c r="I335" s="3"/>
      <c r="J335" s="3"/>
      <c r="K335" s="2"/>
      <c r="L335" s="2"/>
      <c r="M335" s="2"/>
      <c r="N335" s="745"/>
    </row>
    <row r="336" spans="1:14" s="95" customFormat="1" ht="18" customHeight="1" x14ac:dyDescent="0.35">
      <c r="B336" s="2"/>
      <c r="C336" s="3"/>
      <c r="D336" s="582"/>
      <c r="E336" s="3"/>
      <c r="F336" s="3"/>
      <c r="G336" s="3"/>
      <c r="H336" s="3"/>
      <c r="I336" s="3"/>
      <c r="J336" s="3"/>
      <c r="K336" s="2"/>
      <c r="L336" s="2"/>
      <c r="M336" s="2"/>
      <c r="N336" s="745"/>
    </row>
    <row r="337" spans="2:14" s="95" customFormat="1" ht="18" customHeight="1" x14ac:dyDescent="0.35">
      <c r="B337" s="2"/>
      <c r="C337" s="3"/>
      <c r="D337" s="582"/>
      <c r="E337" s="3"/>
      <c r="F337" s="3"/>
      <c r="G337" s="3"/>
      <c r="H337" s="3"/>
      <c r="I337" s="3"/>
      <c r="J337" s="3"/>
      <c r="K337" s="2"/>
      <c r="L337" s="2"/>
      <c r="M337" s="2"/>
      <c r="N337" s="745"/>
    </row>
    <row r="338" spans="2:14" s="95" customFormat="1" ht="18" customHeight="1" x14ac:dyDescent="0.35">
      <c r="B338" s="2"/>
      <c r="C338" s="3"/>
      <c r="D338" s="582"/>
      <c r="E338" s="3"/>
      <c r="F338" s="3"/>
      <c r="G338" s="3"/>
      <c r="H338" s="3"/>
      <c r="I338" s="3"/>
      <c r="J338" s="3"/>
      <c r="K338" s="2"/>
      <c r="L338" s="2"/>
      <c r="M338" s="2"/>
      <c r="N338" s="745"/>
    </row>
    <row r="339" spans="2:14" s="95" customFormat="1" ht="18" customHeight="1" x14ac:dyDescent="0.35">
      <c r="B339" s="2"/>
      <c r="C339" s="3"/>
      <c r="D339" s="582"/>
      <c r="E339" s="3"/>
      <c r="F339" s="3"/>
      <c r="G339" s="3"/>
      <c r="H339" s="3"/>
      <c r="I339" s="3"/>
      <c r="J339" s="3"/>
      <c r="K339" s="2"/>
      <c r="L339" s="2"/>
      <c r="M339" s="2"/>
      <c r="N339" s="745"/>
    </row>
    <row r="340" spans="2:14" s="95" customFormat="1" ht="18" customHeight="1" x14ac:dyDescent="0.35">
      <c r="B340" s="2"/>
      <c r="C340" s="3"/>
      <c r="D340" s="582"/>
      <c r="E340" s="3"/>
      <c r="F340" s="3"/>
      <c r="G340" s="3"/>
      <c r="H340" s="3"/>
      <c r="I340" s="3"/>
      <c r="J340" s="3"/>
      <c r="K340" s="2"/>
      <c r="L340" s="2"/>
      <c r="M340" s="2"/>
      <c r="N340" s="745"/>
    </row>
    <row r="341" spans="2:14" s="95" customFormat="1" ht="18" customHeight="1" x14ac:dyDescent="0.35">
      <c r="B341" s="2"/>
      <c r="C341" s="3"/>
      <c r="D341" s="582"/>
      <c r="E341" s="3"/>
      <c r="F341" s="3"/>
      <c r="G341" s="3"/>
      <c r="H341" s="3"/>
      <c r="I341" s="3"/>
      <c r="J341" s="3"/>
      <c r="K341" s="2"/>
      <c r="L341" s="2"/>
      <c r="M341" s="2"/>
      <c r="N341" s="745"/>
    </row>
    <row r="342" spans="2:14" s="95" customFormat="1" ht="18" customHeight="1" x14ac:dyDescent="0.35">
      <c r="B342" s="2"/>
      <c r="C342" s="3"/>
      <c r="D342" s="582"/>
      <c r="E342" s="3"/>
      <c r="F342" s="3"/>
      <c r="G342" s="3"/>
      <c r="H342" s="3"/>
      <c r="I342" s="3"/>
      <c r="J342" s="3"/>
      <c r="K342" s="2"/>
      <c r="L342" s="2"/>
      <c r="M342" s="2"/>
      <c r="N342" s="745"/>
    </row>
    <row r="343" spans="2:14" s="95" customFormat="1" ht="18" customHeight="1" x14ac:dyDescent="0.35">
      <c r="B343" s="2"/>
      <c r="C343" s="3"/>
      <c r="D343" s="582"/>
      <c r="E343" s="3"/>
      <c r="F343" s="3"/>
      <c r="G343" s="3"/>
      <c r="H343" s="3"/>
      <c r="I343" s="3"/>
      <c r="J343" s="3"/>
      <c r="K343" s="2"/>
      <c r="L343" s="2"/>
      <c r="M343" s="2"/>
      <c r="N343" s="745"/>
    </row>
    <row r="344" spans="2:14" s="95" customFormat="1" ht="18" customHeight="1" x14ac:dyDescent="0.35">
      <c r="B344" s="2"/>
      <c r="C344" s="3"/>
      <c r="D344" s="582"/>
      <c r="E344" s="3"/>
      <c r="F344" s="3"/>
      <c r="G344" s="3"/>
      <c r="H344" s="3"/>
      <c r="I344" s="3"/>
      <c r="J344" s="3"/>
      <c r="K344" s="2"/>
      <c r="L344" s="2"/>
      <c r="M344" s="2"/>
      <c r="N344" s="745"/>
    </row>
    <row r="345" spans="2:14" s="95" customFormat="1" ht="18" customHeight="1" x14ac:dyDescent="0.35">
      <c r="B345" s="2"/>
      <c r="C345" s="3"/>
      <c r="D345" s="582"/>
      <c r="E345" s="3"/>
      <c r="F345" s="3"/>
      <c r="G345" s="3"/>
      <c r="H345" s="3"/>
      <c r="I345" s="3"/>
      <c r="J345" s="3"/>
      <c r="K345" s="2"/>
      <c r="L345" s="2"/>
      <c r="M345" s="2"/>
      <c r="N345" s="745"/>
    </row>
    <row r="346" spans="2:14" s="95" customFormat="1" ht="18" customHeight="1" x14ac:dyDescent="0.35">
      <c r="B346" s="2"/>
      <c r="C346" s="3"/>
      <c r="D346" s="582"/>
      <c r="E346" s="3"/>
      <c r="F346" s="3"/>
      <c r="G346" s="3"/>
      <c r="H346" s="3"/>
      <c r="I346" s="3"/>
      <c r="J346" s="3"/>
      <c r="K346" s="2"/>
      <c r="L346" s="2"/>
      <c r="M346" s="2"/>
      <c r="N346" s="745"/>
    </row>
    <row r="347" spans="2:14" s="95" customFormat="1" ht="18" customHeight="1" x14ac:dyDescent="0.35">
      <c r="B347" s="2"/>
      <c r="C347" s="3"/>
      <c r="D347" s="582"/>
      <c r="E347" s="3"/>
      <c r="F347" s="3"/>
      <c r="G347" s="3"/>
      <c r="H347" s="3"/>
      <c r="I347" s="3"/>
      <c r="J347" s="3"/>
      <c r="K347" s="2"/>
      <c r="L347" s="2"/>
      <c r="M347" s="2"/>
      <c r="N347" s="745"/>
    </row>
    <row r="348" spans="2:14" s="95" customFormat="1" ht="18" customHeight="1" x14ac:dyDescent="0.35">
      <c r="B348" s="2"/>
      <c r="C348" s="3"/>
      <c r="D348" s="582"/>
      <c r="E348" s="3"/>
      <c r="F348" s="3"/>
      <c r="G348" s="3"/>
      <c r="H348" s="3"/>
      <c r="I348" s="3"/>
      <c r="J348" s="3"/>
      <c r="K348" s="2"/>
      <c r="L348" s="2"/>
      <c r="M348" s="2"/>
      <c r="N348" s="745"/>
    </row>
    <row r="349" spans="2:14" s="95" customFormat="1" ht="18" customHeight="1" x14ac:dyDescent="0.35">
      <c r="B349" s="2"/>
      <c r="C349" s="3"/>
      <c r="D349" s="582"/>
      <c r="E349" s="3"/>
      <c r="F349" s="3"/>
      <c r="G349" s="3"/>
      <c r="H349" s="3"/>
      <c r="I349" s="3"/>
      <c r="J349" s="3"/>
      <c r="K349" s="2"/>
      <c r="L349" s="2"/>
      <c r="M349" s="2"/>
      <c r="N349" s="745"/>
    </row>
    <row r="350" spans="2:14" s="95" customFormat="1" ht="18" customHeight="1" x14ac:dyDescent="0.35">
      <c r="B350" s="2"/>
      <c r="C350" s="3"/>
      <c r="D350" s="582"/>
      <c r="E350" s="3"/>
      <c r="F350" s="3"/>
      <c r="G350" s="3"/>
      <c r="H350" s="3"/>
      <c r="I350" s="3"/>
      <c r="J350" s="3"/>
      <c r="K350" s="2"/>
      <c r="L350" s="2"/>
      <c r="M350" s="2"/>
      <c r="N350" s="745"/>
    </row>
    <row r="351" spans="2:14" s="95" customFormat="1" ht="18" customHeight="1" x14ac:dyDescent="0.35">
      <c r="B351" s="2"/>
      <c r="C351" s="3"/>
      <c r="D351" s="582"/>
      <c r="E351" s="3"/>
      <c r="F351" s="3"/>
      <c r="G351" s="3"/>
      <c r="H351" s="3"/>
      <c r="I351" s="3"/>
      <c r="J351" s="3"/>
      <c r="K351" s="2"/>
      <c r="L351" s="2"/>
      <c r="M351" s="2"/>
      <c r="N351" s="745"/>
    </row>
    <row r="352" spans="2:14" s="95" customFormat="1" ht="18" customHeight="1" x14ac:dyDescent="0.35">
      <c r="B352" s="2"/>
      <c r="C352" s="3"/>
      <c r="D352" s="582"/>
      <c r="E352" s="3"/>
      <c r="F352" s="3"/>
      <c r="G352" s="3"/>
      <c r="H352" s="3"/>
      <c r="I352" s="3"/>
      <c r="J352" s="3"/>
      <c r="K352" s="2"/>
      <c r="L352" s="2"/>
      <c r="M352" s="2"/>
      <c r="N352" s="745"/>
    </row>
    <row r="353" spans="1:19" s="95" customFormat="1" ht="18" customHeight="1" x14ac:dyDescent="0.35">
      <c r="B353" s="2"/>
      <c r="C353" s="3"/>
      <c r="D353" s="582"/>
      <c r="E353" s="3"/>
      <c r="F353" s="3"/>
      <c r="G353" s="3"/>
      <c r="H353" s="3"/>
      <c r="I353" s="3"/>
      <c r="J353" s="3"/>
      <c r="K353" s="2"/>
      <c r="L353" s="2"/>
      <c r="M353" s="2"/>
      <c r="N353" s="745"/>
    </row>
    <row r="354" spans="1:19" s="95" customFormat="1" ht="18" customHeight="1" x14ac:dyDescent="0.35">
      <c r="B354" s="2"/>
      <c r="C354" s="3"/>
      <c r="D354" s="582"/>
      <c r="E354" s="3"/>
      <c r="F354" s="3"/>
      <c r="G354" s="3"/>
      <c r="H354" s="3"/>
      <c r="I354" s="3"/>
      <c r="J354" s="3"/>
      <c r="K354" s="2"/>
      <c r="L354" s="2"/>
      <c r="M354" s="2"/>
      <c r="N354" s="745"/>
    </row>
    <row r="355" spans="1:19" s="95" customFormat="1" ht="18" customHeight="1" x14ac:dyDescent="0.35">
      <c r="B355" s="2"/>
      <c r="C355" s="3"/>
      <c r="D355" s="582"/>
      <c r="E355" s="3"/>
      <c r="F355" s="3"/>
      <c r="G355" s="3"/>
      <c r="H355" s="3"/>
      <c r="I355" s="3"/>
      <c r="J355" s="3"/>
      <c r="K355" s="2"/>
      <c r="L355" s="2"/>
      <c r="M355" s="2"/>
      <c r="N355" s="745"/>
    </row>
    <row r="356" spans="1:19" s="95" customFormat="1" ht="18" customHeight="1" x14ac:dyDescent="0.35">
      <c r="B356" s="2"/>
      <c r="C356" s="3"/>
      <c r="D356" s="582"/>
      <c r="E356" s="3"/>
      <c r="F356" s="3"/>
      <c r="G356" s="3"/>
      <c r="H356" s="3"/>
      <c r="I356" s="3"/>
      <c r="J356" s="3"/>
      <c r="K356" s="2"/>
      <c r="L356" s="2"/>
      <c r="M356" s="2"/>
      <c r="N356" s="745"/>
    </row>
    <row r="357" spans="1:19" s="95" customFormat="1" ht="18" customHeight="1" x14ac:dyDescent="0.35">
      <c r="B357" s="2"/>
      <c r="C357" s="3"/>
      <c r="D357" s="582"/>
      <c r="E357" s="3"/>
      <c r="F357" s="3"/>
      <c r="G357" s="3"/>
      <c r="H357" s="3"/>
      <c r="I357" s="3"/>
      <c r="J357" s="3"/>
      <c r="K357" s="2"/>
      <c r="L357" s="2"/>
      <c r="M357" s="2"/>
      <c r="N357" s="745"/>
    </row>
    <row r="358" spans="1:19" s="95" customFormat="1" ht="18" customHeight="1" x14ac:dyDescent="0.35">
      <c r="B358" s="2"/>
      <c r="C358" s="3"/>
      <c r="D358" s="582"/>
      <c r="E358" s="3"/>
      <c r="F358" s="3"/>
      <c r="G358" s="3"/>
      <c r="H358" s="3"/>
      <c r="I358" s="3"/>
      <c r="J358" s="3"/>
      <c r="K358" s="2"/>
      <c r="L358" s="2"/>
      <c r="M358" s="2"/>
      <c r="N358" s="745"/>
    </row>
    <row r="359" spans="1:19" s="95" customFormat="1" ht="18" customHeight="1" x14ac:dyDescent="0.35">
      <c r="B359" s="2"/>
      <c r="C359" s="3"/>
      <c r="D359" s="582"/>
      <c r="E359" s="3"/>
      <c r="F359" s="3"/>
      <c r="G359" s="3"/>
      <c r="H359" s="3"/>
      <c r="I359" s="3"/>
      <c r="J359" s="3"/>
      <c r="K359" s="2"/>
      <c r="L359" s="2"/>
      <c r="M359" s="2"/>
      <c r="N359" s="745"/>
    </row>
    <row r="360" spans="1:19" s="95" customFormat="1" ht="18" customHeight="1" x14ac:dyDescent="0.35">
      <c r="B360" s="2"/>
      <c r="C360" s="3"/>
      <c r="D360" s="582"/>
      <c r="E360" s="3"/>
      <c r="F360" s="3"/>
      <c r="G360" s="3"/>
      <c r="H360" s="3"/>
      <c r="I360" s="3"/>
      <c r="J360" s="3"/>
      <c r="K360" s="2"/>
      <c r="L360" s="2"/>
      <c r="M360" s="2"/>
      <c r="N360" s="745"/>
    </row>
    <row r="361" spans="1:19" s="95" customFormat="1" ht="18" customHeight="1" x14ac:dyDescent="0.35">
      <c r="B361" s="2"/>
      <c r="C361" s="3"/>
      <c r="D361" s="582"/>
      <c r="E361" s="3"/>
      <c r="F361" s="3"/>
      <c r="G361" s="3"/>
      <c r="H361" s="3"/>
      <c r="I361" s="3"/>
      <c r="J361" s="3"/>
      <c r="K361" s="2"/>
      <c r="L361" s="2"/>
      <c r="M361" s="2"/>
      <c r="N361" s="745"/>
    </row>
    <row r="362" spans="1:19" s="95" customFormat="1" ht="18" customHeight="1" x14ac:dyDescent="0.35">
      <c r="B362" s="2"/>
      <c r="C362" s="3"/>
      <c r="D362" s="582"/>
      <c r="E362" s="3"/>
      <c r="F362" s="3"/>
      <c r="G362" s="3"/>
      <c r="H362" s="3"/>
      <c r="I362" s="3"/>
      <c r="J362" s="3"/>
      <c r="K362" s="2"/>
      <c r="L362" s="2"/>
      <c r="M362" s="2"/>
      <c r="N362" s="745"/>
    </row>
    <row r="363" spans="1:19" s="95" customFormat="1" ht="18" customHeight="1" x14ac:dyDescent="0.35">
      <c r="B363" s="2"/>
      <c r="C363" s="3"/>
      <c r="D363" s="582"/>
      <c r="E363" s="3"/>
      <c r="F363" s="3"/>
      <c r="G363" s="3"/>
      <c r="H363" s="3"/>
      <c r="I363" s="3"/>
      <c r="J363" s="3"/>
      <c r="K363" s="2"/>
      <c r="L363" s="2"/>
      <c r="M363" s="2"/>
      <c r="N363" s="745"/>
    </row>
    <row r="364" spans="1:19" s="95" customFormat="1" ht="18" customHeight="1" x14ac:dyDescent="0.35">
      <c r="B364" s="2"/>
      <c r="C364" s="3"/>
      <c r="D364" s="582"/>
      <c r="E364" s="3"/>
      <c r="F364" s="3"/>
      <c r="G364" s="3"/>
      <c r="H364" s="3"/>
      <c r="I364" s="3"/>
      <c r="J364" s="3"/>
      <c r="K364" s="2"/>
      <c r="L364" s="2"/>
      <c r="M364" s="2"/>
      <c r="N364" s="745"/>
    </row>
    <row r="365" spans="1:19" s="95" customFormat="1" ht="18" customHeight="1" x14ac:dyDescent="0.35">
      <c r="B365" s="2"/>
      <c r="C365" s="3"/>
      <c r="D365" s="582"/>
      <c r="E365" s="3"/>
      <c r="F365" s="3"/>
      <c r="G365" s="3"/>
      <c r="H365" s="3"/>
      <c r="I365" s="3"/>
      <c r="J365" s="3"/>
      <c r="K365" s="2"/>
      <c r="L365" s="2"/>
      <c r="M365" s="2"/>
      <c r="N365" s="745"/>
    </row>
    <row r="366" spans="1:19" s="95" customFormat="1" ht="18" customHeight="1" x14ac:dyDescent="0.35">
      <c r="B366" s="2"/>
      <c r="C366" s="3"/>
      <c r="D366" s="582"/>
      <c r="E366" s="3"/>
      <c r="F366" s="3"/>
      <c r="G366" s="3"/>
      <c r="H366" s="3"/>
      <c r="I366" s="3"/>
      <c r="J366" s="3"/>
      <c r="K366" s="2"/>
      <c r="L366" s="2"/>
      <c r="M366" s="2"/>
      <c r="N366" s="745"/>
    </row>
    <row r="367" spans="1:19" s="95" customFormat="1" ht="18" customHeight="1" x14ac:dyDescent="0.35">
      <c r="B367" s="2"/>
      <c r="C367" s="3"/>
      <c r="D367" s="582"/>
      <c r="E367" s="3"/>
      <c r="F367" s="3"/>
      <c r="G367" s="3"/>
      <c r="H367" s="3"/>
      <c r="I367" s="3"/>
      <c r="J367" s="3"/>
      <c r="K367" s="2"/>
      <c r="L367" s="2"/>
      <c r="M367" s="2"/>
      <c r="N367" s="745"/>
    </row>
    <row r="368" spans="1:19" s="583" customFormat="1" ht="18" customHeight="1" x14ac:dyDescent="0.35">
      <c r="A368" s="95"/>
      <c r="B368" s="2"/>
      <c r="C368" s="3"/>
      <c r="D368" s="582"/>
      <c r="E368" s="3"/>
      <c r="F368" s="3"/>
      <c r="G368" s="3"/>
      <c r="H368" s="3"/>
      <c r="I368" s="3"/>
      <c r="J368" s="3"/>
      <c r="K368" s="2"/>
      <c r="L368" s="2"/>
      <c r="M368" s="2"/>
      <c r="O368" s="3"/>
      <c r="P368" s="3"/>
      <c r="Q368" s="3"/>
      <c r="R368" s="3"/>
      <c r="S368" s="3"/>
    </row>
    <row r="369" spans="1:19" s="583" customFormat="1" ht="18" customHeight="1" x14ac:dyDescent="0.35">
      <c r="A369" s="95"/>
      <c r="B369" s="2"/>
      <c r="C369" s="3"/>
      <c r="D369" s="582"/>
      <c r="E369" s="3"/>
      <c r="F369" s="3"/>
      <c r="G369" s="3"/>
      <c r="H369" s="3"/>
      <c r="I369" s="3"/>
      <c r="J369" s="3"/>
      <c r="K369" s="2"/>
      <c r="L369" s="2"/>
      <c r="M369" s="2"/>
      <c r="O369" s="3"/>
      <c r="P369" s="3"/>
      <c r="Q369" s="3"/>
      <c r="R369" s="3"/>
      <c r="S369" s="3"/>
    </row>
    <row r="370" spans="1:19" s="583" customFormat="1" ht="18" customHeight="1" x14ac:dyDescent="0.35">
      <c r="A370" s="95"/>
      <c r="B370" s="2"/>
      <c r="C370" s="3"/>
      <c r="D370" s="582"/>
      <c r="E370" s="3"/>
      <c r="F370" s="3"/>
      <c r="G370" s="3"/>
      <c r="H370" s="3"/>
      <c r="I370" s="3"/>
      <c r="J370" s="3"/>
      <c r="K370" s="2"/>
      <c r="L370" s="2"/>
      <c r="M370" s="2"/>
      <c r="O370" s="3"/>
      <c r="P370" s="3"/>
      <c r="Q370" s="3"/>
      <c r="R370" s="3"/>
      <c r="S370" s="3"/>
    </row>
    <row r="371" spans="1:19" s="583" customFormat="1" ht="18" customHeight="1" x14ac:dyDescent="0.35">
      <c r="A371" s="95"/>
      <c r="B371" s="2"/>
      <c r="C371" s="3"/>
      <c r="D371" s="582"/>
      <c r="E371" s="3"/>
      <c r="F371" s="3"/>
      <c r="G371" s="3"/>
      <c r="H371" s="3"/>
      <c r="I371" s="3"/>
      <c r="J371" s="3"/>
      <c r="K371" s="2"/>
      <c r="L371" s="2"/>
      <c r="M371" s="2"/>
      <c r="O371" s="3"/>
      <c r="P371" s="3"/>
      <c r="Q371" s="3"/>
      <c r="R371" s="3"/>
      <c r="S371" s="3"/>
    </row>
    <row r="372" spans="1:19" s="583" customFormat="1" ht="18" customHeight="1" x14ac:dyDescent="0.35">
      <c r="A372" s="95"/>
      <c r="B372" s="2"/>
      <c r="C372" s="3"/>
      <c r="D372" s="582"/>
      <c r="E372" s="3"/>
      <c r="F372" s="3"/>
      <c r="G372" s="3"/>
      <c r="H372" s="3"/>
      <c r="I372" s="3"/>
      <c r="J372" s="3"/>
      <c r="K372" s="2"/>
      <c r="L372" s="2"/>
      <c r="M372" s="2"/>
      <c r="O372" s="3"/>
      <c r="P372" s="3"/>
      <c r="Q372" s="3"/>
      <c r="R372" s="3"/>
      <c r="S372" s="3"/>
    </row>
    <row r="373" spans="1:19" s="583" customFormat="1" ht="18" customHeight="1" x14ac:dyDescent="0.35">
      <c r="A373" s="95"/>
      <c r="B373" s="2"/>
      <c r="C373" s="3"/>
      <c r="D373" s="582"/>
      <c r="E373" s="3"/>
      <c r="F373" s="3"/>
      <c r="G373" s="3"/>
      <c r="H373" s="3"/>
      <c r="I373" s="3"/>
      <c r="J373" s="3"/>
      <c r="K373" s="2"/>
      <c r="L373" s="2"/>
      <c r="M373" s="2"/>
      <c r="O373" s="3"/>
      <c r="P373" s="3"/>
      <c r="Q373" s="3"/>
      <c r="R373" s="3"/>
      <c r="S373" s="3"/>
    </row>
    <row r="374" spans="1:19" s="583" customFormat="1" ht="18" customHeight="1" x14ac:dyDescent="0.35">
      <c r="A374" s="95" t="s">
        <v>614</v>
      </c>
      <c r="B374" s="37"/>
      <c r="C374" s="38"/>
      <c r="D374" s="645"/>
      <c r="E374" s="38"/>
      <c r="F374" s="38"/>
      <c r="G374" s="38"/>
      <c r="H374" s="38"/>
      <c r="I374" s="38"/>
      <c r="J374" s="3"/>
      <c r="K374" s="2"/>
      <c r="L374" s="2"/>
      <c r="M374" s="2"/>
      <c r="O374" s="3"/>
      <c r="P374" s="3"/>
      <c r="Q374" s="3"/>
      <c r="R374" s="3"/>
      <c r="S374" s="3"/>
    </row>
    <row r="375" spans="1:19" s="583" customFormat="1" ht="18" customHeight="1" x14ac:dyDescent="0.35">
      <c r="A375" s="544"/>
      <c r="B375" s="35"/>
      <c r="C375" s="22"/>
      <c r="D375" s="610"/>
      <c r="E375" s="22"/>
      <c r="F375" s="22"/>
      <c r="G375" s="22"/>
      <c r="H375" s="22"/>
      <c r="I375" s="22"/>
      <c r="J375" s="1"/>
      <c r="K375" s="21"/>
      <c r="L375" s="21"/>
      <c r="M375" s="21"/>
      <c r="O375" s="3"/>
      <c r="P375" s="3"/>
      <c r="Q375" s="3"/>
      <c r="R375" s="3"/>
      <c r="S375" s="3"/>
    </row>
    <row r="376" spans="1:19" s="583" customFormat="1" ht="18" customHeight="1" x14ac:dyDescent="0.35">
      <c r="A376" s="544"/>
      <c r="B376" s="21" t="s">
        <v>157</v>
      </c>
      <c r="C376" s="22"/>
      <c r="D376" s="610"/>
      <c r="E376" s="22"/>
      <c r="F376" s="22"/>
      <c r="G376" s="22"/>
      <c r="H376" s="22"/>
      <c r="I376" s="22"/>
      <c r="J376" s="1"/>
      <c r="K376" s="21"/>
      <c r="L376" s="21"/>
      <c r="M376" s="21"/>
      <c r="O376" s="3"/>
      <c r="P376" s="3"/>
      <c r="Q376" s="3"/>
      <c r="R376" s="3"/>
      <c r="S376" s="3"/>
    </row>
    <row r="377" spans="1:19" s="583" customFormat="1" ht="18" customHeight="1" x14ac:dyDescent="0.35">
      <c r="A377" s="544"/>
      <c r="B377" s="2" t="s">
        <v>158</v>
      </c>
      <c r="C377" s="22"/>
      <c r="D377" s="610"/>
      <c r="E377" s="22"/>
      <c r="F377" s="22"/>
      <c r="G377" s="22"/>
      <c r="H377" s="22"/>
      <c r="I377" s="22"/>
      <c r="J377" s="1"/>
      <c r="K377" s="2"/>
      <c r="L377" s="2"/>
      <c r="M377" s="2"/>
      <c r="O377" s="3"/>
      <c r="P377" s="3"/>
      <c r="Q377" s="3"/>
      <c r="R377" s="3"/>
      <c r="S377" s="3"/>
    </row>
    <row r="378" spans="1:19" s="583" customFormat="1" ht="18" customHeight="1" x14ac:dyDescent="0.35">
      <c r="A378" s="544"/>
      <c r="B378" s="35"/>
      <c r="C378" s="22"/>
      <c r="D378" s="610"/>
      <c r="E378" s="22"/>
      <c r="F378" s="22"/>
      <c r="G378" s="22"/>
      <c r="H378" s="22"/>
      <c r="I378" s="22"/>
      <c r="J378" s="1"/>
      <c r="K378" s="21"/>
      <c r="L378" s="21"/>
      <c r="M378" s="21"/>
      <c r="O378" s="3"/>
      <c r="P378" s="3"/>
      <c r="Q378" s="3"/>
      <c r="R378" s="3"/>
      <c r="S378" s="3"/>
    </row>
    <row r="379" spans="1:19" s="583" customFormat="1" ht="18" customHeight="1" x14ac:dyDescent="0.35">
      <c r="A379" s="544"/>
      <c r="B379" s="35"/>
      <c r="C379" s="22"/>
      <c r="D379" s="610"/>
      <c r="E379" s="22"/>
      <c r="F379" s="22"/>
      <c r="G379" s="22"/>
      <c r="H379" s="22"/>
      <c r="I379" s="22"/>
      <c r="J379" s="1"/>
      <c r="K379" s="21"/>
      <c r="L379" s="21"/>
      <c r="M379" s="21"/>
      <c r="O379" s="3"/>
      <c r="P379" s="3"/>
      <c r="Q379" s="3"/>
      <c r="R379" s="3"/>
      <c r="S379" s="3"/>
    </row>
    <row r="380" spans="1:19" s="583" customFormat="1" x14ac:dyDescent="0.35">
      <c r="A380" s="95"/>
      <c r="B380" s="2"/>
      <c r="C380" s="3"/>
      <c r="D380" s="582"/>
      <c r="E380" s="38"/>
      <c r="F380" s="3"/>
      <c r="G380" s="3"/>
      <c r="H380" s="3"/>
      <c r="I380" s="3"/>
      <c r="J380" s="3"/>
      <c r="K380" s="2"/>
      <c r="L380" s="2"/>
      <c r="M380" s="2"/>
      <c r="O380" s="3"/>
      <c r="P380" s="3"/>
      <c r="Q380" s="3"/>
      <c r="R380" s="3"/>
      <c r="S380" s="3"/>
    </row>
    <row r="381" spans="1:19" s="583" customFormat="1" x14ac:dyDescent="0.35">
      <c r="A381" s="544" t="s">
        <v>615</v>
      </c>
      <c r="B381" s="2"/>
      <c r="C381" s="3"/>
      <c r="D381" s="582"/>
      <c r="E381" s="38"/>
      <c r="F381" s="3"/>
      <c r="G381" s="3"/>
      <c r="H381" s="3"/>
      <c r="I381" s="3"/>
      <c r="J381" s="3"/>
      <c r="K381" s="2"/>
      <c r="L381" s="2"/>
      <c r="M381" s="2"/>
      <c r="O381" s="3"/>
      <c r="P381" s="3"/>
      <c r="Q381" s="3"/>
      <c r="R381" s="3"/>
      <c r="S381" s="3"/>
    </row>
    <row r="382" spans="1:19" s="583" customFormat="1" x14ac:dyDescent="0.35">
      <c r="A382" s="95" t="s">
        <v>616</v>
      </c>
      <c r="B382" s="2" t="s">
        <v>159</v>
      </c>
      <c r="C382" s="3"/>
      <c r="D382" s="582"/>
      <c r="E382" s="38"/>
      <c r="F382" s="3"/>
      <c r="G382" s="3"/>
      <c r="H382" s="3"/>
      <c r="I382" s="3"/>
      <c r="J382" s="3"/>
      <c r="K382" s="2"/>
      <c r="L382" s="2"/>
      <c r="M382" s="2"/>
      <c r="O382" s="3"/>
      <c r="P382" s="3"/>
      <c r="Q382" s="3"/>
      <c r="R382" s="3"/>
      <c r="S382" s="3"/>
    </row>
    <row r="383" spans="1:19" s="583" customFormat="1" ht="31" x14ac:dyDescent="0.35">
      <c r="A383" s="95" t="s">
        <v>617</v>
      </c>
      <c r="B383" s="2" t="s">
        <v>160</v>
      </c>
      <c r="C383" s="3"/>
      <c r="D383" s="582"/>
      <c r="E383" s="38"/>
      <c r="F383" s="3"/>
      <c r="G383" s="3"/>
      <c r="H383" s="3"/>
      <c r="I383" s="3"/>
      <c r="J383" s="3"/>
      <c r="K383" s="2"/>
      <c r="L383" s="2"/>
      <c r="M383" s="2"/>
      <c r="O383" s="3"/>
      <c r="P383" s="3"/>
      <c r="Q383" s="3"/>
      <c r="R383" s="3"/>
      <c r="S383" s="3"/>
    </row>
    <row r="384" spans="1:19" ht="31" x14ac:dyDescent="0.35">
      <c r="A384" s="95" t="s">
        <v>618</v>
      </c>
      <c r="B384" s="2" t="s">
        <v>161</v>
      </c>
      <c r="E384" s="38"/>
    </row>
    <row r="385" spans="1:5" x14ac:dyDescent="0.35">
      <c r="A385" s="95" t="s">
        <v>619</v>
      </c>
      <c r="B385" s="2" t="s">
        <v>162</v>
      </c>
      <c r="E385" s="38"/>
    </row>
    <row r="386" spans="1:5" x14ac:dyDescent="0.35">
      <c r="E386" s="38"/>
    </row>
    <row r="387" spans="1:5" x14ac:dyDescent="0.35">
      <c r="A387" s="95" t="s">
        <v>620</v>
      </c>
      <c r="E387" s="38"/>
    </row>
    <row r="388" spans="1:5" x14ac:dyDescent="0.35">
      <c r="A388" s="95" t="s">
        <v>621</v>
      </c>
      <c r="E388" s="38"/>
    </row>
    <row r="389" spans="1:5" x14ac:dyDescent="0.35">
      <c r="E389" s="38"/>
    </row>
    <row r="390" spans="1:5" x14ac:dyDescent="0.35">
      <c r="A390" s="544" t="s">
        <v>622</v>
      </c>
      <c r="B390" s="21"/>
      <c r="E390" s="38"/>
    </row>
    <row r="391" spans="1:5" ht="46.5" x14ac:dyDescent="0.35">
      <c r="A391" s="95" t="s">
        <v>10</v>
      </c>
      <c r="B391" s="2" t="s">
        <v>163</v>
      </c>
      <c r="E391" s="38"/>
    </row>
    <row r="392" spans="1:5" ht="46.5" x14ac:dyDescent="0.35">
      <c r="A392" s="95" t="s">
        <v>12</v>
      </c>
      <c r="B392" s="2" t="s">
        <v>164</v>
      </c>
      <c r="E392" s="38"/>
    </row>
    <row r="393" spans="1:5" ht="31" x14ac:dyDescent="0.35">
      <c r="A393" s="95" t="s">
        <v>33</v>
      </c>
      <c r="B393" s="2" t="s">
        <v>165</v>
      </c>
      <c r="E393" s="38"/>
    </row>
    <row r="394" spans="1:5" ht="46.5" x14ac:dyDescent="0.35">
      <c r="A394" s="95" t="s">
        <v>41</v>
      </c>
      <c r="B394" s="2" t="s">
        <v>166</v>
      </c>
      <c r="E394" s="38"/>
    </row>
    <row r="395" spans="1:5" x14ac:dyDescent="0.35">
      <c r="E395" s="38"/>
    </row>
    <row r="396" spans="1:5" x14ac:dyDescent="0.35">
      <c r="A396" s="544" t="s">
        <v>623</v>
      </c>
      <c r="B396" s="21"/>
      <c r="E396" s="38"/>
    </row>
    <row r="397" spans="1:5" ht="46.5" x14ac:dyDescent="0.35">
      <c r="A397" s="95" t="s">
        <v>10</v>
      </c>
      <c r="B397" s="2" t="s">
        <v>167</v>
      </c>
      <c r="E397" s="38"/>
    </row>
    <row r="398" spans="1:5" ht="46.5" x14ac:dyDescent="0.35">
      <c r="A398" s="95" t="s">
        <v>12</v>
      </c>
      <c r="B398" s="2" t="s">
        <v>168</v>
      </c>
      <c r="E398" s="38"/>
    </row>
    <row r="399" spans="1:5" ht="31" x14ac:dyDescent="0.35">
      <c r="A399" s="95" t="s">
        <v>33</v>
      </c>
      <c r="B399" s="2" t="s">
        <v>169</v>
      </c>
      <c r="E399" s="38"/>
    </row>
    <row r="400" spans="1:5" x14ac:dyDescent="0.35">
      <c r="A400" s="95" t="s">
        <v>41</v>
      </c>
      <c r="B400" s="2" t="s">
        <v>170</v>
      </c>
      <c r="E400" s="38"/>
    </row>
    <row r="401" spans="1:7" x14ac:dyDescent="0.35">
      <c r="E401" s="38"/>
    </row>
    <row r="402" spans="1:7" x14ac:dyDescent="0.35">
      <c r="A402" s="544" t="s">
        <v>624</v>
      </c>
      <c r="B402" s="21"/>
      <c r="E402" s="1" t="s">
        <v>625</v>
      </c>
      <c r="F402" s="1"/>
    </row>
    <row r="403" spans="1:7" x14ac:dyDescent="0.35">
      <c r="A403" s="95" t="s">
        <v>10</v>
      </c>
      <c r="B403" s="2" t="s">
        <v>171</v>
      </c>
      <c r="E403" s="3" t="s">
        <v>10</v>
      </c>
      <c r="F403" s="3" t="s">
        <v>626</v>
      </c>
    </row>
    <row r="404" spans="1:7" x14ac:dyDescent="0.35">
      <c r="A404" s="95" t="s">
        <v>12</v>
      </c>
      <c r="B404" s="2" t="s">
        <v>172</v>
      </c>
      <c r="E404" s="3" t="s">
        <v>12</v>
      </c>
      <c r="F404" s="3" t="s">
        <v>627</v>
      </c>
    </row>
    <row r="405" spans="1:7" ht="31" x14ac:dyDescent="0.35">
      <c r="A405" s="95" t="s">
        <v>33</v>
      </c>
      <c r="B405" s="2" t="s">
        <v>173</v>
      </c>
      <c r="E405" s="3" t="s">
        <v>33</v>
      </c>
      <c r="F405" s="3" t="s">
        <v>628</v>
      </c>
    </row>
    <row r="406" spans="1:7" x14ac:dyDescent="0.35">
      <c r="A406" s="95" t="s">
        <v>629</v>
      </c>
      <c r="B406" s="2" t="s">
        <v>174</v>
      </c>
      <c r="E406" s="3" t="s">
        <v>41</v>
      </c>
      <c r="F406" s="3" t="s">
        <v>630</v>
      </c>
    </row>
    <row r="407" spans="1:7" x14ac:dyDescent="0.35">
      <c r="F407" s="38"/>
    </row>
    <row r="408" spans="1:7" x14ac:dyDescent="0.35">
      <c r="A408" s="544" t="s">
        <v>631</v>
      </c>
      <c r="B408" s="21"/>
      <c r="E408" s="1" t="s">
        <v>632</v>
      </c>
      <c r="F408" s="38"/>
    </row>
    <row r="409" spans="1:7" x14ac:dyDescent="0.35">
      <c r="A409" s="95" t="s">
        <v>10</v>
      </c>
      <c r="B409" s="2" t="s">
        <v>175</v>
      </c>
      <c r="E409" s="3" t="s">
        <v>633</v>
      </c>
      <c r="F409" s="3" t="s">
        <v>634</v>
      </c>
    </row>
    <row r="410" spans="1:7" x14ac:dyDescent="0.35">
      <c r="A410" s="95" t="s">
        <v>635</v>
      </c>
      <c r="B410" s="2" t="s">
        <v>176</v>
      </c>
      <c r="E410" s="3" t="s">
        <v>636</v>
      </c>
      <c r="F410" s="3" t="s">
        <v>637</v>
      </c>
    </row>
    <row r="411" spans="1:7" ht="31" x14ac:dyDescent="0.35">
      <c r="A411" s="95" t="s">
        <v>638</v>
      </c>
      <c r="B411" s="2" t="s">
        <v>177</v>
      </c>
      <c r="E411" s="3" t="s">
        <v>639</v>
      </c>
    </row>
    <row r="412" spans="1:7" ht="31" x14ac:dyDescent="0.35">
      <c r="A412" s="95" t="s">
        <v>640</v>
      </c>
      <c r="B412" s="2" t="s">
        <v>178</v>
      </c>
      <c r="E412" s="38"/>
    </row>
    <row r="413" spans="1:7" x14ac:dyDescent="0.35">
      <c r="C413" s="96"/>
      <c r="D413" s="746"/>
      <c r="G413" s="3" t="s">
        <v>641</v>
      </c>
    </row>
    <row r="420" spans="1:14" s="1" customFormat="1" ht="18" customHeight="1" x14ac:dyDescent="0.35">
      <c r="A420" s="747"/>
      <c r="B420" s="97" t="s">
        <v>179</v>
      </c>
      <c r="C420" s="98" t="s">
        <v>180</v>
      </c>
      <c r="D420" s="748"/>
      <c r="E420" s="98" t="s">
        <v>642</v>
      </c>
      <c r="F420" s="98" t="s">
        <v>643</v>
      </c>
      <c r="G420" s="98" t="s">
        <v>644</v>
      </c>
      <c r="H420" s="98" t="s">
        <v>645</v>
      </c>
      <c r="I420" s="98"/>
      <c r="J420" s="98"/>
      <c r="K420" s="97"/>
      <c r="L420" s="21"/>
      <c r="M420" s="21"/>
      <c r="N420" s="581"/>
    </row>
    <row r="421" spans="1:14" s="1" customFormat="1" ht="18" customHeight="1" x14ac:dyDescent="0.35">
      <c r="A421" s="749"/>
      <c r="B421" s="99"/>
      <c r="C421" s="100" t="s">
        <v>181</v>
      </c>
      <c r="D421" s="750"/>
      <c r="E421" s="100" t="s">
        <v>646</v>
      </c>
      <c r="F421" s="100" t="s">
        <v>646</v>
      </c>
      <c r="G421" s="100" t="s">
        <v>646</v>
      </c>
      <c r="H421" s="100" t="s">
        <v>646</v>
      </c>
      <c r="I421" s="100"/>
      <c r="J421" s="101"/>
      <c r="K421" s="751"/>
      <c r="L421" s="21"/>
      <c r="M421" s="21"/>
      <c r="N421" s="581"/>
    </row>
    <row r="422" spans="1:14" ht="18" customHeight="1" x14ac:dyDescent="0.35">
      <c r="A422" s="752"/>
      <c r="B422" s="28" t="s">
        <v>182</v>
      </c>
      <c r="C422" s="10">
        <f t="shared" ref="C422:C445" si="35">SUM(E422:H422)</f>
        <v>81.36</v>
      </c>
      <c r="D422" s="615"/>
      <c r="E422" s="10">
        <f>+E30</f>
        <v>45.32</v>
      </c>
      <c r="F422" s="10"/>
      <c r="G422" s="10">
        <f>+G30</f>
        <v>0</v>
      </c>
      <c r="H422" s="10">
        <f>+H30</f>
        <v>36.04</v>
      </c>
      <c r="I422" s="10"/>
      <c r="J422" s="102"/>
      <c r="K422" s="653"/>
      <c r="L422" s="21"/>
      <c r="M422" s="21"/>
    </row>
    <row r="423" spans="1:14" ht="18" customHeight="1" x14ac:dyDescent="0.35">
      <c r="A423" s="752"/>
      <c r="B423" s="28" t="s">
        <v>183</v>
      </c>
      <c r="C423" s="10">
        <f t="shared" si="35"/>
        <v>74.350000000000009</v>
      </c>
      <c r="D423" s="615"/>
      <c r="E423" s="10">
        <f>+E58</f>
        <v>27.434000000000001</v>
      </c>
      <c r="F423" s="10"/>
      <c r="G423" s="10"/>
      <c r="H423" s="10">
        <f>+H58</f>
        <v>46.916000000000004</v>
      </c>
      <c r="I423" s="10"/>
      <c r="J423" s="103"/>
      <c r="K423" s="28"/>
    </row>
    <row r="424" spans="1:14" ht="18" customHeight="1" x14ac:dyDescent="0.35">
      <c r="A424" s="752"/>
      <c r="B424" s="28" t="s">
        <v>184</v>
      </c>
      <c r="C424" s="10">
        <f t="shared" si="35"/>
        <v>42.16</v>
      </c>
      <c r="D424" s="615"/>
      <c r="E424" s="10">
        <f>+E71</f>
        <v>3.4400000000000004</v>
      </c>
      <c r="F424" s="10"/>
      <c r="G424" s="10"/>
      <c r="H424" s="10">
        <f>+H71</f>
        <v>38.72</v>
      </c>
      <c r="I424" s="10"/>
      <c r="J424" s="102"/>
      <c r="K424" s="653"/>
      <c r="L424" s="21"/>
      <c r="M424" s="21"/>
    </row>
    <row r="425" spans="1:14" ht="18" customHeight="1" x14ac:dyDescent="0.35">
      <c r="A425" s="753"/>
      <c r="B425" s="104" t="s">
        <v>185</v>
      </c>
      <c r="C425" s="10">
        <f t="shared" si="35"/>
        <v>3.28</v>
      </c>
      <c r="D425" s="656"/>
      <c r="E425" s="11">
        <f>+E78</f>
        <v>0.48</v>
      </c>
      <c r="F425" s="11"/>
      <c r="G425" s="11"/>
      <c r="H425" s="11">
        <f>+H78</f>
        <v>2.8</v>
      </c>
      <c r="I425" s="11"/>
      <c r="J425" s="102"/>
      <c r="K425" s="653"/>
      <c r="L425" s="21"/>
      <c r="M425" s="21"/>
    </row>
    <row r="426" spans="1:14" ht="18" customHeight="1" x14ac:dyDescent="0.35">
      <c r="A426" s="753"/>
      <c r="B426" s="104" t="s">
        <v>186</v>
      </c>
      <c r="C426" s="10">
        <f t="shared" si="35"/>
        <v>28.35</v>
      </c>
      <c r="D426" s="656"/>
      <c r="E426" s="11">
        <f>+E92</f>
        <v>13.950000000000001</v>
      </c>
      <c r="F426" s="11"/>
      <c r="G426" s="11"/>
      <c r="H426" s="11">
        <f>+H92</f>
        <v>14.399999999999999</v>
      </c>
      <c r="I426" s="11"/>
      <c r="J426" s="102"/>
      <c r="K426" s="653"/>
      <c r="L426" s="21"/>
      <c r="M426" s="21"/>
    </row>
    <row r="427" spans="1:14" ht="18" customHeight="1" x14ac:dyDescent="0.35">
      <c r="A427" s="753"/>
      <c r="B427" s="104" t="s">
        <v>187</v>
      </c>
      <c r="C427" s="10">
        <f t="shared" si="35"/>
        <v>107.36</v>
      </c>
      <c r="D427" s="656"/>
      <c r="E427" s="11">
        <f>+E126</f>
        <v>39.007000000000005</v>
      </c>
      <c r="F427" s="11"/>
      <c r="G427" s="11"/>
      <c r="H427" s="11">
        <f>+H126</f>
        <v>68.352999999999994</v>
      </c>
      <c r="I427" s="11"/>
      <c r="J427" s="102"/>
      <c r="K427" s="653"/>
      <c r="L427" s="21"/>
      <c r="M427" s="21"/>
    </row>
    <row r="428" spans="1:14" ht="18" customHeight="1" x14ac:dyDescent="0.35">
      <c r="A428" s="753"/>
      <c r="B428" s="104" t="s">
        <v>188</v>
      </c>
      <c r="C428" s="10">
        <f t="shared" si="35"/>
        <v>10.66</v>
      </c>
      <c r="D428" s="656"/>
      <c r="E428" s="11">
        <f>+E138</f>
        <v>2.62</v>
      </c>
      <c r="F428" s="11"/>
      <c r="G428" s="11"/>
      <c r="H428" s="11">
        <f>+H138</f>
        <v>8.0399999999999991</v>
      </c>
      <c r="I428" s="11"/>
      <c r="J428" s="102"/>
      <c r="K428" s="653"/>
      <c r="L428" s="21"/>
      <c r="M428" s="21"/>
    </row>
    <row r="429" spans="1:14" ht="18" customHeight="1" x14ac:dyDescent="0.35">
      <c r="A429" s="753"/>
      <c r="B429" s="104" t="s">
        <v>189</v>
      </c>
      <c r="C429" s="10">
        <f t="shared" si="35"/>
        <v>18.670000000000002</v>
      </c>
      <c r="D429" s="656"/>
      <c r="E429" s="11">
        <f>+E146</f>
        <v>13</v>
      </c>
      <c r="F429" s="11"/>
      <c r="G429" s="11"/>
      <c r="H429" s="11">
        <f>+H146</f>
        <v>5.67</v>
      </c>
      <c r="I429" s="11"/>
      <c r="J429" s="102"/>
      <c r="K429" s="653"/>
      <c r="L429" s="21"/>
      <c r="M429" s="21"/>
    </row>
    <row r="430" spans="1:14" s="1" customFormat="1" ht="18" customHeight="1" x14ac:dyDescent="0.35">
      <c r="A430" s="753"/>
      <c r="B430" s="81" t="s">
        <v>190</v>
      </c>
      <c r="C430" s="51">
        <f t="shared" si="35"/>
        <v>366.19</v>
      </c>
      <c r="D430" s="708"/>
      <c r="E430" s="82">
        <f>SUM(E422:E429)</f>
        <v>145.25100000000003</v>
      </c>
      <c r="F430" s="82">
        <f>SUM(F422:F429)</f>
        <v>0</v>
      </c>
      <c r="G430" s="82">
        <f>SUM(G422:G429)</f>
        <v>0</v>
      </c>
      <c r="H430" s="82">
        <f>SUM(H422:H429)</f>
        <v>220.93899999999996</v>
      </c>
      <c r="I430" s="82"/>
      <c r="J430" s="102"/>
      <c r="K430" s="653"/>
      <c r="L430" s="21"/>
      <c r="M430" s="21"/>
      <c r="N430" s="581"/>
    </row>
    <row r="431" spans="1:14" ht="18" customHeight="1" x14ac:dyDescent="0.35">
      <c r="A431" s="753"/>
      <c r="B431" s="104" t="s">
        <v>191</v>
      </c>
      <c r="C431" s="10">
        <f t="shared" si="35"/>
        <v>108.1</v>
      </c>
      <c r="D431" s="656"/>
      <c r="E431" s="11">
        <f>+E168</f>
        <v>35.848999999999997</v>
      </c>
      <c r="F431" s="11">
        <f>+F168</f>
        <v>0</v>
      </c>
      <c r="G431" s="11"/>
      <c r="H431" s="11">
        <f>+H168</f>
        <v>72.251000000000005</v>
      </c>
      <c r="I431" s="11"/>
      <c r="J431" s="102"/>
      <c r="K431" s="653"/>
      <c r="L431" s="21"/>
      <c r="M431" s="21"/>
    </row>
    <row r="432" spans="1:14" ht="18" customHeight="1" x14ac:dyDescent="0.35">
      <c r="A432" s="753"/>
      <c r="B432" s="104" t="s">
        <v>192</v>
      </c>
      <c r="C432" s="10">
        <f t="shared" si="35"/>
        <v>71.400000000000006</v>
      </c>
      <c r="D432" s="656"/>
      <c r="E432" s="11">
        <f>+E181</f>
        <v>33.61</v>
      </c>
      <c r="F432" s="11"/>
      <c r="G432" s="11"/>
      <c r="H432" s="11">
        <f>+H181</f>
        <v>37.790000000000006</v>
      </c>
      <c r="I432" s="11"/>
      <c r="J432" s="102"/>
      <c r="K432" s="653"/>
      <c r="L432" s="21"/>
      <c r="M432" s="21"/>
    </row>
    <row r="433" spans="1:14" ht="18" customHeight="1" x14ac:dyDescent="0.35">
      <c r="A433" s="753"/>
      <c r="B433" s="104" t="s">
        <v>193</v>
      </c>
      <c r="C433" s="10">
        <f t="shared" si="35"/>
        <v>86.89700000000002</v>
      </c>
      <c r="D433" s="656"/>
      <c r="E433" s="11">
        <f>+E195</f>
        <v>16.649999999999999</v>
      </c>
      <c r="F433" s="11"/>
      <c r="G433" s="11"/>
      <c r="H433" s="11">
        <f>+H195</f>
        <v>70.247000000000014</v>
      </c>
      <c r="I433" s="11"/>
      <c r="J433" s="102"/>
      <c r="K433" s="653"/>
      <c r="L433" s="21"/>
      <c r="M433" s="21"/>
    </row>
    <row r="434" spans="1:14" ht="18" customHeight="1" x14ac:dyDescent="0.35">
      <c r="A434" s="753"/>
      <c r="B434" s="104" t="s">
        <v>194</v>
      </c>
      <c r="C434" s="10">
        <f t="shared" si="35"/>
        <v>9</v>
      </c>
      <c r="D434" s="656"/>
      <c r="E434" s="11">
        <f>+E204</f>
        <v>0.79</v>
      </c>
      <c r="F434" s="11"/>
      <c r="G434" s="11"/>
      <c r="H434" s="11">
        <f>+H204</f>
        <v>8.2100000000000009</v>
      </c>
      <c r="I434" s="11"/>
      <c r="J434" s="102"/>
      <c r="K434" s="653"/>
      <c r="L434" s="21"/>
      <c r="M434" s="21"/>
    </row>
    <row r="435" spans="1:14" ht="18" customHeight="1" x14ac:dyDescent="0.35">
      <c r="A435" s="753"/>
      <c r="B435" s="104" t="s">
        <v>195</v>
      </c>
      <c r="C435" s="10">
        <f t="shared" si="35"/>
        <v>59.579999999999991</v>
      </c>
      <c r="D435" s="656"/>
      <c r="E435" s="11">
        <f>+E221</f>
        <v>18.555</v>
      </c>
      <c r="F435" s="11"/>
      <c r="G435" s="11"/>
      <c r="H435" s="11">
        <f>+H221</f>
        <v>41.024999999999991</v>
      </c>
      <c r="I435" s="11"/>
      <c r="J435" s="102"/>
      <c r="K435" s="653"/>
      <c r="L435" s="21"/>
      <c r="M435" s="21"/>
    </row>
    <row r="436" spans="1:14" ht="18" customHeight="1" x14ac:dyDescent="0.35">
      <c r="A436" s="753"/>
      <c r="B436" s="104" t="s">
        <v>196</v>
      </c>
      <c r="C436" s="10">
        <f t="shared" si="35"/>
        <v>10.100000000000001</v>
      </c>
      <c r="D436" s="656"/>
      <c r="E436" s="11">
        <f>+E231</f>
        <v>1.8</v>
      </c>
      <c r="F436" s="11">
        <f>+F231</f>
        <v>0</v>
      </c>
      <c r="G436" s="11"/>
      <c r="H436" s="11">
        <f>+H231</f>
        <v>8.3000000000000007</v>
      </c>
      <c r="I436" s="11"/>
      <c r="J436" s="102"/>
      <c r="K436" s="653"/>
      <c r="L436" s="21"/>
      <c r="M436" s="21"/>
    </row>
    <row r="437" spans="1:14" ht="18" customHeight="1" x14ac:dyDescent="0.35">
      <c r="A437" s="753"/>
      <c r="B437" s="104" t="s">
        <v>197</v>
      </c>
      <c r="C437" s="10">
        <f t="shared" si="35"/>
        <v>33</v>
      </c>
      <c r="D437" s="656"/>
      <c r="E437" s="11">
        <f>+E244</f>
        <v>24.16</v>
      </c>
      <c r="F437" s="11">
        <f>+F244</f>
        <v>1.45</v>
      </c>
      <c r="G437" s="11"/>
      <c r="H437" s="11">
        <f>+H244</f>
        <v>7.3900000000000006</v>
      </c>
      <c r="I437" s="11"/>
      <c r="J437" s="102"/>
      <c r="K437" s="653"/>
      <c r="L437" s="21"/>
      <c r="M437" s="21"/>
    </row>
    <row r="438" spans="1:14" ht="18" customHeight="1" x14ac:dyDescent="0.35">
      <c r="A438" s="753"/>
      <c r="B438" s="104" t="s">
        <v>198</v>
      </c>
      <c r="C438" s="10">
        <f t="shared" si="35"/>
        <v>6.81</v>
      </c>
      <c r="D438" s="656"/>
      <c r="E438" s="11">
        <f>+E257</f>
        <v>6.0699999999999994</v>
      </c>
      <c r="F438" s="11">
        <f>+F257</f>
        <v>0.74</v>
      </c>
      <c r="G438" s="11"/>
      <c r="H438" s="11">
        <f>+H257</f>
        <v>0</v>
      </c>
      <c r="I438" s="11"/>
      <c r="J438" s="102"/>
      <c r="K438" s="653"/>
      <c r="L438" s="21"/>
      <c r="M438" s="21"/>
    </row>
    <row r="439" spans="1:14" ht="18" customHeight="1" x14ac:dyDescent="0.35">
      <c r="A439" s="753"/>
      <c r="B439" s="104" t="s">
        <v>199</v>
      </c>
      <c r="C439" s="10">
        <f t="shared" si="35"/>
        <v>7.25</v>
      </c>
      <c r="D439" s="656"/>
      <c r="E439" s="11">
        <f>+E266</f>
        <v>3.3</v>
      </c>
      <c r="F439" s="11"/>
      <c r="G439" s="11"/>
      <c r="H439" s="11">
        <f>+H266</f>
        <v>3.9499999999999997</v>
      </c>
      <c r="I439" s="11"/>
      <c r="J439" s="102"/>
      <c r="K439" s="653"/>
      <c r="L439" s="21"/>
      <c r="M439" s="21"/>
    </row>
    <row r="440" spans="1:14" ht="18" customHeight="1" x14ac:dyDescent="0.35">
      <c r="A440" s="753"/>
      <c r="B440" s="104" t="s">
        <v>200</v>
      </c>
      <c r="C440" s="10">
        <f t="shared" si="35"/>
        <v>76.180000000000007</v>
      </c>
      <c r="D440" s="656"/>
      <c r="E440" s="11">
        <f>+E282</f>
        <v>54.74</v>
      </c>
      <c r="F440" s="11"/>
      <c r="G440" s="11"/>
      <c r="H440" s="11">
        <f>+H282</f>
        <v>21.44</v>
      </c>
      <c r="I440" s="11"/>
      <c r="J440" s="102"/>
      <c r="K440" s="653"/>
      <c r="L440" s="21"/>
      <c r="M440" s="21"/>
    </row>
    <row r="441" spans="1:14" ht="18" customHeight="1" x14ac:dyDescent="0.35">
      <c r="A441" s="753"/>
      <c r="B441" s="104" t="s">
        <v>201</v>
      </c>
      <c r="C441" s="10">
        <f t="shared" si="35"/>
        <v>34.027999999999999</v>
      </c>
      <c r="D441" s="656"/>
      <c r="E441" s="11">
        <f>+E293</f>
        <v>11.007999999999999</v>
      </c>
      <c r="F441" s="11"/>
      <c r="G441" s="11"/>
      <c r="H441" s="11">
        <f>+H293</f>
        <v>23.02</v>
      </c>
      <c r="I441" s="11"/>
      <c r="J441" s="102"/>
      <c r="K441" s="653"/>
      <c r="L441" s="21"/>
      <c r="M441" s="21"/>
    </row>
    <row r="442" spans="1:14" ht="18" customHeight="1" x14ac:dyDescent="0.35">
      <c r="A442" s="753"/>
      <c r="B442" s="104" t="s">
        <v>202</v>
      </c>
      <c r="C442" s="10">
        <f t="shared" si="35"/>
        <v>24.68</v>
      </c>
      <c r="D442" s="656"/>
      <c r="E442" s="11">
        <f>+E304</f>
        <v>17.463999999999999</v>
      </c>
      <c r="F442" s="11"/>
      <c r="G442" s="11"/>
      <c r="H442" s="11">
        <f>+H304</f>
        <v>7.2160000000000002</v>
      </c>
      <c r="I442" s="11"/>
      <c r="J442" s="102"/>
      <c r="K442" s="653"/>
      <c r="L442" s="21"/>
      <c r="M442" s="21"/>
    </row>
    <row r="443" spans="1:14" ht="18" customHeight="1" x14ac:dyDescent="0.35">
      <c r="A443" s="753"/>
      <c r="B443" s="104" t="s">
        <v>203</v>
      </c>
      <c r="C443" s="10">
        <f t="shared" si="35"/>
        <v>8.7409999999999997</v>
      </c>
      <c r="D443" s="656"/>
      <c r="E443" s="11">
        <f>+E312</f>
        <v>1.18</v>
      </c>
      <c r="F443" s="11"/>
      <c r="G443" s="11"/>
      <c r="H443" s="11">
        <f>+H312</f>
        <v>7.5609999999999999</v>
      </c>
      <c r="I443" s="11"/>
      <c r="J443" s="102"/>
      <c r="K443" s="653"/>
      <c r="L443" s="21"/>
      <c r="M443" s="21"/>
    </row>
    <row r="444" spans="1:14" s="1" customFormat="1" ht="18" customHeight="1" x14ac:dyDescent="0.35">
      <c r="A444" s="753"/>
      <c r="B444" s="81" t="s">
        <v>190</v>
      </c>
      <c r="C444" s="51">
        <f t="shared" si="35"/>
        <v>535.76600000000008</v>
      </c>
      <c r="D444" s="708"/>
      <c r="E444" s="82">
        <f>SUM(E431:E443)</f>
        <v>225.17600000000004</v>
      </c>
      <c r="F444" s="82">
        <f>SUM(F431:F443)</f>
        <v>2.19</v>
      </c>
      <c r="G444" s="82"/>
      <c r="H444" s="82">
        <f>SUM(H431:H443)</f>
        <v>308.39999999999998</v>
      </c>
      <c r="I444" s="82"/>
      <c r="J444" s="102"/>
      <c r="K444" s="653"/>
      <c r="L444" s="21"/>
      <c r="M444" s="21"/>
      <c r="N444" s="581"/>
    </row>
    <row r="445" spans="1:14" ht="18" customHeight="1" x14ac:dyDescent="0.35">
      <c r="A445" s="752"/>
      <c r="B445" s="105" t="s">
        <v>204</v>
      </c>
      <c r="C445" s="51">
        <f t="shared" si="35"/>
        <v>901.95600000000002</v>
      </c>
      <c r="D445" s="708"/>
      <c r="E445" s="82">
        <f>+E444+E430</f>
        <v>370.42700000000008</v>
      </c>
      <c r="F445" s="82">
        <f>+F444+F430</f>
        <v>2.19</v>
      </c>
      <c r="G445" s="82">
        <f>+G444+G430</f>
        <v>0</v>
      </c>
      <c r="H445" s="82">
        <f>+H444+H430</f>
        <v>529.33899999999994</v>
      </c>
      <c r="I445" s="82"/>
      <c r="J445" s="102"/>
      <c r="K445" s="105"/>
      <c r="L445" s="21"/>
      <c r="M445" s="21"/>
    </row>
    <row r="447" spans="1:14" ht="31" x14ac:dyDescent="0.35">
      <c r="C447" s="96">
        <v>1149.9349999999999</v>
      </c>
      <c r="D447" s="746"/>
      <c r="K447" s="2" t="s">
        <v>647</v>
      </c>
    </row>
  </sheetData>
  <autoFilter ref="J1:J460" xr:uid="{00000000-0009-0000-0000-000009000000}"/>
  <mergeCells count="176">
    <mergeCell ref="N216:N217"/>
    <mergeCell ref="A1:K1"/>
    <mergeCell ref="A2:K2"/>
    <mergeCell ref="A3:K3"/>
    <mergeCell ref="A6:L6"/>
    <mergeCell ref="A8:A9"/>
    <mergeCell ref="B8:B9"/>
    <mergeCell ref="C8:C9"/>
    <mergeCell ref="D8:D9"/>
    <mergeCell ref="E8:I8"/>
    <mergeCell ref="J8:J9"/>
    <mergeCell ref="K8:K9"/>
    <mergeCell ref="L8:L9"/>
    <mergeCell ref="A32:L32"/>
    <mergeCell ref="A34:A35"/>
    <mergeCell ref="B34:B35"/>
    <mergeCell ref="C34:C35"/>
    <mergeCell ref="E34:I34"/>
    <mergeCell ref="J34:J35"/>
    <mergeCell ref="K34:K35"/>
    <mergeCell ref="L34:L35"/>
    <mergeCell ref="A73:L73"/>
    <mergeCell ref="A75:A76"/>
    <mergeCell ref="B75:B76"/>
    <mergeCell ref="C75:C76"/>
    <mergeCell ref="E75:I75"/>
    <mergeCell ref="J75:J76"/>
    <mergeCell ref="K75:K76"/>
    <mergeCell ref="L75:L76"/>
    <mergeCell ref="A59:L59"/>
    <mergeCell ref="A61:A62"/>
    <mergeCell ref="B61:B62"/>
    <mergeCell ref="C61:C62"/>
    <mergeCell ref="E61:I61"/>
    <mergeCell ref="J61:J62"/>
    <mergeCell ref="K61:K62"/>
    <mergeCell ref="L61:L62"/>
    <mergeCell ref="A94:L94"/>
    <mergeCell ref="A96:A97"/>
    <mergeCell ref="B96:B97"/>
    <mergeCell ref="C96:C97"/>
    <mergeCell ref="E96:I96"/>
    <mergeCell ref="J96:J97"/>
    <mergeCell ref="K96:K97"/>
    <mergeCell ref="L96:L97"/>
    <mergeCell ref="A80:L80"/>
    <mergeCell ref="A82:A83"/>
    <mergeCell ref="B82:B83"/>
    <mergeCell ref="C82:C83"/>
    <mergeCell ref="E82:I82"/>
    <mergeCell ref="J82:J83"/>
    <mergeCell ref="K82:K83"/>
    <mergeCell ref="L82:L83"/>
    <mergeCell ref="A140:L140"/>
    <mergeCell ref="A142:A143"/>
    <mergeCell ref="B142:B143"/>
    <mergeCell ref="C142:C143"/>
    <mergeCell ref="E142:I142"/>
    <mergeCell ref="J142:J143"/>
    <mergeCell ref="K142:K143"/>
    <mergeCell ref="L142:L143"/>
    <mergeCell ref="A128:L128"/>
    <mergeCell ref="A130:A131"/>
    <mergeCell ref="B130:B131"/>
    <mergeCell ref="C130:C131"/>
    <mergeCell ref="E130:I130"/>
    <mergeCell ref="J130:J131"/>
    <mergeCell ref="K130:K131"/>
    <mergeCell ref="L130:L131"/>
    <mergeCell ref="A170:K170"/>
    <mergeCell ref="A172:A173"/>
    <mergeCell ref="B172:B173"/>
    <mergeCell ref="C172:C173"/>
    <mergeCell ref="E172:I172"/>
    <mergeCell ref="J172:J173"/>
    <mergeCell ref="K172:K173"/>
    <mergeCell ref="A148:B148"/>
    <mergeCell ref="A150:L150"/>
    <mergeCell ref="A152:A153"/>
    <mergeCell ref="B152:B153"/>
    <mergeCell ref="C152:C153"/>
    <mergeCell ref="E152:I152"/>
    <mergeCell ref="J152:J153"/>
    <mergeCell ref="K152:K153"/>
    <mergeCell ref="L152:L153"/>
    <mergeCell ref="A197:K197"/>
    <mergeCell ref="A199:A200"/>
    <mergeCell ref="B199:B200"/>
    <mergeCell ref="C199:C200"/>
    <mergeCell ref="E199:I199"/>
    <mergeCell ref="J199:J200"/>
    <mergeCell ref="K199:K200"/>
    <mergeCell ref="L172:L173"/>
    <mergeCell ref="A183:K183"/>
    <mergeCell ref="A185:A186"/>
    <mergeCell ref="B185:B186"/>
    <mergeCell ref="C185:C186"/>
    <mergeCell ref="E185:I185"/>
    <mergeCell ref="J185:J186"/>
    <mergeCell ref="K185:K186"/>
    <mergeCell ref="L185:L186"/>
    <mergeCell ref="L199:L200"/>
    <mergeCell ref="A206:K206"/>
    <mergeCell ref="A208:A209"/>
    <mergeCell ref="B208:B209"/>
    <mergeCell ref="C208:C209"/>
    <mergeCell ref="E208:I208"/>
    <mergeCell ref="J208:J209"/>
    <mergeCell ref="K208:K209"/>
    <mergeCell ref="L208:L209"/>
    <mergeCell ref="A233:K233"/>
    <mergeCell ref="A235:A236"/>
    <mergeCell ref="B235:B236"/>
    <mergeCell ref="C235:C236"/>
    <mergeCell ref="E235:I235"/>
    <mergeCell ref="J235:J236"/>
    <mergeCell ref="K235:K236"/>
    <mergeCell ref="A223:L223"/>
    <mergeCell ref="A225:A226"/>
    <mergeCell ref="B225:B226"/>
    <mergeCell ref="C225:C226"/>
    <mergeCell ref="E225:I225"/>
    <mergeCell ref="J225:J226"/>
    <mergeCell ref="K225:K226"/>
    <mergeCell ref="L225:L226"/>
    <mergeCell ref="L235:L236"/>
    <mergeCell ref="A246:L246"/>
    <mergeCell ref="A248:A249"/>
    <mergeCell ref="B248:B249"/>
    <mergeCell ref="C248:C249"/>
    <mergeCell ref="E248:I248"/>
    <mergeCell ref="J248:J249"/>
    <mergeCell ref="K248:K249"/>
    <mergeCell ref="L248:L249"/>
    <mergeCell ref="A268:L268"/>
    <mergeCell ref="A270:A271"/>
    <mergeCell ref="B270:B271"/>
    <mergeCell ref="C270:C271"/>
    <mergeCell ref="E270:I270"/>
    <mergeCell ref="J270:J271"/>
    <mergeCell ref="K270:K271"/>
    <mergeCell ref="L270:L271"/>
    <mergeCell ref="A259:L259"/>
    <mergeCell ref="A261:A262"/>
    <mergeCell ref="B261:B262"/>
    <mergeCell ref="C261:C262"/>
    <mergeCell ref="E261:I261"/>
    <mergeCell ref="J261:J262"/>
    <mergeCell ref="K261:K262"/>
    <mergeCell ref="L261:L262"/>
    <mergeCell ref="A295:L295"/>
    <mergeCell ref="A297:A298"/>
    <mergeCell ref="B297:B298"/>
    <mergeCell ref="C297:C298"/>
    <mergeCell ref="E297:I297"/>
    <mergeCell ref="J297:J298"/>
    <mergeCell ref="K297:K298"/>
    <mergeCell ref="L297:L298"/>
    <mergeCell ref="A284:L284"/>
    <mergeCell ref="A286:A287"/>
    <mergeCell ref="B286:B287"/>
    <mergeCell ref="C286:C287"/>
    <mergeCell ref="E286:I286"/>
    <mergeCell ref="J286:J287"/>
    <mergeCell ref="K286:K287"/>
    <mergeCell ref="L286:L287"/>
    <mergeCell ref="A314:B314"/>
    <mergeCell ref="A315:B315"/>
    <mergeCell ref="A306:L306"/>
    <mergeCell ref="A308:A309"/>
    <mergeCell ref="B308:B309"/>
    <mergeCell ref="C308:C309"/>
    <mergeCell ref="E308:I308"/>
    <mergeCell ref="J308:J309"/>
    <mergeCell ref="K308:K309"/>
    <mergeCell ref="L308:L309"/>
  </mergeCells>
  <pageMargins left="0.7" right="0.7" top="0.75" bottom="0.75" header="0.3" footer="0.3"/>
  <pageSetup paperSize="9" scale="72" orientation="landscape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rgb="FFC00000"/>
    <pageSetUpPr fitToPage="1"/>
  </sheetPr>
  <dimension ref="A1:R76"/>
  <sheetViews>
    <sheetView view="pageBreakPreview" topLeftCell="A41" zoomScaleNormal="100" zoomScaleSheetLayoutView="100" workbookViewId="0">
      <selection activeCell="R66" sqref="R66"/>
    </sheetView>
  </sheetViews>
  <sheetFormatPr defaultColWidth="9.1796875" defaultRowHeight="14" x14ac:dyDescent="0.35"/>
  <cols>
    <col min="1" max="1" width="14.1796875" style="524" customWidth="1"/>
    <col min="2" max="2" width="32.453125" style="525" bestFit="1" customWidth="1"/>
    <col min="3" max="3" width="9.1796875" style="532"/>
    <col min="4" max="7" width="9.1796875" style="530"/>
    <col min="8" max="15" width="9.1796875" style="530" customWidth="1"/>
    <col min="16" max="18" width="9.1796875" style="569"/>
    <col min="19" max="16384" width="9.1796875" style="517"/>
  </cols>
  <sheetData>
    <row r="1" spans="1:18" s="525" customFormat="1" ht="16.5" customHeight="1" x14ac:dyDescent="0.35">
      <c r="A1" s="1247" t="s">
        <v>302</v>
      </c>
      <c r="B1" s="1246" t="s">
        <v>28</v>
      </c>
      <c r="C1" s="1245" t="s">
        <v>656</v>
      </c>
      <c r="D1" s="1251" t="s">
        <v>305</v>
      </c>
      <c r="E1" s="1251"/>
      <c r="F1" s="1251"/>
      <c r="G1" s="1251"/>
      <c r="H1" s="1251"/>
      <c r="I1" s="1251"/>
      <c r="J1" s="1251"/>
      <c r="K1" s="1251"/>
      <c r="L1" s="1251"/>
      <c r="M1" s="1251"/>
      <c r="N1" s="1251"/>
      <c r="O1" s="1251"/>
      <c r="P1" s="564"/>
      <c r="Q1" s="564"/>
      <c r="R1" s="564"/>
    </row>
    <row r="2" spans="1:18" s="525" customFormat="1" x14ac:dyDescent="0.35">
      <c r="A2" s="1247"/>
      <c r="B2" s="1246"/>
      <c r="C2" s="1245"/>
      <c r="D2" s="1248">
        <v>2019</v>
      </c>
      <c r="E2" s="1248"/>
      <c r="F2" s="1248"/>
      <c r="G2" s="1248"/>
      <c r="H2" s="1249">
        <v>2020</v>
      </c>
      <c r="I2" s="1249"/>
      <c r="J2" s="1249"/>
      <c r="K2" s="1249"/>
      <c r="L2" s="1250">
        <v>2021</v>
      </c>
      <c r="M2" s="1250"/>
      <c r="N2" s="1250"/>
      <c r="O2" s="1250"/>
      <c r="P2" s="580">
        <v>2019</v>
      </c>
      <c r="Q2" s="580">
        <v>2020</v>
      </c>
      <c r="R2" s="580">
        <v>2021</v>
      </c>
    </row>
    <row r="3" spans="1:18" s="553" customFormat="1" ht="20.149999999999999" customHeight="1" x14ac:dyDescent="0.35">
      <c r="A3" s="1247"/>
      <c r="B3" s="1246"/>
      <c r="C3" s="1245"/>
      <c r="D3" s="551" t="s">
        <v>308</v>
      </c>
      <c r="E3" s="552" t="s">
        <v>309</v>
      </c>
      <c r="F3" s="552" t="s">
        <v>310</v>
      </c>
      <c r="G3" s="552" t="s">
        <v>311</v>
      </c>
      <c r="H3" s="551" t="s">
        <v>308</v>
      </c>
      <c r="I3" s="552" t="s">
        <v>309</v>
      </c>
      <c r="J3" s="552" t="s">
        <v>310</v>
      </c>
      <c r="K3" s="552" t="s">
        <v>311</v>
      </c>
      <c r="L3" s="551" t="s">
        <v>308</v>
      </c>
      <c r="M3" s="552" t="s">
        <v>309</v>
      </c>
      <c r="N3" s="552" t="s">
        <v>310</v>
      </c>
      <c r="O3" s="552" t="s">
        <v>311</v>
      </c>
      <c r="P3" s="565"/>
      <c r="Q3" s="565"/>
      <c r="R3" s="565"/>
    </row>
    <row r="4" spans="1:18" s="546" customFormat="1" x14ac:dyDescent="0.35">
      <c r="A4" s="547">
        <v>132</v>
      </c>
      <c r="B4" s="548" t="s">
        <v>85</v>
      </c>
      <c r="C4" s="549">
        <v>13.5</v>
      </c>
      <c r="D4" s="545">
        <v>6.58</v>
      </c>
      <c r="E4" s="545">
        <v>0</v>
      </c>
      <c r="F4" s="545">
        <v>0</v>
      </c>
      <c r="G4" s="545">
        <f>6.73+0.19</f>
        <v>6.9200000000000008</v>
      </c>
      <c r="H4" s="554">
        <v>6.58</v>
      </c>
      <c r="I4" s="554">
        <v>0</v>
      </c>
      <c r="J4" s="554">
        <v>0</v>
      </c>
      <c r="K4" s="554">
        <f>6.73+0.19</f>
        <v>6.9200000000000008</v>
      </c>
      <c r="L4" s="550">
        <f>H4</f>
        <v>6.58</v>
      </c>
      <c r="M4" s="550">
        <v>0</v>
      </c>
      <c r="N4" s="550">
        <v>0</v>
      </c>
      <c r="O4" s="550">
        <f>K4</f>
        <v>6.9200000000000008</v>
      </c>
      <c r="P4" s="566">
        <f>SUM(D4:G4)</f>
        <v>13.5</v>
      </c>
      <c r="Q4" s="566">
        <f>SUM(H4:K4)</f>
        <v>13.5</v>
      </c>
      <c r="R4" s="566">
        <f>SUM(L4:O4)</f>
        <v>13.5</v>
      </c>
    </row>
    <row r="5" spans="1:18" s="546" customFormat="1" x14ac:dyDescent="0.35">
      <c r="A5" s="547">
        <v>156</v>
      </c>
      <c r="B5" s="548" t="s">
        <v>130</v>
      </c>
      <c r="C5" s="549">
        <v>20</v>
      </c>
      <c r="D5" s="545">
        <v>8.2050000000000001</v>
      </c>
      <c r="E5" s="545">
        <v>0</v>
      </c>
      <c r="F5" s="545">
        <v>0</v>
      </c>
      <c r="G5" s="545">
        <v>11.795</v>
      </c>
      <c r="H5" s="562">
        <v>8.2050000000000001</v>
      </c>
      <c r="I5" s="562">
        <v>0</v>
      </c>
      <c r="J5" s="562">
        <v>0</v>
      </c>
      <c r="K5" s="562">
        <v>11.795</v>
      </c>
      <c r="L5" s="550">
        <v>8.2050000000000001</v>
      </c>
      <c r="M5" s="550">
        <v>0</v>
      </c>
      <c r="N5" s="550">
        <v>0</v>
      </c>
      <c r="O5" s="550">
        <v>11.795</v>
      </c>
      <c r="P5" s="566">
        <f t="shared" ref="P5:P51" si="0">SUM(D5:G5)</f>
        <v>20</v>
      </c>
      <c r="Q5" s="566">
        <f t="shared" ref="Q5:Q51" si="1">SUM(H5:K5)</f>
        <v>20</v>
      </c>
      <c r="R5" s="566">
        <f t="shared" ref="R5:R51" si="2">SUM(L5:O5)</f>
        <v>20</v>
      </c>
    </row>
    <row r="6" spans="1:18" s="546" customFormat="1" x14ac:dyDescent="0.35">
      <c r="A6" s="547">
        <v>160</v>
      </c>
      <c r="B6" s="548" t="s">
        <v>527</v>
      </c>
      <c r="C6" s="549">
        <v>28</v>
      </c>
      <c r="D6" s="545">
        <f>L6</f>
        <v>9.7439999999999998</v>
      </c>
      <c r="E6" s="545">
        <v>0</v>
      </c>
      <c r="F6" s="545">
        <v>0</v>
      </c>
      <c r="G6" s="545">
        <f>O6</f>
        <v>18.256</v>
      </c>
      <c r="H6" s="562">
        <f>D6</f>
        <v>9.7439999999999998</v>
      </c>
      <c r="I6" s="562">
        <v>0</v>
      </c>
      <c r="J6" s="562">
        <v>0</v>
      </c>
      <c r="K6" s="562">
        <f>G6</f>
        <v>18.256</v>
      </c>
      <c r="L6" s="550">
        <v>9.7439999999999998</v>
      </c>
      <c r="M6" s="550">
        <v>0</v>
      </c>
      <c r="N6" s="550">
        <v>0</v>
      </c>
      <c r="O6" s="550">
        <v>18.256</v>
      </c>
      <c r="P6" s="566">
        <f t="shared" si="0"/>
        <v>28</v>
      </c>
      <c r="Q6" s="566">
        <f t="shared" si="1"/>
        <v>28</v>
      </c>
      <c r="R6" s="566">
        <f t="shared" si="2"/>
        <v>28</v>
      </c>
    </row>
    <row r="7" spans="1:18" x14ac:dyDescent="0.35">
      <c r="A7" s="526">
        <v>158</v>
      </c>
      <c r="B7" s="527" t="s">
        <v>517</v>
      </c>
      <c r="C7" s="531">
        <v>7.1999999999999993</v>
      </c>
      <c r="D7" s="563">
        <v>0</v>
      </c>
      <c r="E7" s="563">
        <v>0</v>
      </c>
      <c r="F7" s="563">
        <v>0</v>
      </c>
      <c r="G7" s="563">
        <v>7.2</v>
      </c>
      <c r="H7" s="528">
        <v>4.08</v>
      </c>
      <c r="I7" s="528">
        <v>0</v>
      </c>
      <c r="J7" s="528">
        <v>3.12</v>
      </c>
      <c r="K7" s="528">
        <v>0</v>
      </c>
      <c r="L7" s="529">
        <v>4.08</v>
      </c>
      <c r="M7" s="529">
        <v>0</v>
      </c>
      <c r="N7" s="529">
        <v>0</v>
      </c>
      <c r="O7" s="529">
        <v>3.12</v>
      </c>
      <c r="P7" s="567">
        <f t="shared" si="0"/>
        <v>7.2</v>
      </c>
      <c r="Q7" s="567">
        <f t="shared" si="1"/>
        <v>7.2</v>
      </c>
      <c r="R7" s="567">
        <f t="shared" si="2"/>
        <v>7.2</v>
      </c>
    </row>
    <row r="8" spans="1:18" s="546" customFormat="1" x14ac:dyDescent="0.35">
      <c r="A8" s="547">
        <v>202</v>
      </c>
      <c r="B8" s="548" t="s">
        <v>557</v>
      </c>
      <c r="C8" s="549">
        <v>5.3000000000000007</v>
      </c>
      <c r="D8" s="545">
        <v>0.9</v>
      </c>
      <c r="E8" s="545">
        <v>0</v>
      </c>
      <c r="F8" s="545">
        <v>0</v>
      </c>
      <c r="G8" s="545">
        <v>4.4000000000000004</v>
      </c>
      <c r="H8" s="562">
        <f>D8</f>
        <v>0.9</v>
      </c>
      <c r="I8" s="562">
        <v>0</v>
      </c>
      <c r="J8" s="562">
        <v>0</v>
      </c>
      <c r="K8" s="562">
        <f>G8</f>
        <v>4.4000000000000004</v>
      </c>
      <c r="L8" s="550">
        <v>1.37</v>
      </c>
      <c r="M8" s="550">
        <v>0</v>
      </c>
      <c r="N8" s="550">
        <v>0</v>
      </c>
      <c r="O8" s="550">
        <v>3.93</v>
      </c>
      <c r="P8" s="566">
        <f t="shared" si="0"/>
        <v>5.3000000000000007</v>
      </c>
      <c r="Q8" s="566">
        <f t="shared" si="1"/>
        <v>5.3000000000000007</v>
      </c>
      <c r="R8" s="566">
        <f t="shared" si="2"/>
        <v>5.3000000000000007</v>
      </c>
    </row>
    <row r="9" spans="1:18" x14ac:dyDescent="0.35">
      <c r="A9" s="526">
        <v>215</v>
      </c>
      <c r="B9" s="527" t="s">
        <v>570</v>
      </c>
      <c r="C9" s="531">
        <v>3.8</v>
      </c>
      <c r="D9" s="563">
        <v>0</v>
      </c>
      <c r="E9" s="563">
        <v>0</v>
      </c>
      <c r="F9" s="563">
        <v>0</v>
      </c>
      <c r="G9" s="563">
        <v>3.8</v>
      </c>
      <c r="H9" s="528">
        <v>0</v>
      </c>
      <c r="I9" s="528">
        <v>0</v>
      </c>
      <c r="J9" s="528">
        <v>0</v>
      </c>
      <c r="K9" s="528">
        <v>3.8</v>
      </c>
      <c r="L9" s="529">
        <v>1</v>
      </c>
      <c r="M9" s="529">
        <v>2.8</v>
      </c>
      <c r="N9" s="529">
        <v>0</v>
      </c>
      <c r="O9" s="529">
        <v>0</v>
      </c>
      <c r="P9" s="567">
        <f t="shared" si="0"/>
        <v>3.8</v>
      </c>
      <c r="Q9" s="567">
        <f t="shared" si="1"/>
        <v>3.8</v>
      </c>
      <c r="R9" s="567">
        <f t="shared" si="2"/>
        <v>3.8</v>
      </c>
    </row>
    <row r="10" spans="1:18" s="546" customFormat="1" x14ac:dyDescent="0.35">
      <c r="A10" s="547">
        <v>201</v>
      </c>
      <c r="B10" s="548" t="s">
        <v>555</v>
      </c>
      <c r="C10" s="549">
        <v>5.2</v>
      </c>
      <c r="D10" s="545">
        <f>L10</f>
        <v>2.7</v>
      </c>
      <c r="E10" s="545">
        <v>0</v>
      </c>
      <c r="F10" s="545">
        <v>0</v>
      </c>
      <c r="G10" s="545">
        <f>O10</f>
        <v>2.5</v>
      </c>
      <c r="H10" s="562">
        <f>L10</f>
        <v>2.7</v>
      </c>
      <c r="I10" s="562">
        <v>0</v>
      </c>
      <c r="J10" s="562">
        <v>0</v>
      </c>
      <c r="K10" s="562">
        <f>G10</f>
        <v>2.5</v>
      </c>
      <c r="L10" s="550">
        <v>2.7</v>
      </c>
      <c r="M10" s="550">
        <v>0</v>
      </c>
      <c r="N10" s="550">
        <v>0</v>
      </c>
      <c r="O10" s="550">
        <v>2.5</v>
      </c>
      <c r="P10" s="566">
        <f t="shared" si="0"/>
        <v>5.2</v>
      </c>
      <c r="Q10" s="566">
        <f t="shared" si="1"/>
        <v>5.2</v>
      </c>
      <c r="R10" s="566">
        <f t="shared" si="2"/>
        <v>5.2</v>
      </c>
    </row>
    <row r="11" spans="1:18" x14ac:dyDescent="0.35">
      <c r="A11" s="526">
        <v>208</v>
      </c>
      <c r="B11" s="527" t="s">
        <v>572</v>
      </c>
      <c r="C11" s="531">
        <v>4.3</v>
      </c>
      <c r="D11" s="563">
        <v>0</v>
      </c>
      <c r="E11" s="563">
        <v>0</v>
      </c>
      <c r="F11" s="563">
        <v>0</v>
      </c>
      <c r="G11" s="563">
        <v>4.3</v>
      </c>
      <c r="H11" s="528">
        <v>0</v>
      </c>
      <c r="I11" s="528">
        <v>0</v>
      </c>
      <c r="J11" s="528">
        <v>0</v>
      </c>
      <c r="K11" s="528">
        <v>4.3</v>
      </c>
      <c r="L11" s="529">
        <v>1</v>
      </c>
      <c r="M11" s="529">
        <v>0.25</v>
      </c>
      <c r="N11" s="529">
        <v>0</v>
      </c>
      <c r="O11" s="529">
        <v>3.05</v>
      </c>
      <c r="P11" s="567">
        <f t="shared" si="0"/>
        <v>4.3</v>
      </c>
      <c r="Q11" s="567">
        <f t="shared" si="1"/>
        <v>4.3</v>
      </c>
      <c r="R11" s="567">
        <f t="shared" si="2"/>
        <v>4.3</v>
      </c>
    </row>
    <row r="12" spans="1:18" x14ac:dyDescent="0.35">
      <c r="A12" s="526">
        <v>121</v>
      </c>
      <c r="B12" s="527" t="s">
        <v>104</v>
      </c>
      <c r="C12" s="531">
        <v>23.2</v>
      </c>
      <c r="D12" s="563">
        <v>1.3</v>
      </c>
      <c r="E12" s="563">
        <v>0</v>
      </c>
      <c r="F12" s="563">
        <f>1.72-0.1</f>
        <v>1.6199999999999999</v>
      </c>
      <c r="G12" s="563">
        <v>20.28</v>
      </c>
      <c r="H12" s="528">
        <v>3.6030000000000002</v>
      </c>
      <c r="I12" s="528">
        <v>0</v>
      </c>
      <c r="J12" s="528">
        <f>F12</f>
        <v>1.6199999999999999</v>
      </c>
      <c r="K12" s="528">
        <v>17.977</v>
      </c>
      <c r="L12" s="529">
        <v>3.6030000000000002</v>
      </c>
      <c r="M12" s="529">
        <v>0</v>
      </c>
      <c r="N12" s="529">
        <v>1.72</v>
      </c>
      <c r="O12" s="529">
        <v>17.876999999999999</v>
      </c>
      <c r="P12" s="567">
        <f t="shared" si="0"/>
        <v>23.200000000000003</v>
      </c>
      <c r="Q12" s="567">
        <f t="shared" si="1"/>
        <v>23.2</v>
      </c>
      <c r="R12" s="567">
        <f t="shared" si="2"/>
        <v>23.2</v>
      </c>
    </row>
    <row r="13" spans="1:18" s="573" customFormat="1" x14ac:dyDescent="0.35">
      <c r="A13" s="574">
        <v>17</v>
      </c>
      <c r="B13" s="575" t="s">
        <v>216</v>
      </c>
      <c r="C13" s="576">
        <v>4</v>
      </c>
      <c r="D13" s="570">
        <f>L13</f>
        <v>1.4219999999999999</v>
      </c>
      <c r="E13" s="570">
        <v>0</v>
      </c>
      <c r="F13" s="570">
        <v>0</v>
      </c>
      <c r="G13" s="570">
        <f>O13</f>
        <v>2.5779999999999998</v>
      </c>
      <c r="H13" s="571">
        <f>D13</f>
        <v>1.4219999999999999</v>
      </c>
      <c r="I13" s="571">
        <v>0</v>
      </c>
      <c r="J13" s="571">
        <v>0</v>
      </c>
      <c r="K13" s="571">
        <f>G13</f>
        <v>2.5779999999999998</v>
      </c>
      <c r="L13" s="577">
        <v>1.4219999999999999</v>
      </c>
      <c r="M13" s="577">
        <v>0</v>
      </c>
      <c r="N13" s="577">
        <v>0</v>
      </c>
      <c r="O13" s="577">
        <v>2.5779999999999998</v>
      </c>
      <c r="P13" s="572">
        <f t="shared" si="0"/>
        <v>4</v>
      </c>
      <c r="Q13" s="572">
        <f t="shared" si="1"/>
        <v>4</v>
      </c>
      <c r="R13" s="572">
        <f t="shared" si="2"/>
        <v>4</v>
      </c>
    </row>
    <row r="14" spans="1:18" s="573" customFormat="1" x14ac:dyDescent="0.35">
      <c r="A14" s="574">
        <v>26</v>
      </c>
      <c r="B14" s="575" t="s">
        <v>350</v>
      </c>
      <c r="C14" s="576">
        <v>5.9</v>
      </c>
      <c r="D14" s="570">
        <f>L14</f>
        <v>1.85</v>
      </c>
      <c r="E14" s="570">
        <v>0</v>
      </c>
      <c r="F14" s="570">
        <v>0</v>
      </c>
      <c r="G14" s="570">
        <f>O14</f>
        <v>4.05</v>
      </c>
      <c r="H14" s="571">
        <f>L14</f>
        <v>1.85</v>
      </c>
      <c r="I14" s="571">
        <v>0</v>
      </c>
      <c r="J14" s="571">
        <v>0</v>
      </c>
      <c r="K14" s="571">
        <f>O14</f>
        <v>4.05</v>
      </c>
      <c r="L14" s="577">
        <v>1.85</v>
      </c>
      <c r="M14" s="577">
        <v>0</v>
      </c>
      <c r="N14" s="577">
        <v>0</v>
      </c>
      <c r="O14" s="577">
        <v>4.05</v>
      </c>
      <c r="P14" s="572">
        <f t="shared" si="0"/>
        <v>5.9</v>
      </c>
      <c r="Q14" s="572">
        <f t="shared" si="1"/>
        <v>5.9</v>
      </c>
      <c r="R14" s="572">
        <f t="shared" si="2"/>
        <v>5.9</v>
      </c>
    </row>
    <row r="15" spans="1:18" x14ac:dyDescent="0.35">
      <c r="A15" s="526">
        <v>123</v>
      </c>
      <c r="B15" s="527" t="s">
        <v>91</v>
      </c>
      <c r="C15" s="531">
        <v>17</v>
      </c>
      <c r="D15" s="563">
        <v>12.19</v>
      </c>
      <c r="E15" s="563">
        <v>0</v>
      </c>
      <c r="F15" s="563">
        <v>0</v>
      </c>
      <c r="G15" s="563">
        <f>9.63-4.82</f>
        <v>4.8100000000000005</v>
      </c>
      <c r="H15" s="528">
        <v>14</v>
      </c>
      <c r="I15" s="528">
        <v>0</v>
      </c>
      <c r="J15" s="528">
        <v>0</v>
      </c>
      <c r="K15" s="528">
        <f>7.82-4.82</f>
        <v>3</v>
      </c>
      <c r="L15" s="529">
        <v>12.19</v>
      </c>
      <c r="M15" s="529">
        <v>0</v>
      </c>
      <c r="N15" s="529">
        <v>0</v>
      </c>
      <c r="O15" s="529">
        <v>4.8099999999999996</v>
      </c>
      <c r="P15" s="567">
        <f t="shared" si="0"/>
        <v>17</v>
      </c>
      <c r="Q15" s="567">
        <f t="shared" si="1"/>
        <v>17</v>
      </c>
      <c r="R15" s="567">
        <f t="shared" si="2"/>
        <v>17</v>
      </c>
    </row>
    <row r="16" spans="1:18" s="520" customFormat="1" x14ac:dyDescent="0.35">
      <c r="A16" s="526">
        <v>122</v>
      </c>
      <c r="B16" s="527" t="s">
        <v>476</v>
      </c>
      <c r="C16" s="531">
        <v>3.25</v>
      </c>
      <c r="D16" s="563">
        <v>0</v>
      </c>
      <c r="E16" s="563">
        <v>0</v>
      </c>
      <c r="F16" s="563">
        <v>0</v>
      </c>
      <c r="G16" s="563">
        <v>3.25</v>
      </c>
      <c r="H16" s="528">
        <v>2.0920000000000001</v>
      </c>
      <c r="I16" s="528">
        <v>0</v>
      </c>
      <c r="J16" s="528">
        <v>0</v>
      </c>
      <c r="K16" s="528">
        <f>1.348-0.19</f>
        <v>1.1580000000000001</v>
      </c>
      <c r="L16" s="529">
        <v>2.0920000000000001</v>
      </c>
      <c r="M16" s="529">
        <v>0</v>
      </c>
      <c r="N16" s="529">
        <v>0</v>
      </c>
      <c r="O16" s="529">
        <v>1.1579999999999999</v>
      </c>
      <c r="P16" s="567">
        <f t="shared" si="0"/>
        <v>3.25</v>
      </c>
      <c r="Q16" s="567">
        <f t="shared" si="1"/>
        <v>3.25</v>
      </c>
      <c r="R16" s="567">
        <f t="shared" si="2"/>
        <v>3.25</v>
      </c>
    </row>
    <row r="17" spans="1:18" s="520" customFormat="1" x14ac:dyDescent="0.35">
      <c r="A17" s="526">
        <v>130</v>
      </c>
      <c r="B17" s="527" t="s">
        <v>519</v>
      </c>
      <c r="C17" s="531">
        <v>6</v>
      </c>
      <c r="D17" s="563">
        <v>0</v>
      </c>
      <c r="E17" s="563">
        <v>0</v>
      </c>
      <c r="F17" s="563">
        <v>1.19</v>
      </c>
      <c r="G17" s="563">
        <v>4.8099999999999996</v>
      </c>
      <c r="H17" s="528">
        <v>0</v>
      </c>
      <c r="I17" s="528">
        <v>0</v>
      </c>
      <c r="J17" s="528">
        <v>1.19</v>
      </c>
      <c r="K17" s="528">
        <v>4.8099999999999996</v>
      </c>
      <c r="L17" s="529">
        <v>1.73</v>
      </c>
      <c r="M17" s="529">
        <v>0</v>
      </c>
      <c r="N17" s="529">
        <v>4.2699999999999996</v>
      </c>
      <c r="O17" s="529">
        <v>0</v>
      </c>
      <c r="P17" s="567">
        <f t="shared" si="0"/>
        <v>6</v>
      </c>
      <c r="Q17" s="567">
        <f t="shared" si="1"/>
        <v>6</v>
      </c>
      <c r="R17" s="567">
        <f t="shared" si="2"/>
        <v>6</v>
      </c>
    </row>
    <row r="18" spans="1:18" s="520" customFormat="1" x14ac:dyDescent="0.35">
      <c r="A18" s="526">
        <v>151</v>
      </c>
      <c r="B18" s="527" t="s">
        <v>499</v>
      </c>
      <c r="C18" s="531">
        <v>4</v>
      </c>
      <c r="D18" s="563">
        <v>0</v>
      </c>
      <c r="E18" s="563">
        <v>0</v>
      </c>
      <c r="F18" s="563">
        <v>0</v>
      </c>
      <c r="G18" s="563">
        <v>4</v>
      </c>
      <c r="H18" s="528">
        <v>0</v>
      </c>
      <c r="I18" s="528">
        <v>0</v>
      </c>
      <c r="J18" s="528">
        <v>0</v>
      </c>
      <c r="K18" s="528">
        <v>4</v>
      </c>
      <c r="L18" s="529">
        <v>0</v>
      </c>
      <c r="M18" s="529">
        <v>0</v>
      </c>
      <c r="N18" s="529">
        <v>0</v>
      </c>
      <c r="O18" s="529">
        <v>4</v>
      </c>
      <c r="P18" s="567">
        <f t="shared" si="0"/>
        <v>4</v>
      </c>
      <c r="Q18" s="567">
        <f t="shared" si="1"/>
        <v>4</v>
      </c>
      <c r="R18" s="567">
        <f t="shared" si="2"/>
        <v>4</v>
      </c>
    </row>
    <row r="19" spans="1:18" s="535" customFormat="1" x14ac:dyDescent="0.35">
      <c r="A19" s="536" t="s">
        <v>829</v>
      </c>
      <c r="B19" s="537" t="s">
        <v>820</v>
      </c>
      <c r="C19" s="538">
        <v>13.4</v>
      </c>
      <c r="D19" s="539"/>
      <c r="E19" s="539"/>
      <c r="F19" s="539"/>
      <c r="G19" s="539"/>
      <c r="H19" s="540"/>
      <c r="I19" s="540"/>
      <c r="J19" s="540"/>
      <c r="K19" s="540"/>
      <c r="L19" s="541"/>
      <c r="M19" s="541"/>
      <c r="N19" s="541"/>
      <c r="O19" s="541"/>
      <c r="P19" s="567">
        <f>C19</f>
        <v>13.4</v>
      </c>
      <c r="Q19" s="567">
        <f>C19</f>
        <v>13.4</v>
      </c>
      <c r="R19" s="567">
        <f>C19</f>
        <v>13.4</v>
      </c>
    </row>
    <row r="20" spans="1:18" s="518" customFormat="1" x14ac:dyDescent="0.35">
      <c r="A20" s="526">
        <v>119</v>
      </c>
      <c r="B20" s="527" t="s">
        <v>97</v>
      </c>
      <c r="C20" s="531">
        <v>5.5</v>
      </c>
      <c r="D20" s="563">
        <v>0</v>
      </c>
      <c r="E20" s="563">
        <v>0</v>
      </c>
      <c r="F20" s="563">
        <v>0</v>
      </c>
      <c r="G20" s="563">
        <v>5.5</v>
      </c>
      <c r="H20" s="528">
        <v>0</v>
      </c>
      <c r="I20" s="528">
        <v>0</v>
      </c>
      <c r="J20" s="528">
        <v>0</v>
      </c>
      <c r="K20" s="528">
        <v>5.5</v>
      </c>
      <c r="L20" s="529">
        <v>0</v>
      </c>
      <c r="M20" s="529">
        <v>0</v>
      </c>
      <c r="N20" s="529">
        <v>0</v>
      </c>
      <c r="O20" s="529">
        <v>5.5</v>
      </c>
      <c r="P20" s="567">
        <f t="shared" si="0"/>
        <v>5.5</v>
      </c>
      <c r="Q20" s="567">
        <f t="shared" si="1"/>
        <v>5.5</v>
      </c>
      <c r="R20" s="567">
        <f t="shared" si="2"/>
        <v>5.5</v>
      </c>
    </row>
    <row r="21" spans="1:18" s="518" customFormat="1" x14ac:dyDescent="0.35">
      <c r="A21" s="526">
        <v>124</v>
      </c>
      <c r="B21" s="527" t="s">
        <v>485</v>
      </c>
      <c r="C21" s="531">
        <v>17</v>
      </c>
      <c r="D21" s="563">
        <v>3.52</v>
      </c>
      <c r="E21" s="563">
        <v>0</v>
      </c>
      <c r="F21" s="563">
        <v>0</v>
      </c>
      <c r="G21" s="563">
        <f>8.98+4.5</f>
        <v>13.48</v>
      </c>
      <c r="H21" s="528">
        <v>3.52</v>
      </c>
      <c r="I21" s="528">
        <v>0</v>
      </c>
      <c r="J21" s="528">
        <v>0</v>
      </c>
      <c r="K21" s="528">
        <f>8.98+4.5</f>
        <v>13.48</v>
      </c>
      <c r="L21" s="529">
        <v>3.52</v>
      </c>
      <c r="M21" s="529">
        <v>0</v>
      </c>
      <c r="N21" s="529">
        <v>0</v>
      </c>
      <c r="O21" s="529">
        <v>13.48</v>
      </c>
      <c r="P21" s="567">
        <f t="shared" si="0"/>
        <v>17</v>
      </c>
      <c r="Q21" s="567">
        <f t="shared" si="1"/>
        <v>17</v>
      </c>
      <c r="R21" s="567">
        <f t="shared" si="2"/>
        <v>17</v>
      </c>
    </row>
    <row r="22" spans="1:18" s="519" customFormat="1" x14ac:dyDescent="0.35">
      <c r="A22" s="526">
        <v>139</v>
      </c>
      <c r="B22" s="527" t="s">
        <v>474</v>
      </c>
      <c r="C22" s="531">
        <v>8.9</v>
      </c>
      <c r="D22" s="563">
        <v>0</v>
      </c>
      <c r="E22" s="563">
        <v>0</v>
      </c>
      <c r="F22" s="563">
        <v>0</v>
      </c>
      <c r="G22" s="563">
        <v>8.9</v>
      </c>
      <c r="H22" s="528">
        <v>0</v>
      </c>
      <c r="I22" s="528">
        <v>0</v>
      </c>
      <c r="J22" s="528">
        <v>0</v>
      </c>
      <c r="K22" s="528">
        <v>8.9</v>
      </c>
      <c r="L22" s="529">
        <v>0</v>
      </c>
      <c r="M22" s="529">
        <v>0</v>
      </c>
      <c r="N22" s="529">
        <v>0</v>
      </c>
      <c r="O22" s="529">
        <v>8.9</v>
      </c>
      <c r="P22" s="567">
        <f t="shared" si="0"/>
        <v>8.9</v>
      </c>
      <c r="Q22" s="567">
        <f t="shared" si="1"/>
        <v>8.9</v>
      </c>
      <c r="R22" s="567">
        <f t="shared" si="2"/>
        <v>8.9</v>
      </c>
    </row>
    <row r="23" spans="1:18" s="519" customFormat="1" x14ac:dyDescent="0.35">
      <c r="A23" s="526">
        <v>154</v>
      </c>
      <c r="B23" s="527" t="s">
        <v>127</v>
      </c>
      <c r="C23" s="531">
        <v>7</v>
      </c>
      <c r="D23" s="563">
        <v>0</v>
      </c>
      <c r="E23" s="563">
        <v>0</v>
      </c>
      <c r="F23" s="563">
        <v>0</v>
      </c>
      <c r="G23" s="563">
        <v>7</v>
      </c>
      <c r="H23" s="528">
        <v>0</v>
      </c>
      <c r="I23" s="528">
        <v>0</v>
      </c>
      <c r="J23" s="528">
        <v>0</v>
      </c>
      <c r="K23" s="528">
        <v>7</v>
      </c>
      <c r="L23" s="529">
        <v>0.15</v>
      </c>
      <c r="M23" s="529">
        <v>0</v>
      </c>
      <c r="N23" s="529">
        <v>0</v>
      </c>
      <c r="O23" s="529">
        <v>6.85</v>
      </c>
      <c r="P23" s="567">
        <f t="shared" si="0"/>
        <v>7</v>
      </c>
      <c r="Q23" s="567">
        <f t="shared" si="1"/>
        <v>7</v>
      </c>
      <c r="R23" s="567">
        <f t="shared" si="2"/>
        <v>7</v>
      </c>
    </row>
    <row r="24" spans="1:18" s="519" customFormat="1" x14ac:dyDescent="0.35">
      <c r="A24" s="526">
        <v>135</v>
      </c>
      <c r="B24" s="527" t="s">
        <v>139</v>
      </c>
      <c r="C24" s="531">
        <v>4.4000000000000004</v>
      </c>
      <c r="D24" s="563">
        <v>0</v>
      </c>
      <c r="E24" s="563">
        <v>0</v>
      </c>
      <c r="F24" s="563">
        <v>0</v>
      </c>
      <c r="G24" s="563">
        <v>4.4000000000000004</v>
      </c>
      <c r="H24" s="528">
        <v>0</v>
      </c>
      <c r="I24" s="528">
        <v>0</v>
      </c>
      <c r="J24" s="528">
        <v>0</v>
      </c>
      <c r="K24" s="528">
        <v>4.4000000000000004</v>
      </c>
      <c r="L24" s="529">
        <v>0</v>
      </c>
      <c r="M24" s="529">
        <v>0</v>
      </c>
      <c r="N24" s="529">
        <v>0</v>
      </c>
      <c r="O24" s="529">
        <v>4.4000000000000004</v>
      </c>
      <c r="P24" s="567">
        <f t="shared" si="0"/>
        <v>4.4000000000000004</v>
      </c>
      <c r="Q24" s="567">
        <f t="shared" si="1"/>
        <v>4.4000000000000004</v>
      </c>
      <c r="R24" s="567">
        <f t="shared" si="2"/>
        <v>4.4000000000000004</v>
      </c>
    </row>
    <row r="25" spans="1:18" s="523" customFormat="1" x14ac:dyDescent="0.35">
      <c r="A25" s="526">
        <v>20</v>
      </c>
      <c r="B25" s="527" t="s">
        <v>208</v>
      </c>
      <c r="C25" s="531">
        <v>7.6</v>
      </c>
      <c r="D25" s="563">
        <v>0</v>
      </c>
      <c r="E25" s="563">
        <v>0</v>
      </c>
      <c r="F25" s="563">
        <v>0</v>
      </c>
      <c r="G25" s="563">
        <v>7.6</v>
      </c>
      <c r="H25" s="528">
        <v>0</v>
      </c>
      <c r="I25" s="528">
        <v>0</v>
      </c>
      <c r="J25" s="528">
        <v>0</v>
      </c>
      <c r="K25" s="528">
        <v>7.6</v>
      </c>
      <c r="L25" s="529">
        <v>1.9</v>
      </c>
      <c r="M25" s="529">
        <v>0</v>
      </c>
      <c r="N25" s="529">
        <v>4.53</v>
      </c>
      <c r="O25" s="529">
        <v>1.17</v>
      </c>
      <c r="P25" s="567">
        <f t="shared" si="0"/>
        <v>7.6</v>
      </c>
      <c r="Q25" s="567">
        <f t="shared" si="1"/>
        <v>7.6</v>
      </c>
      <c r="R25" s="567">
        <f t="shared" si="2"/>
        <v>7.6</v>
      </c>
    </row>
    <row r="26" spans="1:18" s="579" customFormat="1" x14ac:dyDescent="0.35">
      <c r="A26" s="574">
        <v>9</v>
      </c>
      <c r="B26" s="575" t="s">
        <v>19</v>
      </c>
      <c r="C26" s="576">
        <v>9</v>
      </c>
      <c r="D26" s="570">
        <v>8.65</v>
      </c>
      <c r="E26" s="570">
        <v>0</v>
      </c>
      <c r="F26" s="570">
        <v>0</v>
      </c>
      <c r="G26" s="570">
        <v>0.35</v>
      </c>
      <c r="H26" s="571">
        <v>8.65</v>
      </c>
      <c r="I26" s="571">
        <v>0</v>
      </c>
      <c r="J26" s="571">
        <v>0</v>
      </c>
      <c r="K26" s="571">
        <v>0.35</v>
      </c>
      <c r="L26" s="577">
        <v>8.6460000000000008</v>
      </c>
      <c r="M26" s="577">
        <v>0</v>
      </c>
      <c r="N26" s="577">
        <v>0</v>
      </c>
      <c r="O26" s="577">
        <v>0.35399999999999998</v>
      </c>
      <c r="P26" s="572">
        <f t="shared" si="0"/>
        <v>9</v>
      </c>
      <c r="Q26" s="572">
        <f t="shared" si="1"/>
        <v>9</v>
      </c>
      <c r="R26" s="572">
        <f t="shared" si="2"/>
        <v>9</v>
      </c>
    </row>
    <row r="27" spans="1:18" s="523" customFormat="1" x14ac:dyDescent="0.35">
      <c r="A27" s="526">
        <v>10</v>
      </c>
      <c r="B27" s="527" t="s">
        <v>23</v>
      </c>
      <c r="C27" s="531">
        <v>13.6</v>
      </c>
      <c r="D27" s="563">
        <v>8.7899999999999991</v>
      </c>
      <c r="E27" s="563">
        <v>0</v>
      </c>
      <c r="F27" s="563">
        <v>0</v>
      </c>
      <c r="G27" s="563">
        <f>5-0.19</f>
        <v>4.8099999999999996</v>
      </c>
      <c r="H27" s="528">
        <v>8.7899999999999991</v>
      </c>
      <c r="I27" s="528">
        <v>0</v>
      </c>
      <c r="J27" s="528">
        <v>0</v>
      </c>
      <c r="K27" s="528">
        <f>5-0.19</f>
        <v>4.8099999999999996</v>
      </c>
      <c r="L27" s="529">
        <v>10.120000000000001</v>
      </c>
      <c r="M27" s="529">
        <v>0</v>
      </c>
      <c r="N27" s="529">
        <v>0</v>
      </c>
      <c r="O27" s="529">
        <v>3.48</v>
      </c>
      <c r="P27" s="567">
        <f t="shared" si="0"/>
        <v>13.599999999999998</v>
      </c>
      <c r="Q27" s="567">
        <f t="shared" si="1"/>
        <v>13.599999999999998</v>
      </c>
      <c r="R27" s="567">
        <f t="shared" si="2"/>
        <v>13.600000000000001</v>
      </c>
    </row>
    <row r="28" spans="1:18" x14ac:dyDescent="0.35">
      <c r="A28" s="526">
        <v>47</v>
      </c>
      <c r="B28" s="527" t="s">
        <v>38</v>
      </c>
      <c r="C28" s="531">
        <v>17</v>
      </c>
      <c r="D28" s="563">
        <v>0.27</v>
      </c>
      <c r="E28" s="563">
        <v>0</v>
      </c>
      <c r="F28" s="563">
        <v>0</v>
      </c>
      <c r="G28" s="563">
        <f>16.93-0.2</f>
        <v>16.73</v>
      </c>
      <c r="H28" s="528">
        <v>0.27</v>
      </c>
      <c r="I28" s="528">
        <v>0</v>
      </c>
      <c r="J28" s="528">
        <v>0</v>
      </c>
      <c r="K28" s="528">
        <f>16.93-0.2</f>
        <v>16.73</v>
      </c>
      <c r="L28" s="529">
        <v>1.31</v>
      </c>
      <c r="M28" s="529">
        <v>0</v>
      </c>
      <c r="N28" s="529">
        <v>0</v>
      </c>
      <c r="O28" s="529">
        <v>15.69</v>
      </c>
      <c r="P28" s="567">
        <f t="shared" si="0"/>
        <v>17</v>
      </c>
      <c r="Q28" s="567">
        <f t="shared" si="1"/>
        <v>17</v>
      </c>
      <c r="R28" s="567">
        <f t="shared" si="2"/>
        <v>17</v>
      </c>
    </row>
    <row r="29" spans="1:18" x14ac:dyDescent="0.35">
      <c r="A29" s="526">
        <v>99</v>
      </c>
      <c r="B29" s="527" t="s">
        <v>392</v>
      </c>
      <c r="C29" s="531">
        <v>14.1</v>
      </c>
      <c r="D29" s="563">
        <v>0</v>
      </c>
      <c r="E29" s="563">
        <v>0</v>
      </c>
      <c r="F29" s="563">
        <v>0</v>
      </c>
      <c r="G29" s="563">
        <v>14.1</v>
      </c>
      <c r="H29" s="528">
        <v>2.1</v>
      </c>
      <c r="I29" s="528">
        <v>0</v>
      </c>
      <c r="J29" s="528">
        <v>0</v>
      </c>
      <c r="K29" s="528">
        <v>12</v>
      </c>
      <c r="L29" s="529">
        <v>2.1</v>
      </c>
      <c r="M29" s="529">
        <v>0</v>
      </c>
      <c r="N29" s="529">
        <v>0</v>
      </c>
      <c r="O29" s="529">
        <v>12</v>
      </c>
      <c r="P29" s="567">
        <f t="shared" si="0"/>
        <v>14.1</v>
      </c>
      <c r="Q29" s="567">
        <f t="shared" si="1"/>
        <v>14.1</v>
      </c>
      <c r="R29" s="567">
        <f t="shared" si="2"/>
        <v>14.1</v>
      </c>
    </row>
    <row r="30" spans="1:18" x14ac:dyDescent="0.35">
      <c r="A30" s="526">
        <v>100</v>
      </c>
      <c r="B30" s="527" t="s">
        <v>50</v>
      </c>
      <c r="C30" s="531">
        <v>7.8</v>
      </c>
      <c r="D30" s="563">
        <v>0.3</v>
      </c>
      <c r="E30" s="563">
        <v>0</v>
      </c>
      <c r="F30" s="563">
        <v>0</v>
      </c>
      <c r="G30" s="563">
        <v>7.5</v>
      </c>
      <c r="H30" s="528">
        <v>2</v>
      </c>
      <c r="I30" s="528">
        <v>0</v>
      </c>
      <c r="J30" s="528">
        <v>5.8</v>
      </c>
      <c r="K30" s="528">
        <v>0</v>
      </c>
      <c r="L30" s="529">
        <v>2</v>
      </c>
      <c r="M30" s="529">
        <v>0</v>
      </c>
      <c r="N30" s="529">
        <v>0</v>
      </c>
      <c r="O30" s="529">
        <v>5.8</v>
      </c>
      <c r="P30" s="567">
        <f t="shared" si="0"/>
        <v>7.8</v>
      </c>
      <c r="Q30" s="567">
        <f t="shared" si="1"/>
        <v>7.8</v>
      </c>
      <c r="R30" s="567">
        <f t="shared" si="2"/>
        <v>7.8</v>
      </c>
    </row>
    <row r="31" spans="1:18" x14ac:dyDescent="0.35">
      <c r="A31" s="526">
        <v>91</v>
      </c>
      <c r="B31" s="527" t="s">
        <v>62</v>
      </c>
      <c r="C31" s="531">
        <v>12.9</v>
      </c>
      <c r="D31" s="563">
        <v>10</v>
      </c>
      <c r="E31" s="563">
        <v>0</v>
      </c>
      <c r="F31" s="563">
        <v>0</v>
      </c>
      <c r="G31" s="563">
        <f>3.07-0.17</f>
        <v>2.9</v>
      </c>
      <c r="H31" s="528">
        <v>10</v>
      </c>
      <c r="I31" s="528">
        <v>0</v>
      </c>
      <c r="J31" s="528">
        <v>0</v>
      </c>
      <c r="K31" s="528">
        <f>3.07-0.17</f>
        <v>2.9</v>
      </c>
      <c r="L31" s="529">
        <v>12.209999999999999</v>
      </c>
      <c r="M31" s="529">
        <v>0</v>
      </c>
      <c r="N31" s="529">
        <v>0</v>
      </c>
      <c r="O31" s="529">
        <v>0.69</v>
      </c>
      <c r="P31" s="567">
        <f t="shared" si="0"/>
        <v>12.9</v>
      </c>
      <c r="Q31" s="567">
        <f t="shared" si="1"/>
        <v>12.9</v>
      </c>
      <c r="R31" s="567">
        <f t="shared" si="2"/>
        <v>12.899999999999999</v>
      </c>
    </row>
    <row r="32" spans="1:18" x14ac:dyDescent="0.35">
      <c r="A32" s="526">
        <v>190</v>
      </c>
      <c r="B32" s="527" t="s">
        <v>602</v>
      </c>
      <c r="C32" s="531">
        <v>17.5</v>
      </c>
      <c r="D32" s="563">
        <v>0</v>
      </c>
      <c r="E32" s="563">
        <v>0</v>
      </c>
      <c r="F32" s="563">
        <v>0</v>
      </c>
      <c r="G32" s="563">
        <v>17.5</v>
      </c>
      <c r="H32" s="528">
        <v>0</v>
      </c>
      <c r="I32" s="528">
        <v>0</v>
      </c>
      <c r="J32" s="528">
        <v>0</v>
      </c>
      <c r="K32" s="528">
        <v>17.5</v>
      </c>
      <c r="L32" s="529">
        <v>0</v>
      </c>
      <c r="M32" s="529">
        <v>0</v>
      </c>
      <c r="N32" s="529">
        <v>0</v>
      </c>
      <c r="O32" s="529">
        <v>17.5</v>
      </c>
      <c r="P32" s="567">
        <f t="shared" si="0"/>
        <v>17.5</v>
      </c>
      <c r="Q32" s="567">
        <f t="shared" si="1"/>
        <v>17.5</v>
      </c>
      <c r="R32" s="567">
        <f t="shared" si="2"/>
        <v>17.5</v>
      </c>
    </row>
    <row r="33" spans="1:18" x14ac:dyDescent="0.35">
      <c r="A33" s="526">
        <v>186</v>
      </c>
      <c r="B33" s="527" t="s">
        <v>601</v>
      </c>
      <c r="C33" s="531">
        <v>10.5</v>
      </c>
      <c r="D33" s="563">
        <v>0</v>
      </c>
      <c r="E33" s="563">
        <v>0</v>
      </c>
      <c r="F33" s="563">
        <v>0</v>
      </c>
      <c r="G33" s="563">
        <v>10.5</v>
      </c>
      <c r="H33" s="528">
        <v>0</v>
      </c>
      <c r="I33" s="528">
        <v>0</v>
      </c>
      <c r="J33" s="528">
        <v>0</v>
      </c>
      <c r="K33" s="528">
        <v>10.5</v>
      </c>
      <c r="L33" s="529">
        <v>0</v>
      </c>
      <c r="M33" s="529">
        <v>0</v>
      </c>
      <c r="N33" s="529">
        <v>0</v>
      </c>
      <c r="O33" s="529">
        <v>10.5</v>
      </c>
      <c r="P33" s="567">
        <f t="shared" si="0"/>
        <v>10.5</v>
      </c>
      <c r="Q33" s="567">
        <f t="shared" si="1"/>
        <v>10.5</v>
      </c>
      <c r="R33" s="567">
        <f t="shared" si="2"/>
        <v>10.5</v>
      </c>
    </row>
    <row r="34" spans="1:18" s="573" customFormat="1" x14ac:dyDescent="0.35">
      <c r="A34" s="574">
        <v>185</v>
      </c>
      <c r="B34" s="575" t="s">
        <v>600</v>
      </c>
      <c r="C34" s="576">
        <v>7.6</v>
      </c>
      <c r="D34" s="570">
        <v>0</v>
      </c>
      <c r="E34" s="570">
        <v>0</v>
      </c>
      <c r="F34" s="570">
        <v>0</v>
      </c>
      <c r="G34" s="570">
        <v>7.6</v>
      </c>
      <c r="H34" s="571">
        <v>0</v>
      </c>
      <c r="I34" s="571">
        <v>0</v>
      </c>
      <c r="J34" s="571">
        <v>0</v>
      </c>
      <c r="K34" s="571">
        <v>7.6</v>
      </c>
      <c r="L34" s="577">
        <v>0</v>
      </c>
      <c r="M34" s="577">
        <v>0</v>
      </c>
      <c r="N34" s="577">
        <v>0</v>
      </c>
      <c r="O34" s="577">
        <v>7.6</v>
      </c>
      <c r="P34" s="572">
        <f t="shared" si="0"/>
        <v>7.6</v>
      </c>
      <c r="Q34" s="572">
        <f t="shared" si="1"/>
        <v>7.6</v>
      </c>
      <c r="R34" s="572">
        <f t="shared" si="2"/>
        <v>7.6</v>
      </c>
    </row>
    <row r="35" spans="1:18" x14ac:dyDescent="0.35">
      <c r="A35" s="526">
        <v>92</v>
      </c>
      <c r="B35" s="527" t="s">
        <v>457</v>
      </c>
      <c r="C35" s="531">
        <v>5.6</v>
      </c>
      <c r="D35" s="563">
        <v>3</v>
      </c>
      <c r="E35" s="563">
        <v>0</v>
      </c>
      <c r="F35" s="563">
        <v>0</v>
      </c>
      <c r="G35" s="563">
        <v>2.6</v>
      </c>
      <c r="H35" s="528">
        <v>3</v>
      </c>
      <c r="I35" s="528">
        <v>0</v>
      </c>
      <c r="J35" s="528">
        <v>0</v>
      </c>
      <c r="K35" s="528">
        <v>2.6</v>
      </c>
      <c r="L35" s="529">
        <v>5.6</v>
      </c>
      <c r="M35" s="529">
        <v>0</v>
      </c>
      <c r="N35" s="529">
        <v>0</v>
      </c>
      <c r="O35" s="529">
        <v>0</v>
      </c>
      <c r="P35" s="567">
        <f t="shared" si="0"/>
        <v>5.6</v>
      </c>
      <c r="Q35" s="567">
        <f t="shared" si="1"/>
        <v>5.6</v>
      </c>
      <c r="R35" s="567">
        <f t="shared" si="2"/>
        <v>5.6</v>
      </c>
    </row>
    <row r="36" spans="1:18" s="523" customFormat="1" x14ac:dyDescent="0.35">
      <c r="A36" s="526">
        <v>195</v>
      </c>
      <c r="B36" s="527" t="s">
        <v>609</v>
      </c>
      <c r="C36" s="531">
        <v>3.9000000000000004</v>
      </c>
      <c r="D36" s="563">
        <v>1.06</v>
      </c>
      <c r="E36" s="563">
        <v>0</v>
      </c>
      <c r="F36" s="563">
        <v>0</v>
      </c>
      <c r="G36" s="563">
        <f>3.95-1.11</f>
        <v>2.84</v>
      </c>
      <c r="H36" s="528">
        <v>1.06</v>
      </c>
      <c r="I36" s="528">
        <v>0</v>
      </c>
      <c r="J36" s="528">
        <v>0</v>
      </c>
      <c r="K36" s="528">
        <f>3.95-1.11</f>
        <v>2.84</v>
      </c>
      <c r="L36" s="529">
        <v>1.2</v>
      </c>
      <c r="M36" s="529">
        <v>0</v>
      </c>
      <c r="N36" s="529">
        <v>0</v>
      </c>
      <c r="O36" s="529">
        <v>2.7</v>
      </c>
      <c r="P36" s="567">
        <f t="shared" si="0"/>
        <v>3.9</v>
      </c>
      <c r="Q36" s="567">
        <f t="shared" si="1"/>
        <v>3.9</v>
      </c>
      <c r="R36" s="567">
        <f t="shared" si="2"/>
        <v>3.9000000000000004</v>
      </c>
    </row>
    <row r="37" spans="1:18" s="579" customFormat="1" x14ac:dyDescent="0.35">
      <c r="A37" s="574">
        <v>194</v>
      </c>
      <c r="B37" s="575" t="s">
        <v>608</v>
      </c>
      <c r="C37" s="576">
        <v>5.3</v>
      </c>
      <c r="D37" s="570">
        <v>3.54</v>
      </c>
      <c r="E37" s="570">
        <v>0</v>
      </c>
      <c r="F37" s="570">
        <v>0</v>
      </c>
      <c r="G37" s="570">
        <v>1.76</v>
      </c>
      <c r="H37" s="571">
        <v>3.54</v>
      </c>
      <c r="I37" s="571">
        <v>0</v>
      </c>
      <c r="J37" s="571">
        <v>0</v>
      </c>
      <c r="K37" s="571">
        <v>1.76</v>
      </c>
      <c r="L37" s="577">
        <v>3.5409999999999999</v>
      </c>
      <c r="M37" s="577">
        <v>0</v>
      </c>
      <c r="N37" s="577">
        <v>0</v>
      </c>
      <c r="O37" s="577">
        <v>1.7589999999999999</v>
      </c>
      <c r="P37" s="572">
        <f t="shared" si="0"/>
        <v>5.3</v>
      </c>
      <c r="Q37" s="572">
        <f t="shared" si="1"/>
        <v>5.3</v>
      </c>
      <c r="R37" s="572">
        <f t="shared" si="2"/>
        <v>5.3</v>
      </c>
    </row>
    <row r="38" spans="1:18" x14ac:dyDescent="0.35">
      <c r="A38" s="526">
        <v>171</v>
      </c>
      <c r="B38" s="527" t="s">
        <v>611</v>
      </c>
      <c r="C38" s="531">
        <v>8.7409999999999997</v>
      </c>
      <c r="D38" s="563">
        <v>1.18</v>
      </c>
      <c r="E38" s="563">
        <v>0</v>
      </c>
      <c r="F38" s="563">
        <v>0</v>
      </c>
      <c r="G38" s="563">
        <v>7.5609999999999999</v>
      </c>
      <c r="H38" s="528">
        <v>1.18</v>
      </c>
      <c r="I38" s="528">
        <v>0</v>
      </c>
      <c r="J38" s="528">
        <v>0</v>
      </c>
      <c r="K38" s="528">
        <v>7.5609999999999999</v>
      </c>
      <c r="L38" s="529">
        <v>1.18</v>
      </c>
      <c r="M38" s="529">
        <v>0</v>
      </c>
      <c r="N38" s="529">
        <v>0</v>
      </c>
      <c r="O38" s="529">
        <v>7.5609999999999999</v>
      </c>
      <c r="P38" s="567">
        <f t="shared" si="0"/>
        <v>8.7409999999999997</v>
      </c>
      <c r="Q38" s="567">
        <f t="shared" si="1"/>
        <v>8.7409999999999997</v>
      </c>
      <c r="R38" s="567">
        <f t="shared" si="2"/>
        <v>8.7409999999999997</v>
      </c>
    </row>
    <row r="39" spans="1:18" s="521" customFormat="1" x14ac:dyDescent="0.35">
      <c r="A39" s="526">
        <v>214</v>
      </c>
      <c r="B39" s="527" t="s">
        <v>580</v>
      </c>
      <c r="C39" s="531">
        <v>4.5</v>
      </c>
      <c r="D39" s="563">
        <v>0.7</v>
      </c>
      <c r="E39" s="563">
        <v>0</v>
      </c>
      <c r="F39" s="563">
        <v>0</v>
      </c>
      <c r="G39" s="563">
        <v>3.8</v>
      </c>
      <c r="H39" s="528">
        <v>0.7</v>
      </c>
      <c r="I39" s="528">
        <v>0</v>
      </c>
      <c r="J39" s="528">
        <v>0</v>
      </c>
      <c r="K39" s="528">
        <v>3.8</v>
      </c>
      <c r="L39" s="529">
        <v>0.7</v>
      </c>
      <c r="M39" s="529">
        <v>0</v>
      </c>
      <c r="N39" s="529">
        <v>0</v>
      </c>
      <c r="O39" s="529">
        <v>3.8</v>
      </c>
      <c r="P39" s="567">
        <f t="shared" si="0"/>
        <v>4.5</v>
      </c>
      <c r="Q39" s="567">
        <f t="shared" si="1"/>
        <v>4.5</v>
      </c>
      <c r="R39" s="567">
        <f t="shared" si="2"/>
        <v>4.5</v>
      </c>
    </row>
    <row r="40" spans="1:18" s="521" customFormat="1" x14ac:dyDescent="0.35">
      <c r="A40" s="526">
        <v>212</v>
      </c>
      <c r="B40" s="527" t="s">
        <v>582</v>
      </c>
      <c r="C40" s="531">
        <v>2.75</v>
      </c>
      <c r="D40" s="563">
        <v>2.6</v>
      </c>
      <c r="E40" s="563">
        <v>0</v>
      </c>
      <c r="F40" s="563">
        <v>0</v>
      </c>
      <c r="G40" s="563">
        <v>0.15</v>
      </c>
      <c r="H40" s="528">
        <v>2.6</v>
      </c>
      <c r="I40" s="528">
        <v>0</v>
      </c>
      <c r="J40" s="528">
        <v>0</v>
      </c>
      <c r="K40" s="528">
        <v>0.15</v>
      </c>
      <c r="L40" s="529">
        <v>2.6</v>
      </c>
      <c r="M40" s="529">
        <v>0</v>
      </c>
      <c r="N40" s="529">
        <v>0</v>
      </c>
      <c r="O40" s="529">
        <v>0.15</v>
      </c>
      <c r="P40" s="567">
        <f t="shared" si="0"/>
        <v>2.75</v>
      </c>
      <c r="Q40" s="567">
        <f t="shared" si="1"/>
        <v>2.75</v>
      </c>
      <c r="R40" s="567">
        <f t="shared" si="2"/>
        <v>2.75</v>
      </c>
    </row>
    <row r="41" spans="1:18" x14ac:dyDescent="0.35">
      <c r="A41" s="526">
        <v>142</v>
      </c>
      <c r="B41" s="527" t="s">
        <v>286</v>
      </c>
      <c r="C41" s="531">
        <v>19.299999999999997</v>
      </c>
      <c r="D41" s="563">
        <v>0.8</v>
      </c>
      <c r="E41" s="563">
        <v>0</v>
      </c>
      <c r="F41" s="563">
        <v>0</v>
      </c>
      <c r="G41" s="563">
        <f>20.89-2.39</f>
        <v>18.5</v>
      </c>
      <c r="H41" s="528">
        <v>0.8</v>
      </c>
      <c r="I41" s="528">
        <v>0</v>
      </c>
      <c r="J41" s="528">
        <v>0</v>
      </c>
      <c r="K41" s="528">
        <f>20.89-2.39</f>
        <v>18.5</v>
      </c>
      <c r="L41" s="529">
        <v>3</v>
      </c>
      <c r="M41" s="529">
        <v>0</v>
      </c>
      <c r="N41" s="529">
        <v>0</v>
      </c>
      <c r="O41" s="529">
        <v>16.3</v>
      </c>
      <c r="P41" s="567">
        <f t="shared" si="0"/>
        <v>19.3</v>
      </c>
      <c r="Q41" s="567">
        <f t="shared" si="1"/>
        <v>19.3</v>
      </c>
      <c r="R41" s="567">
        <f t="shared" si="2"/>
        <v>19.3</v>
      </c>
    </row>
    <row r="42" spans="1:18" s="534" customFormat="1" x14ac:dyDescent="0.35">
      <c r="A42" s="536" t="s">
        <v>829</v>
      </c>
      <c r="B42" s="537" t="s">
        <v>821</v>
      </c>
      <c r="C42" s="538">
        <v>9.6</v>
      </c>
      <c r="D42" s="539"/>
      <c r="E42" s="539"/>
      <c r="F42" s="539"/>
      <c r="G42" s="539"/>
      <c r="H42" s="540"/>
      <c r="I42" s="540"/>
      <c r="J42" s="540"/>
      <c r="K42" s="540"/>
      <c r="L42" s="541"/>
      <c r="M42" s="541"/>
      <c r="N42" s="541"/>
      <c r="O42" s="541"/>
      <c r="P42" s="567">
        <f>C42</f>
        <v>9.6</v>
      </c>
      <c r="Q42" s="567">
        <f>C42</f>
        <v>9.6</v>
      </c>
      <c r="R42" s="567">
        <f>C42</f>
        <v>9.6</v>
      </c>
    </row>
    <row r="43" spans="1:18" s="534" customFormat="1" x14ac:dyDescent="0.35">
      <c r="A43" s="536">
        <v>44</v>
      </c>
      <c r="B43" s="537" t="s">
        <v>752</v>
      </c>
      <c r="C43" s="538">
        <v>5.3</v>
      </c>
      <c r="D43" s="539">
        <v>1.5</v>
      </c>
      <c r="E43" s="539">
        <v>0</v>
      </c>
      <c r="F43" s="539">
        <v>0</v>
      </c>
      <c r="G43" s="539">
        <v>3.8</v>
      </c>
      <c r="H43" s="540">
        <v>1.5</v>
      </c>
      <c r="I43" s="540">
        <v>0</v>
      </c>
      <c r="J43" s="540">
        <v>0</v>
      </c>
      <c r="K43" s="540">
        <v>3.8</v>
      </c>
      <c r="L43" s="541">
        <v>1.5</v>
      </c>
      <c r="M43" s="541">
        <v>0</v>
      </c>
      <c r="N43" s="541">
        <v>0</v>
      </c>
      <c r="O43" s="541">
        <v>3.8</v>
      </c>
      <c r="P43" s="578">
        <f t="shared" si="0"/>
        <v>5.3</v>
      </c>
      <c r="Q43" s="578">
        <f t="shared" si="1"/>
        <v>5.3</v>
      </c>
      <c r="R43" s="578">
        <f t="shared" si="2"/>
        <v>5.3</v>
      </c>
    </row>
    <row r="44" spans="1:18" x14ac:dyDescent="0.35">
      <c r="A44" s="526">
        <v>224</v>
      </c>
      <c r="B44" s="527" t="s">
        <v>44</v>
      </c>
      <c r="C44" s="531">
        <v>7.2</v>
      </c>
      <c r="D44" s="563">
        <v>1.02</v>
      </c>
      <c r="E44" s="563">
        <v>0</v>
      </c>
      <c r="F44" s="563">
        <v>0</v>
      </c>
      <c r="G44" s="563">
        <f>6.22-0.04</f>
        <v>6.18</v>
      </c>
      <c r="H44" s="528">
        <v>1.98</v>
      </c>
      <c r="I44" s="528">
        <v>0</v>
      </c>
      <c r="J44" s="528">
        <v>0</v>
      </c>
      <c r="K44" s="528">
        <f>5.26-0.04</f>
        <v>5.22</v>
      </c>
      <c r="L44" s="529">
        <v>3.21</v>
      </c>
      <c r="M44" s="529">
        <v>0</v>
      </c>
      <c r="N44" s="529">
        <v>0</v>
      </c>
      <c r="O44" s="529">
        <v>3.99</v>
      </c>
      <c r="P44" s="567">
        <f t="shared" si="0"/>
        <v>7.1999999999999993</v>
      </c>
      <c r="Q44" s="567">
        <f t="shared" si="1"/>
        <v>7.1999999999999993</v>
      </c>
      <c r="R44" s="567">
        <f t="shared" si="2"/>
        <v>7.2</v>
      </c>
    </row>
    <row r="45" spans="1:18" x14ac:dyDescent="0.35">
      <c r="A45" s="526">
        <v>38</v>
      </c>
      <c r="B45" s="527" t="s">
        <v>36</v>
      </c>
      <c r="C45" s="531">
        <v>4.4000000000000004</v>
      </c>
      <c r="D45" s="563">
        <v>0</v>
      </c>
      <c r="E45" s="563">
        <v>0</v>
      </c>
      <c r="F45" s="563">
        <v>0</v>
      </c>
      <c r="G45" s="563">
        <v>4.4000000000000004</v>
      </c>
      <c r="H45" s="528">
        <v>1.504</v>
      </c>
      <c r="I45" s="528">
        <v>0</v>
      </c>
      <c r="J45" s="528">
        <v>0</v>
      </c>
      <c r="K45" s="528">
        <v>2.9</v>
      </c>
      <c r="L45" s="529">
        <v>1.58</v>
      </c>
      <c r="M45" s="529">
        <v>0</v>
      </c>
      <c r="N45" s="529">
        <v>0</v>
      </c>
      <c r="O45" s="529">
        <v>2.82</v>
      </c>
      <c r="P45" s="567">
        <f t="shared" si="0"/>
        <v>4.4000000000000004</v>
      </c>
      <c r="Q45" s="567">
        <f t="shared" si="1"/>
        <v>4.4039999999999999</v>
      </c>
      <c r="R45" s="567">
        <f t="shared" si="2"/>
        <v>4.4000000000000004</v>
      </c>
    </row>
    <row r="46" spans="1:18" x14ac:dyDescent="0.35">
      <c r="A46" s="526">
        <v>25</v>
      </c>
      <c r="B46" s="527" t="s">
        <v>30</v>
      </c>
      <c r="C46" s="531">
        <v>1.7</v>
      </c>
      <c r="D46" s="563">
        <v>0</v>
      </c>
      <c r="E46" s="563">
        <v>0</v>
      </c>
      <c r="F46" s="563">
        <v>0</v>
      </c>
      <c r="G46" s="563">
        <v>1.7</v>
      </c>
      <c r="H46" s="528">
        <v>0</v>
      </c>
      <c r="I46" s="528">
        <v>0</v>
      </c>
      <c r="J46" s="528">
        <v>0</v>
      </c>
      <c r="K46" s="528">
        <v>1.7</v>
      </c>
      <c r="L46" s="529">
        <v>0</v>
      </c>
      <c r="M46" s="529">
        <v>0</v>
      </c>
      <c r="N46" s="529">
        <v>0</v>
      </c>
      <c r="O46" s="529">
        <v>1.7</v>
      </c>
      <c r="P46" s="567">
        <f t="shared" si="0"/>
        <v>1.7</v>
      </c>
      <c r="Q46" s="567">
        <f t="shared" si="1"/>
        <v>1.7</v>
      </c>
      <c r="R46" s="567">
        <f t="shared" si="2"/>
        <v>1.7</v>
      </c>
    </row>
    <row r="47" spans="1:18" x14ac:dyDescent="0.35">
      <c r="A47" s="526">
        <v>18</v>
      </c>
      <c r="B47" s="527" t="s">
        <v>27</v>
      </c>
      <c r="C47" s="531">
        <v>10.5</v>
      </c>
      <c r="D47" s="563">
        <v>4.54</v>
      </c>
      <c r="E47" s="563">
        <v>0</v>
      </c>
      <c r="F47" s="563">
        <v>0</v>
      </c>
      <c r="G47" s="563">
        <v>5.96</v>
      </c>
      <c r="H47" s="528">
        <v>4.54</v>
      </c>
      <c r="I47" s="528">
        <v>0</v>
      </c>
      <c r="J47" s="528">
        <v>0</v>
      </c>
      <c r="K47" s="528">
        <v>5.96</v>
      </c>
      <c r="L47" s="529">
        <v>10.5</v>
      </c>
      <c r="M47" s="529">
        <v>0</v>
      </c>
      <c r="N47" s="529">
        <v>0</v>
      </c>
      <c r="O47" s="529">
        <v>0</v>
      </c>
      <c r="P47" s="567">
        <f t="shared" si="0"/>
        <v>10.5</v>
      </c>
      <c r="Q47" s="567">
        <f t="shared" si="1"/>
        <v>10.5</v>
      </c>
      <c r="R47" s="567">
        <f t="shared" si="2"/>
        <v>10.5</v>
      </c>
    </row>
    <row r="48" spans="1:18" s="534" customFormat="1" x14ac:dyDescent="0.35">
      <c r="A48" s="536" t="s">
        <v>829</v>
      </c>
      <c r="B48" s="537" t="s">
        <v>822</v>
      </c>
      <c r="C48" s="538">
        <v>14</v>
      </c>
      <c r="D48" s="539"/>
      <c r="E48" s="539"/>
      <c r="F48" s="539"/>
      <c r="G48" s="539"/>
      <c r="H48" s="540"/>
      <c r="I48" s="540"/>
      <c r="J48" s="540"/>
      <c r="K48" s="540"/>
      <c r="L48" s="541"/>
      <c r="M48" s="541"/>
      <c r="N48" s="541"/>
      <c r="O48" s="541"/>
      <c r="P48" s="567">
        <f>C48</f>
        <v>14</v>
      </c>
      <c r="Q48" s="567">
        <f>C48</f>
        <v>14</v>
      </c>
      <c r="R48" s="567">
        <f>C48</f>
        <v>14</v>
      </c>
    </row>
    <row r="49" spans="1:18" s="573" customFormat="1" x14ac:dyDescent="0.35">
      <c r="A49" s="574">
        <v>96</v>
      </c>
      <c r="B49" s="575" t="s">
        <v>270</v>
      </c>
      <c r="C49" s="576">
        <v>5.6999999999999993</v>
      </c>
      <c r="D49" s="570">
        <v>0.3</v>
      </c>
      <c r="E49" s="570">
        <v>0</v>
      </c>
      <c r="F49" s="570">
        <v>0</v>
      </c>
      <c r="G49" s="570">
        <v>5.4</v>
      </c>
      <c r="H49" s="571">
        <v>2.09</v>
      </c>
      <c r="I49" s="571">
        <v>0</v>
      </c>
      <c r="J49" s="571">
        <v>0</v>
      </c>
      <c r="K49" s="571">
        <f>3.463+0.15</f>
        <v>3.613</v>
      </c>
      <c r="L49" s="577">
        <v>2.089</v>
      </c>
      <c r="M49" s="577">
        <v>0</v>
      </c>
      <c r="N49" s="577">
        <v>0</v>
      </c>
      <c r="O49" s="577">
        <v>3.6110000000000002</v>
      </c>
      <c r="P49" s="572">
        <f t="shared" si="0"/>
        <v>5.7</v>
      </c>
      <c r="Q49" s="572">
        <f t="shared" si="1"/>
        <v>5.7029999999999994</v>
      </c>
      <c r="R49" s="572">
        <f t="shared" si="2"/>
        <v>5.7</v>
      </c>
    </row>
    <row r="50" spans="1:18" s="522" customFormat="1" x14ac:dyDescent="0.35">
      <c r="A50" s="526">
        <v>80</v>
      </c>
      <c r="B50" s="527" t="s">
        <v>282</v>
      </c>
      <c r="C50" s="531">
        <v>15.7</v>
      </c>
      <c r="D50" s="563">
        <v>0.7</v>
      </c>
      <c r="E50" s="563">
        <v>0</v>
      </c>
      <c r="F50" s="563">
        <v>0</v>
      </c>
      <c r="G50" s="563">
        <v>15</v>
      </c>
      <c r="H50" s="528">
        <v>0.7</v>
      </c>
      <c r="I50" s="528">
        <v>0</v>
      </c>
      <c r="J50" s="528">
        <v>0</v>
      </c>
      <c r="K50" s="528">
        <v>15</v>
      </c>
      <c r="L50" s="529">
        <v>0.7</v>
      </c>
      <c r="M50" s="529">
        <v>0</v>
      </c>
      <c r="N50" s="529">
        <v>0</v>
      </c>
      <c r="O50" s="529">
        <v>15</v>
      </c>
      <c r="P50" s="567">
        <f t="shared" si="0"/>
        <v>15.7</v>
      </c>
      <c r="Q50" s="567">
        <f t="shared" si="1"/>
        <v>15.7</v>
      </c>
      <c r="R50" s="567">
        <f t="shared" si="2"/>
        <v>15.7</v>
      </c>
    </row>
    <row r="51" spans="1:18" s="522" customFormat="1" x14ac:dyDescent="0.35">
      <c r="A51" s="526">
        <v>81</v>
      </c>
      <c r="B51" s="527" t="s">
        <v>279</v>
      </c>
      <c r="C51" s="531">
        <v>3.8</v>
      </c>
      <c r="D51" s="563">
        <v>0.27</v>
      </c>
      <c r="E51" s="563">
        <v>0</v>
      </c>
      <c r="F51" s="563">
        <v>0</v>
      </c>
      <c r="G51" s="563">
        <f>3.62-0.09</f>
        <v>3.5300000000000002</v>
      </c>
      <c r="H51" s="528">
        <v>0.27</v>
      </c>
      <c r="I51" s="528">
        <v>0</v>
      </c>
      <c r="J51" s="528">
        <v>0</v>
      </c>
      <c r="K51" s="528">
        <f>3.62-0.09</f>
        <v>3.5300000000000002</v>
      </c>
      <c r="L51" s="529">
        <v>0.47000000000000003</v>
      </c>
      <c r="M51" s="529">
        <v>0</v>
      </c>
      <c r="N51" s="529">
        <v>0</v>
      </c>
      <c r="O51" s="529">
        <v>3.33</v>
      </c>
      <c r="P51" s="567">
        <f t="shared" si="0"/>
        <v>3.8000000000000003</v>
      </c>
      <c r="Q51" s="567">
        <f t="shared" si="1"/>
        <v>3.8000000000000003</v>
      </c>
      <c r="R51" s="567">
        <f t="shared" si="2"/>
        <v>3.8000000000000003</v>
      </c>
    </row>
    <row r="52" spans="1:18" s="533" customFormat="1" x14ac:dyDescent="0.35">
      <c r="A52" s="536" t="s">
        <v>829</v>
      </c>
      <c r="B52" s="537" t="s">
        <v>823</v>
      </c>
      <c r="C52" s="538">
        <v>8.6999999999999993</v>
      </c>
      <c r="D52" s="539"/>
      <c r="E52" s="539"/>
      <c r="F52" s="539"/>
      <c r="G52" s="539"/>
      <c r="H52" s="540"/>
      <c r="I52" s="540"/>
      <c r="J52" s="540"/>
      <c r="K52" s="540"/>
      <c r="L52" s="541"/>
      <c r="M52" s="541"/>
      <c r="N52" s="541"/>
      <c r="O52" s="541"/>
      <c r="P52" s="567">
        <f t="shared" ref="P52:P57" si="3">C52</f>
        <v>8.6999999999999993</v>
      </c>
      <c r="Q52" s="567">
        <f t="shared" ref="Q52:Q57" si="4">C52</f>
        <v>8.6999999999999993</v>
      </c>
      <c r="R52" s="567">
        <f t="shared" ref="R52:R57" si="5">C52</f>
        <v>8.6999999999999993</v>
      </c>
    </row>
    <row r="53" spans="1:18" s="533" customFormat="1" x14ac:dyDescent="0.35">
      <c r="A53" s="536" t="s">
        <v>829</v>
      </c>
      <c r="B53" s="537" t="s">
        <v>824</v>
      </c>
      <c r="C53" s="538">
        <v>17.484000000000002</v>
      </c>
      <c r="D53" s="539"/>
      <c r="E53" s="539"/>
      <c r="F53" s="539"/>
      <c r="G53" s="539"/>
      <c r="H53" s="540"/>
      <c r="I53" s="540"/>
      <c r="J53" s="540"/>
      <c r="K53" s="540"/>
      <c r="L53" s="541"/>
      <c r="M53" s="541"/>
      <c r="N53" s="541"/>
      <c r="O53" s="541"/>
      <c r="P53" s="567">
        <f t="shared" si="3"/>
        <v>17.484000000000002</v>
      </c>
      <c r="Q53" s="567">
        <f t="shared" si="4"/>
        <v>17.484000000000002</v>
      </c>
      <c r="R53" s="567">
        <f t="shared" si="5"/>
        <v>17.484000000000002</v>
      </c>
    </row>
    <row r="54" spans="1:18" s="533" customFormat="1" x14ac:dyDescent="0.35">
      <c r="A54" s="536" t="s">
        <v>829</v>
      </c>
      <c r="B54" s="537" t="s">
        <v>825</v>
      </c>
      <c r="C54" s="538">
        <v>13.1</v>
      </c>
      <c r="D54" s="539"/>
      <c r="E54" s="539"/>
      <c r="F54" s="539"/>
      <c r="G54" s="539"/>
      <c r="H54" s="540"/>
      <c r="I54" s="540"/>
      <c r="J54" s="540"/>
      <c r="K54" s="540"/>
      <c r="L54" s="541"/>
      <c r="M54" s="541"/>
      <c r="N54" s="541"/>
      <c r="O54" s="541"/>
      <c r="P54" s="567">
        <f t="shared" si="3"/>
        <v>13.1</v>
      </c>
      <c r="Q54" s="567">
        <f t="shared" si="4"/>
        <v>13.1</v>
      </c>
      <c r="R54" s="567">
        <f t="shared" si="5"/>
        <v>13.1</v>
      </c>
    </row>
    <row r="55" spans="1:18" s="533" customFormat="1" x14ac:dyDescent="0.35">
      <c r="A55" s="536" t="s">
        <v>829</v>
      </c>
      <c r="B55" s="537" t="s">
        <v>826</v>
      </c>
      <c r="C55" s="538">
        <v>9.75</v>
      </c>
      <c r="D55" s="539"/>
      <c r="E55" s="539"/>
      <c r="F55" s="539"/>
      <c r="G55" s="539"/>
      <c r="H55" s="540"/>
      <c r="I55" s="540"/>
      <c r="J55" s="540"/>
      <c r="K55" s="540"/>
      <c r="L55" s="541"/>
      <c r="M55" s="541"/>
      <c r="N55" s="541"/>
      <c r="O55" s="541"/>
      <c r="P55" s="567">
        <f t="shared" si="3"/>
        <v>9.75</v>
      </c>
      <c r="Q55" s="567">
        <f t="shared" si="4"/>
        <v>9.75</v>
      </c>
      <c r="R55" s="567">
        <f t="shared" si="5"/>
        <v>9.75</v>
      </c>
    </row>
    <row r="56" spans="1:18" s="533" customFormat="1" x14ac:dyDescent="0.35">
      <c r="A56" s="536" t="s">
        <v>829</v>
      </c>
      <c r="B56" s="537" t="s">
        <v>827</v>
      </c>
      <c r="C56" s="538">
        <v>10</v>
      </c>
      <c r="D56" s="539"/>
      <c r="E56" s="539"/>
      <c r="F56" s="539"/>
      <c r="G56" s="539"/>
      <c r="H56" s="540"/>
      <c r="I56" s="540"/>
      <c r="J56" s="540"/>
      <c r="K56" s="540"/>
      <c r="L56" s="541"/>
      <c r="M56" s="541"/>
      <c r="N56" s="541"/>
      <c r="O56" s="541"/>
      <c r="P56" s="567">
        <f t="shared" si="3"/>
        <v>10</v>
      </c>
      <c r="Q56" s="567">
        <f t="shared" si="4"/>
        <v>10</v>
      </c>
      <c r="R56" s="567">
        <f t="shared" si="5"/>
        <v>10</v>
      </c>
    </row>
    <row r="57" spans="1:18" s="533" customFormat="1" x14ac:dyDescent="0.35">
      <c r="A57" s="536" t="s">
        <v>829</v>
      </c>
      <c r="B57" s="537" t="s">
        <v>828</v>
      </c>
      <c r="C57" s="538">
        <v>13.7</v>
      </c>
      <c r="D57" s="539"/>
      <c r="E57" s="539"/>
      <c r="F57" s="539"/>
      <c r="G57" s="539"/>
      <c r="H57" s="540"/>
      <c r="I57" s="540"/>
      <c r="J57" s="540"/>
      <c r="K57" s="540"/>
      <c r="L57" s="541"/>
      <c r="M57" s="541"/>
      <c r="N57" s="541"/>
      <c r="O57" s="541"/>
      <c r="P57" s="567">
        <f t="shared" si="3"/>
        <v>13.7</v>
      </c>
      <c r="Q57" s="567">
        <f t="shared" si="4"/>
        <v>13.7</v>
      </c>
      <c r="R57" s="567">
        <f t="shared" si="5"/>
        <v>13.7</v>
      </c>
    </row>
    <row r="58" spans="1:18" s="555" customFormat="1" x14ac:dyDescent="0.35">
      <c r="A58" s="556"/>
      <c r="B58" s="557" t="s">
        <v>754</v>
      </c>
      <c r="C58" s="558">
        <f>SUM(C4:C57)</f>
        <v>525.17500000000007</v>
      </c>
      <c r="D58" s="559">
        <f>SUM(D4:D57)</f>
        <v>97.631</v>
      </c>
      <c r="E58" s="559">
        <f t="shared" ref="E58:O58" si="6">SUM(E4:E51)</f>
        <v>0</v>
      </c>
      <c r="F58" s="559">
        <f t="shared" si="6"/>
        <v>2.8099999999999996</v>
      </c>
      <c r="G58" s="559">
        <f t="shared" si="6"/>
        <v>314.99999999999989</v>
      </c>
      <c r="H58" s="560">
        <f t="shared" si="6"/>
        <v>115.97000000000001</v>
      </c>
      <c r="I58" s="560">
        <f t="shared" si="6"/>
        <v>0</v>
      </c>
      <c r="J58" s="560">
        <f t="shared" si="6"/>
        <v>11.73</v>
      </c>
      <c r="K58" s="560">
        <f t="shared" si="6"/>
        <v>287.74799999999993</v>
      </c>
      <c r="L58" s="561">
        <f t="shared" si="6"/>
        <v>137.39199999999997</v>
      </c>
      <c r="M58" s="561">
        <f t="shared" si="6"/>
        <v>3.05</v>
      </c>
      <c r="N58" s="561">
        <f t="shared" si="6"/>
        <v>10.52</v>
      </c>
      <c r="O58" s="561">
        <f t="shared" si="6"/>
        <v>264.47899999999998</v>
      </c>
      <c r="P58" s="568">
        <f>SUM(P4:P57)</f>
        <v>525.17500000000007</v>
      </c>
      <c r="Q58" s="568">
        <f>SUM(Q4:Q57)</f>
        <v>525.18200000000002</v>
      </c>
      <c r="R58" s="568">
        <f>SUM(R4:R57)</f>
        <v>525.17500000000007</v>
      </c>
    </row>
    <row r="60" spans="1:18" x14ac:dyDescent="0.35">
      <c r="B60" s="543" t="s">
        <v>830</v>
      </c>
      <c r="C60" s="542" t="s">
        <v>831</v>
      </c>
    </row>
    <row r="61" spans="1:18" x14ac:dyDescent="0.35">
      <c r="C61" s="1244" t="s">
        <v>832</v>
      </c>
      <c r="D61" s="1244"/>
      <c r="E61" s="1244"/>
      <c r="F61" s="1244"/>
      <c r="G61" s="1244"/>
      <c r="H61" s="1244"/>
      <c r="I61" s="1244"/>
      <c r="J61" s="1244"/>
      <c r="K61" s="1244"/>
      <c r="L61" s="1244"/>
      <c r="M61" s="1244"/>
      <c r="N61" s="1244"/>
      <c r="O61" s="1244"/>
    </row>
    <row r="62" spans="1:18" x14ac:dyDescent="0.35">
      <c r="C62" s="1244"/>
      <c r="D62" s="1244"/>
      <c r="E62" s="1244"/>
      <c r="F62" s="1244"/>
      <c r="G62" s="1244"/>
      <c r="H62" s="1244"/>
      <c r="I62" s="1244"/>
      <c r="J62" s="1244"/>
      <c r="K62" s="1244"/>
      <c r="L62" s="1244"/>
      <c r="M62" s="1244"/>
      <c r="N62" s="1244"/>
      <c r="O62" s="1244"/>
    </row>
    <row r="63" spans="1:18" x14ac:dyDescent="0.35">
      <c r="C63" s="1244"/>
      <c r="D63" s="1244"/>
      <c r="E63" s="1244"/>
      <c r="F63" s="1244"/>
      <c r="G63" s="1244"/>
      <c r="H63" s="1244"/>
      <c r="I63" s="1244"/>
      <c r="J63" s="1244"/>
      <c r="K63" s="1244"/>
      <c r="L63" s="1244"/>
      <c r="M63" s="1244"/>
      <c r="N63" s="1244"/>
      <c r="O63" s="1244"/>
    </row>
    <row r="65" spans="3:15" ht="14.5" thickBot="1" x14ac:dyDescent="0.4"/>
    <row r="66" spans="3:15" x14ac:dyDescent="0.35">
      <c r="C66" s="1234" t="s">
        <v>843</v>
      </c>
      <c r="D66" s="1235"/>
      <c r="E66" s="1235"/>
      <c r="F66" s="1235"/>
      <c r="G66" s="1235"/>
      <c r="H66" s="1235"/>
      <c r="I66" s="1235"/>
      <c r="J66" s="1235"/>
      <c r="K66" s="1235"/>
      <c r="L66" s="1235"/>
      <c r="M66" s="1235"/>
      <c r="N66" s="1235"/>
      <c r="O66" s="1236"/>
    </row>
    <row r="67" spans="3:15" x14ac:dyDescent="0.35">
      <c r="C67" s="1237"/>
      <c r="D67" s="1238"/>
      <c r="E67" s="1238"/>
      <c r="F67" s="1238"/>
      <c r="G67" s="1238"/>
      <c r="H67" s="1238"/>
      <c r="I67" s="1238"/>
      <c r="J67" s="1238"/>
      <c r="K67" s="1238"/>
      <c r="L67" s="1238"/>
      <c r="M67" s="1238"/>
      <c r="N67" s="1238"/>
      <c r="O67" s="1239"/>
    </row>
    <row r="68" spans="3:15" x14ac:dyDescent="0.35">
      <c r="C68" s="1237"/>
      <c r="D68" s="1238"/>
      <c r="E68" s="1238"/>
      <c r="F68" s="1238"/>
      <c r="G68" s="1238"/>
      <c r="H68" s="1238"/>
      <c r="I68" s="1238"/>
      <c r="J68" s="1238"/>
      <c r="K68" s="1238"/>
      <c r="L68" s="1238"/>
      <c r="M68" s="1238"/>
      <c r="N68" s="1238"/>
      <c r="O68" s="1239"/>
    </row>
    <row r="69" spans="3:15" x14ac:dyDescent="0.35">
      <c r="C69" s="1237"/>
      <c r="D69" s="1238"/>
      <c r="E69" s="1238"/>
      <c r="F69" s="1238"/>
      <c r="G69" s="1238"/>
      <c r="H69" s="1238"/>
      <c r="I69" s="1238"/>
      <c r="J69" s="1238"/>
      <c r="K69" s="1238"/>
      <c r="L69" s="1238"/>
      <c r="M69" s="1238"/>
      <c r="N69" s="1238"/>
      <c r="O69" s="1239"/>
    </row>
    <row r="70" spans="3:15" x14ac:dyDescent="0.35">
      <c r="C70" s="1237"/>
      <c r="D70" s="1238"/>
      <c r="E70" s="1238"/>
      <c r="F70" s="1238"/>
      <c r="G70" s="1238"/>
      <c r="H70" s="1238"/>
      <c r="I70" s="1238"/>
      <c r="J70" s="1238"/>
      <c r="K70" s="1238"/>
      <c r="L70" s="1238"/>
      <c r="M70" s="1238"/>
      <c r="N70" s="1238"/>
      <c r="O70" s="1239"/>
    </row>
    <row r="71" spans="3:15" ht="14.5" thickBot="1" x14ac:dyDescent="0.4">
      <c r="C71" s="1240"/>
      <c r="D71" s="1241"/>
      <c r="E71" s="1241"/>
      <c r="F71" s="1241"/>
      <c r="G71" s="1241"/>
      <c r="H71" s="1241"/>
      <c r="I71" s="1241"/>
      <c r="J71" s="1241"/>
      <c r="K71" s="1241"/>
      <c r="L71" s="1241"/>
      <c r="M71" s="1241"/>
      <c r="N71" s="1241"/>
      <c r="O71" s="1242"/>
    </row>
    <row r="72" spans="3:15" x14ac:dyDescent="0.35">
      <c r="C72" s="1243" t="s">
        <v>844</v>
      </c>
      <c r="D72" s="1243"/>
      <c r="E72" s="1243"/>
      <c r="F72" s="1243"/>
      <c r="G72" s="1243"/>
      <c r="H72" s="1243"/>
      <c r="I72" s="1243"/>
      <c r="J72" s="1243"/>
      <c r="K72" s="1243"/>
      <c r="L72" s="1243"/>
      <c r="M72" s="1243"/>
      <c r="N72" s="1243"/>
      <c r="O72" s="1243"/>
    </row>
    <row r="73" spans="3:15" x14ac:dyDescent="0.35">
      <c r="C73" s="1243"/>
      <c r="D73" s="1243"/>
      <c r="E73" s="1243"/>
      <c r="F73" s="1243"/>
      <c r="G73" s="1243"/>
      <c r="H73" s="1243"/>
      <c r="I73" s="1243"/>
      <c r="J73" s="1243"/>
      <c r="K73" s="1243"/>
      <c r="L73" s="1243"/>
      <c r="M73" s="1243"/>
      <c r="N73" s="1243"/>
      <c r="O73" s="1243"/>
    </row>
    <row r="74" spans="3:15" x14ac:dyDescent="0.35">
      <c r="C74" s="1243"/>
      <c r="D74" s="1243"/>
      <c r="E74" s="1243"/>
      <c r="F74" s="1243"/>
      <c r="G74" s="1243"/>
      <c r="H74" s="1243"/>
      <c r="I74" s="1243"/>
      <c r="J74" s="1243"/>
      <c r="K74" s="1243"/>
      <c r="L74" s="1243"/>
      <c r="M74" s="1243"/>
      <c r="N74" s="1243"/>
      <c r="O74" s="1243"/>
    </row>
    <row r="75" spans="3:15" x14ac:dyDescent="0.35">
      <c r="C75" s="1243"/>
      <c r="D75" s="1243"/>
      <c r="E75" s="1243"/>
      <c r="F75" s="1243"/>
      <c r="G75" s="1243"/>
      <c r="H75" s="1243"/>
      <c r="I75" s="1243"/>
      <c r="J75" s="1243"/>
      <c r="K75" s="1243"/>
      <c r="L75" s="1243"/>
      <c r="M75" s="1243"/>
      <c r="N75" s="1243"/>
      <c r="O75" s="1243"/>
    </row>
    <row r="76" spans="3:15" x14ac:dyDescent="0.35">
      <c r="C76" s="1243"/>
      <c r="D76" s="1243"/>
      <c r="E76" s="1243"/>
      <c r="F76" s="1243"/>
      <c r="G76" s="1243"/>
      <c r="H76" s="1243"/>
      <c r="I76" s="1243"/>
      <c r="J76" s="1243"/>
      <c r="K76" s="1243"/>
      <c r="L76" s="1243"/>
      <c r="M76" s="1243"/>
      <c r="N76" s="1243"/>
      <c r="O76" s="1243"/>
    </row>
  </sheetData>
  <mergeCells count="10">
    <mergeCell ref="A1:A3"/>
    <mergeCell ref="D2:G2"/>
    <mergeCell ref="H2:K2"/>
    <mergeCell ref="L2:O2"/>
    <mergeCell ref="D1:O1"/>
    <mergeCell ref="C66:O71"/>
    <mergeCell ref="C72:O76"/>
    <mergeCell ref="C61:O63"/>
    <mergeCell ref="C1:C3"/>
    <mergeCell ref="B1:B3"/>
  </mergeCells>
  <pageMargins left="0.2" right="0.2" top="0.75" bottom="0.75" header="0.3" footer="0.3"/>
  <pageSetup paperSize="9" scale="61" fitToHeight="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>
    <tabColor rgb="FFC00000"/>
  </sheetPr>
  <dimension ref="A1:S324"/>
  <sheetViews>
    <sheetView view="pageBreakPreview" zoomScale="115" zoomScaleNormal="70" zoomScaleSheetLayoutView="115" zoomScalePageLayoutView="30" workbookViewId="0">
      <pane ySplit="6" topLeftCell="A43" activePane="bottomLeft" state="frozen"/>
      <selection activeCell="W38" sqref="W38"/>
      <selection pane="bottomLeft" activeCell="W38" sqref="W38"/>
    </sheetView>
  </sheetViews>
  <sheetFormatPr defaultRowHeight="18" x14ac:dyDescent="0.35"/>
  <cols>
    <col min="1" max="1" width="9.1796875" style="329"/>
    <col min="2" max="2" width="20.7265625" style="354" customWidth="1"/>
    <col min="3" max="3" width="50.7265625" style="327" customWidth="1"/>
    <col min="4" max="4" width="17.7265625" style="327" hidden="1" customWidth="1"/>
    <col min="5" max="5" width="12.81640625" style="329" customWidth="1"/>
    <col min="6" max="6" width="14.81640625" style="329" customWidth="1"/>
    <col min="7" max="7" width="12" style="329" customWidth="1"/>
    <col min="8" max="8" width="9.54296875" style="329" customWidth="1"/>
    <col min="9" max="9" width="12.54296875" style="329" customWidth="1"/>
    <col min="10" max="10" width="14.453125" style="329" customWidth="1"/>
    <col min="11" max="11" width="12.81640625" style="329" customWidth="1"/>
    <col min="12" max="12" width="23.7265625" style="327" customWidth="1"/>
    <col min="13" max="13" width="21.26953125" style="452" customWidth="1"/>
    <col min="14" max="14" width="22.54296875" style="327" customWidth="1"/>
    <col min="15" max="15" width="20" style="329" customWidth="1"/>
    <col min="16" max="16" width="15.54296875" style="329" customWidth="1"/>
    <col min="17" max="17" width="16.26953125" style="329" customWidth="1"/>
    <col min="18" max="18" width="9.1796875" style="329" customWidth="1"/>
    <col min="19" max="19" width="9.7265625" style="329" customWidth="1"/>
    <col min="20" max="21" width="9.1796875" style="329" customWidth="1"/>
    <col min="22" max="257" width="9.1796875" style="329"/>
    <col min="258" max="258" width="13.26953125" style="329" customWidth="1"/>
    <col min="259" max="259" width="27.453125" style="329" customWidth="1"/>
    <col min="260" max="261" width="9.54296875" style="329" customWidth="1"/>
    <col min="262" max="262" width="9.7265625" style="329" customWidth="1"/>
    <col min="263" max="263" width="9.54296875" style="329" customWidth="1"/>
    <col min="264" max="264" width="12.54296875" style="329" customWidth="1"/>
    <col min="265" max="265" width="10" style="329" customWidth="1"/>
    <col min="266" max="266" width="9.7265625" style="329" customWidth="1"/>
    <col min="267" max="269" width="9.1796875" style="329" customWidth="1"/>
    <col min="270" max="513" width="9.1796875" style="329"/>
    <col min="514" max="514" width="13.26953125" style="329" customWidth="1"/>
    <col min="515" max="515" width="27.453125" style="329" customWidth="1"/>
    <col min="516" max="517" width="9.54296875" style="329" customWidth="1"/>
    <col min="518" max="518" width="9.7265625" style="329" customWidth="1"/>
    <col min="519" max="519" width="9.54296875" style="329" customWidth="1"/>
    <col min="520" max="520" width="12.54296875" style="329" customWidth="1"/>
    <col min="521" max="521" width="10" style="329" customWidth="1"/>
    <col min="522" max="522" width="9.7265625" style="329" customWidth="1"/>
    <col min="523" max="525" width="9.1796875" style="329" customWidth="1"/>
    <col min="526" max="769" width="9.1796875" style="329"/>
    <col min="770" max="770" width="13.26953125" style="329" customWidth="1"/>
    <col min="771" max="771" width="27.453125" style="329" customWidth="1"/>
    <col min="772" max="773" width="9.54296875" style="329" customWidth="1"/>
    <col min="774" max="774" width="9.7265625" style="329" customWidth="1"/>
    <col min="775" max="775" width="9.54296875" style="329" customWidth="1"/>
    <col min="776" max="776" width="12.54296875" style="329" customWidth="1"/>
    <col min="777" max="777" width="10" style="329" customWidth="1"/>
    <col min="778" max="778" width="9.7265625" style="329" customWidth="1"/>
    <col min="779" max="781" width="9.1796875" style="329" customWidth="1"/>
    <col min="782" max="1025" width="9.1796875" style="329"/>
    <col min="1026" max="1026" width="13.26953125" style="329" customWidth="1"/>
    <col min="1027" max="1027" width="27.453125" style="329" customWidth="1"/>
    <col min="1028" max="1029" width="9.54296875" style="329" customWidth="1"/>
    <col min="1030" max="1030" width="9.7265625" style="329" customWidth="1"/>
    <col min="1031" max="1031" width="9.54296875" style="329" customWidth="1"/>
    <col min="1032" max="1032" width="12.54296875" style="329" customWidth="1"/>
    <col min="1033" max="1033" width="10" style="329" customWidth="1"/>
    <col min="1034" max="1034" width="9.7265625" style="329" customWidth="1"/>
    <col min="1035" max="1037" width="9.1796875" style="329" customWidth="1"/>
    <col min="1038" max="1281" width="9.1796875" style="329"/>
    <col min="1282" max="1282" width="13.26953125" style="329" customWidth="1"/>
    <col min="1283" max="1283" width="27.453125" style="329" customWidth="1"/>
    <col min="1284" max="1285" width="9.54296875" style="329" customWidth="1"/>
    <col min="1286" max="1286" width="9.7265625" style="329" customWidth="1"/>
    <col min="1287" max="1287" width="9.54296875" style="329" customWidth="1"/>
    <col min="1288" max="1288" width="12.54296875" style="329" customWidth="1"/>
    <col min="1289" max="1289" width="10" style="329" customWidth="1"/>
    <col min="1290" max="1290" width="9.7265625" style="329" customWidth="1"/>
    <col min="1291" max="1293" width="9.1796875" style="329" customWidth="1"/>
    <col min="1294" max="1537" width="9.1796875" style="329"/>
    <col min="1538" max="1538" width="13.26953125" style="329" customWidth="1"/>
    <col min="1539" max="1539" width="27.453125" style="329" customWidth="1"/>
    <col min="1540" max="1541" width="9.54296875" style="329" customWidth="1"/>
    <col min="1542" max="1542" width="9.7265625" style="329" customWidth="1"/>
    <col min="1543" max="1543" width="9.54296875" style="329" customWidth="1"/>
    <col min="1544" max="1544" width="12.54296875" style="329" customWidth="1"/>
    <col min="1545" max="1545" width="10" style="329" customWidth="1"/>
    <col min="1546" max="1546" width="9.7265625" style="329" customWidth="1"/>
    <col min="1547" max="1549" width="9.1796875" style="329" customWidth="1"/>
    <col min="1550" max="1793" width="9.1796875" style="329"/>
    <col min="1794" max="1794" width="13.26953125" style="329" customWidth="1"/>
    <col min="1795" max="1795" width="27.453125" style="329" customWidth="1"/>
    <col min="1796" max="1797" width="9.54296875" style="329" customWidth="1"/>
    <col min="1798" max="1798" width="9.7265625" style="329" customWidth="1"/>
    <col min="1799" max="1799" width="9.54296875" style="329" customWidth="1"/>
    <col min="1800" max="1800" width="12.54296875" style="329" customWidth="1"/>
    <col min="1801" max="1801" width="10" style="329" customWidth="1"/>
    <col min="1802" max="1802" width="9.7265625" style="329" customWidth="1"/>
    <col min="1803" max="1805" width="9.1796875" style="329" customWidth="1"/>
    <col min="1806" max="2049" width="9.1796875" style="329"/>
    <col min="2050" max="2050" width="13.26953125" style="329" customWidth="1"/>
    <col min="2051" max="2051" width="27.453125" style="329" customWidth="1"/>
    <col min="2052" max="2053" width="9.54296875" style="329" customWidth="1"/>
    <col min="2054" max="2054" width="9.7265625" style="329" customWidth="1"/>
    <col min="2055" max="2055" width="9.54296875" style="329" customWidth="1"/>
    <col min="2056" max="2056" width="12.54296875" style="329" customWidth="1"/>
    <col min="2057" max="2057" width="10" style="329" customWidth="1"/>
    <col min="2058" max="2058" width="9.7265625" style="329" customWidth="1"/>
    <col min="2059" max="2061" width="9.1796875" style="329" customWidth="1"/>
    <col min="2062" max="2305" width="9.1796875" style="329"/>
    <col min="2306" max="2306" width="13.26953125" style="329" customWidth="1"/>
    <col min="2307" max="2307" width="27.453125" style="329" customWidth="1"/>
    <col min="2308" max="2309" width="9.54296875" style="329" customWidth="1"/>
    <col min="2310" max="2310" width="9.7265625" style="329" customWidth="1"/>
    <col min="2311" max="2311" width="9.54296875" style="329" customWidth="1"/>
    <col min="2312" max="2312" width="12.54296875" style="329" customWidth="1"/>
    <col min="2313" max="2313" width="10" style="329" customWidth="1"/>
    <col min="2314" max="2314" width="9.7265625" style="329" customWidth="1"/>
    <col min="2315" max="2317" width="9.1796875" style="329" customWidth="1"/>
    <col min="2318" max="2561" width="9.1796875" style="329"/>
    <col min="2562" max="2562" width="13.26953125" style="329" customWidth="1"/>
    <col min="2563" max="2563" width="27.453125" style="329" customWidth="1"/>
    <col min="2564" max="2565" width="9.54296875" style="329" customWidth="1"/>
    <col min="2566" max="2566" width="9.7265625" style="329" customWidth="1"/>
    <col min="2567" max="2567" width="9.54296875" style="329" customWidth="1"/>
    <col min="2568" max="2568" width="12.54296875" style="329" customWidth="1"/>
    <col min="2569" max="2569" width="10" style="329" customWidth="1"/>
    <col min="2570" max="2570" width="9.7265625" style="329" customWidth="1"/>
    <col min="2571" max="2573" width="9.1796875" style="329" customWidth="1"/>
    <col min="2574" max="2817" width="9.1796875" style="329"/>
    <col min="2818" max="2818" width="13.26953125" style="329" customWidth="1"/>
    <col min="2819" max="2819" width="27.453125" style="329" customWidth="1"/>
    <col min="2820" max="2821" width="9.54296875" style="329" customWidth="1"/>
    <col min="2822" max="2822" width="9.7265625" style="329" customWidth="1"/>
    <col min="2823" max="2823" width="9.54296875" style="329" customWidth="1"/>
    <col min="2824" max="2824" width="12.54296875" style="329" customWidth="1"/>
    <col min="2825" max="2825" width="10" style="329" customWidth="1"/>
    <col min="2826" max="2826" width="9.7265625" style="329" customWidth="1"/>
    <col min="2827" max="2829" width="9.1796875" style="329" customWidth="1"/>
    <col min="2830" max="3073" width="9.1796875" style="329"/>
    <col min="3074" max="3074" width="13.26953125" style="329" customWidth="1"/>
    <col min="3075" max="3075" width="27.453125" style="329" customWidth="1"/>
    <col min="3076" max="3077" width="9.54296875" style="329" customWidth="1"/>
    <col min="3078" max="3078" width="9.7265625" style="329" customWidth="1"/>
    <col min="3079" max="3079" width="9.54296875" style="329" customWidth="1"/>
    <col min="3080" max="3080" width="12.54296875" style="329" customWidth="1"/>
    <col min="3081" max="3081" width="10" style="329" customWidth="1"/>
    <col min="3082" max="3082" width="9.7265625" style="329" customWidth="1"/>
    <col min="3083" max="3085" width="9.1796875" style="329" customWidth="1"/>
    <col min="3086" max="3329" width="9.1796875" style="329"/>
    <col min="3330" max="3330" width="13.26953125" style="329" customWidth="1"/>
    <col min="3331" max="3331" width="27.453125" style="329" customWidth="1"/>
    <col min="3332" max="3333" width="9.54296875" style="329" customWidth="1"/>
    <col min="3334" max="3334" width="9.7265625" style="329" customWidth="1"/>
    <col min="3335" max="3335" width="9.54296875" style="329" customWidth="1"/>
    <col min="3336" max="3336" width="12.54296875" style="329" customWidth="1"/>
    <col min="3337" max="3337" width="10" style="329" customWidth="1"/>
    <col min="3338" max="3338" width="9.7265625" style="329" customWidth="1"/>
    <col min="3339" max="3341" width="9.1796875" style="329" customWidth="1"/>
    <col min="3342" max="3585" width="9.1796875" style="329"/>
    <col min="3586" max="3586" width="13.26953125" style="329" customWidth="1"/>
    <col min="3587" max="3587" width="27.453125" style="329" customWidth="1"/>
    <col min="3588" max="3589" width="9.54296875" style="329" customWidth="1"/>
    <col min="3590" max="3590" width="9.7265625" style="329" customWidth="1"/>
    <col min="3591" max="3591" width="9.54296875" style="329" customWidth="1"/>
    <col min="3592" max="3592" width="12.54296875" style="329" customWidth="1"/>
    <col min="3593" max="3593" width="10" style="329" customWidth="1"/>
    <col min="3594" max="3594" width="9.7265625" style="329" customWidth="1"/>
    <col min="3595" max="3597" width="9.1796875" style="329" customWidth="1"/>
    <col min="3598" max="3841" width="9.1796875" style="329"/>
    <col min="3842" max="3842" width="13.26953125" style="329" customWidth="1"/>
    <col min="3843" max="3843" width="27.453125" style="329" customWidth="1"/>
    <col min="3844" max="3845" width="9.54296875" style="329" customWidth="1"/>
    <col min="3846" max="3846" width="9.7265625" style="329" customWidth="1"/>
    <col min="3847" max="3847" width="9.54296875" style="329" customWidth="1"/>
    <col min="3848" max="3848" width="12.54296875" style="329" customWidth="1"/>
    <col min="3849" max="3849" width="10" style="329" customWidth="1"/>
    <col min="3850" max="3850" width="9.7265625" style="329" customWidth="1"/>
    <col min="3851" max="3853" width="9.1796875" style="329" customWidth="1"/>
    <col min="3854" max="4097" width="9.1796875" style="329"/>
    <col min="4098" max="4098" width="13.26953125" style="329" customWidth="1"/>
    <col min="4099" max="4099" width="27.453125" style="329" customWidth="1"/>
    <col min="4100" max="4101" width="9.54296875" style="329" customWidth="1"/>
    <col min="4102" max="4102" width="9.7265625" style="329" customWidth="1"/>
    <col min="4103" max="4103" width="9.54296875" style="329" customWidth="1"/>
    <col min="4104" max="4104" width="12.54296875" style="329" customWidth="1"/>
    <col min="4105" max="4105" width="10" style="329" customWidth="1"/>
    <col min="4106" max="4106" width="9.7265625" style="329" customWidth="1"/>
    <col min="4107" max="4109" width="9.1796875" style="329" customWidth="1"/>
    <col min="4110" max="4353" width="9.1796875" style="329"/>
    <col min="4354" max="4354" width="13.26953125" style="329" customWidth="1"/>
    <col min="4355" max="4355" width="27.453125" style="329" customWidth="1"/>
    <col min="4356" max="4357" width="9.54296875" style="329" customWidth="1"/>
    <col min="4358" max="4358" width="9.7265625" style="329" customWidth="1"/>
    <col min="4359" max="4359" width="9.54296875" style="329" customWidth="1"/>
    <col min="4360" max="4360" width="12.54296875" style="329" customWidth="1"/>
    <col min="4361" max="4361" width="10" style="329" customWidth="1"/>
    <col min="4362" max="4362" width="9.7265625" style="329" customWidth="1"/>
    <col min="4363" max="4365" width="9.1796875" style="329" customWidth="1"/>
    <col min="4366" max="4609" width="9.1796875" style="329"/>
    <col min="4610" max="4610" width="13.26953125" style="329" customWidth="1"/>
    <col min="4611" max="4611" width="27.453125" style="329" customWidth="1"/>
    <col min="4612" max="4613" width="9.54296875" style="329" customWidth="1"/>
    <col min="4614" max="4614" width="9.7265625" style="329" customWidth="1"/>
    <col min="4615" max="4615" width="9.54296875" style="329" customWidth="1"/>
    <col min="4616" max="4616" width="12.54296875" style="329" customWidth="1"/>
    <col min="4617" max="4617" width="10" style="329" customWidth="1"/>
    <col min="4618" max="4618" width="9.7265625" style="329" customWidth="1"/>
    <col min="4619" max="4621" width="9.1796875" style="329" customWidth="1"/>
    <col min="4622" max="4865" width="9.1796875" style="329"/>
    <col min="4866" max="4866" width="13.26953125" style="329" customWidth="1"/>
    <col min="4867" max="4867" width="27.453125" style="329" customWidth="1"/>
    <col min="4868" max="4869" width="9.54296875" style="329" customWidth="1"/>
    <col min="4870" max="4870" width="9.7265625" style="329" customWidth="1"/>
    <col min="4871" max="4871" width="9.54296875" style="329" customWidth="1"/>
    <col min="4872" max="4872" width="12.54296875" style="329" customWidth="1"/>
    <col min="4873" max="4873" width="10" style="329" customWidth="1"/>
    <col min="4874" max="4874" width="9.7265625" style="329" customWidth="1"/>
    <col min="4875" max="4877" width="9.1796875" style="329" customWidth="1"/>
    <col min="4878" max="5121" width="9.1796875" style="329"/>
    <col min="5122" max="5122" width="13.26953125" style="329" customWidth="1"/>
    <col min="5123" max="5123" width="27.453125" style="329" customWidth="1"/>
    <col min="5124" max="5125" width="9.54296875" style="329" customWidth="1"/>
    <col min="5126" max="5126" width="9.7265625" style="329" customWidth="1"/>
    <col min="5127" max="5127" width="9.54296875" style="329" customWidth="1"/>
    <col min="5128" max="5128" width="12.54296875" style="329" customWidth="1"/>
    <col min="5129" max="5129" width="10" style="329" customWidth="1"/>
    <col min="5130" max="5130" width="9.7265625" style="329" customWidth="1"/>
    <col min="5131" max="5133" width="9.1796875" style="329" customWidth="1"/>
    <col min="5134" max="5377" width="9.1796875" style="329"/>
    <col min="5378" max="5378" width="13.26953125" style="329" customWidth="1"/>
    <col min="5379" max="5379" width="27.453125" style="329" customWidth="1"/>
    <col min="5380" max="5381" width="9.54296875" style="329" customWidth="1"/>
    <col min="5382" max="5382" width="9.7265625" style="329" customWidth="1"/>
    <col min="5383" max="5383" width="9.54296875" style="329" customWidth="1"/>
    <col min="5384" max="5384" width="12.54296875" style="329" customWidth="1"/>
    <col min="5385" max="5385" width="10" style="329" customWidth="1"/>
    <col min="5386" max="5386" width="9.7265625" style="329" customWidth="1"/>
    <col min="5387" max="5389" width="9.1796875" style="329" customWidth="1"/>
    <col min="5390" max="5633" width="9.1796875" style="329"/>
    <col min="5634" max="5634" width="13.26953125" style="329" customWidth="1"/>
    <col min="5635" max="5635" width="27.453125" style="329" customWidth="1"/>
    <col min="5636" max="5637" width="9.54296875" style="329" customWidth="1"/>
    <col min="5638" max="5638" width="9.7265625" style="329" customWidth="1"/>
    <col min="5639" max="5639" width="9.54296875" style="329" customWidth="1"/>
    <col min="5640" max="5640" width="12.54296875" style="329" customWidth="1"/>
    <col min="5641" max="5641" width="10" style="329" customWidth="1"/>
    <col min="5642" max="5642" width="9.7265625" style="329" customWidth="1"/>
    <col min="5643" max="5645" width="9.1796875" style="329" customWidth="1"/>
    <col min="5646" max="5889" width="9.1796875" style="329"/>
    <col min="5890" max="5890" width="13.26953125" style="329" customWidth="1"/>
    <col min="5891" max="5891" width="27.453125" style="329" customWidth="1"/>
    <col min="5892" max="5893" width="9.54296875" style="329" customWidth="1"/>
    <col min="5894" max="5894" width="9.7265625" style="329" customWidth="1"/>
    <col min="5895" max="5895" width="9.54296875" style="329" customWidth="1"/>
    <col min="5896" max="5896" width="12.54296875" style="329" customWidth="1"/>
    <col min="5897" max="5897" width="10" style="329" customWidth="1"/>
    <col min="5898" max="5898" width="9.7265625" style="329" customWidth="1"/>
    <col min="5899" max="5901" width="9.1796875" style="329" customWidth="1"/>
    <col min="5902" max="6145" width="9.1796875" style="329"/>
    <col min="6146" max="6146" width="13.26953125" style="329" customWidth="1"/>
    <col min="6147" max="6147" width="27.453125" style="329" customWidth="1"/>
    <col min="6148" max="6149" width="9.54296875" style="329" customWidth="1"/>
    <col min="6150" max="6150" width="9.7265625" style="329" customWidth="1"/>
    <col min="6151" max="6151" width="9.54296875" style="329" customWidth="1"/>
    <col min="6152" max="6152" width="12.54296875" style="329" customWidth="1"/>
    <col min="6153" max="6153" width="10" style="329" customWidth="1"/>
    <col min="6154" max="6154" width="9.7265625" style="329" customWidth="1"/>
    <col min="6155" max="6157" width="9.1796875" style="329" customWidth="1"/>
    <col min="6158" max="6401" width="9.1796875" style="329"/>
    <col min="6402" max="6402" width="13.26953125" style="329" customWidth="1"/>
    <col min="6403" max="6403" width="27.453125" style="329" customWidth="1"/>
    <col min="6404" max="6405" width="9.54296875" style="329" customWidth="1"/>
    <col min="6406" max="6406" width="9.7265625" style="329" customWidth="1"/>
    <col min="6407" max="6407" width="9.54296875" style="329" customWidth="1"/>
    <col min="6408" max="6408" width="12.54296875" style="329" customWidth="1"/>
    <col min="6409" max="6409" width="10" style="329" customWidth="1"/>
    <col min="6410" max="6410" width="9.7265625" style="329" customWidth="1"/>
    <col min="6411" max="6413" width="9.1796875" style="329" customWidth="1"/>
    <col min="6414" max="6657" width="9.1796875" style="329"/>
    <col min="6658" max="6658" width="13.26953125" style="329" customWidth="1"/>
    <col min="6659" max="6659" width="27.453125" style="329" customWidth="1"/>
    <col min="6660" max="6661" width="9.54296875" style="329" customWidth="1"/>
    <col min="6662" max="6662" width="9.7265625" style="329" customWidth="1"/>
    <col min="6663" max="6663" width="9.54296875" style="329" customWidth="1"/>
    <col min="6664" max="6664" width="12.54296875" style="329" customWidth="1"/>
    <col min="6665" max="6665" width="10" style="329" customWidth="1"/>
    <col min="6666" max="6666" width="9.7265625" style="329" customWidth="1"/>
    <col min="6667" max="6669" width="9.1796875" style="329" customWidth="1"/>
    <col min="6670" max="6913" width="9.1796875" style="329"/>
    <col min="6914" max="6914" width="13.26953125" style="329" customWidth="1"/>
    <col min="6915" max="6915" width="27.453125" style="329" customWidth="1"/>
    <col min="6916" max="6917" width="9.54296875" style="329" customWidth="1"/>
    <col min="6918" max="6918" width="9.7265625" style="329" customWidth="1"/>
    <col min="6919" max="6919" width="9.54296875" style="329" customWidth="1"/>
    <col min="6920" max="6920" width="12.54296875" style="329" customWidth="1"/>
    <col min="6921" max="6921" width="10" style="329" customWidth="1"/>
    <col min="6922" max="6922" width="9.7265625" style="329" customWidth="1"/>
    <col min="6923" max="6925" width="9.1796875" style="329" customWidth="1"/>
    <col min="6926" max="7169" width="9.1796875" style="329"/>
    <col min="7170" max="7170" width="13.26953125" style="329" customWidth="1"/>
    <col min="7171" max="7171" width="27.453125" style="329" customWidth="1"/>
    <col min="7172" max="7173" width="9.54296875" style="329" customWidth="1"/>
    <col min="7174" max="7174" width="9.7265625" style="329" customWidth="1"/>
    <col min="7175" max="7175" width="9.54296875" style="329" customWidth="1"/>
    <col min="7176" max="7176" width="12.54296875" style="329" customWidth="1"/>
    <col min="7177" max="7177" width="10" style="329" customWidth="1"/>
    <col min="7178" max="7178" width="9.7265625" style="329" customWidth="1"/>
    <col min="7179" max="7181" width="9.1796875" style="329" customWidth="1"/>
    <col min="7182" max="7425" width="9.1796875" style="329"/>
    <col min="7426" max="7426" width="13.26953125" style="329" customWidth="1"/>
    <col min="7427" max="7427" width="27.453125" style="329" customWidth="1"/>
    <col min="7428" max="7429" width="9.54296875" style="329" customWidth="1"/>
    <col min="7430" max="7430" width="9.7265625" style="329" customWidth="1"/>
    <col min="7431" max="7431" width="9.54296875" style="329" customWidth="1"/>
    <col min="7432" max="7432" width="12.54296875" style="329" customWidth="1"/>
    <col min="7433" max="7433" width="10" style="329" customWidth="1"/>
    <col min="7434" max="7434" width="9.7265625" style="329" customWidth="1"/>
    <col min="7435" max="7437" width="9.1796875" style="329" customWidth="1"/>
    <col min="7438" max="7681" width="9.1796875" style="329"/>
    <col min="7682" max="7682" width="13.26953125" style="329" customWidth="1"/>
    <col min="7683" max="7683" width="27.453125" style="329" customWidth="1"/>
    <col min="7684" max="7685" width="9.54296875" style="329" customWidth="1"/>
    <col min="7686" max="7686" width="9.7265625" style="329" customWidth="1"/>
    <col min="7687" max="7687" width="9.54296875" style="329" customWidth="1"/>
    <col min="7688" max="7688" width="12.54296875" style="329" customWidth="1"/>
    <col min="7689" max="7689" width="10" style="329" customWidth="1"/>
    <col min="7690" max="7690" width="9.7265625" style="329" customWidth="1"/>
    <col min="7691" max="7693" width="9.1796875" style="329" customWidth="1"/>
    <col min="7694" max="7937" width="9.1796875" style="329"/>
    <col min="7938" max="7938" width="13.26953125" style="329" customWidth="1"/>
    <col min="7939" max="7939" width="27.453125" style="329" customWidth="1"/>
    <col min="7940" max="7941" width="9.54296875" style="329" customWidth="1"/>
    <col min="7942" max="7942" width="9.7265625" style="329" customWidth="1"/>
    <col min="7943" max="7943" width="9.54296875" style="329" customWidth="1"/>
    <col min="7944" max="7944" width="12.54296875" style="329" customWidth="1"/>
    <col min="7945" max="7945" width="10" style="329" customWidth="1"/>
    <col min="7946" max="7946" width="9.7265625" style="329" customWidth="1"/>
    <col min="7947" max="7949" width="9.1796875" style="329" customWidth="1"/>
    <col min="7950" max="8193" width="9.1796875" style="329"/>
    <col min="8194" max="8194" width="13.26953125" style="329" customWidth="1"/>
    <col min="8195" max="8195" width="27.453125" style="329" customWidth="1"/>
    <col min="8196" max="8197" width="9.54296875" style="329" customWidth="1"/>
    <col min="8198" max="8198" width="9.7265625" style="329" customWidth="1"/>
    <col min="8199" max="8199" width="9.54296875" style="329" customWidth="1"/>
    <col min="8200" max="8200" width="12.54296875" style="329" customWidth="1"/>
    <col min="8201" max="8201" width="10" style="329" customWidth="1"/>
    <col min="8202" max="8202" width="9.7265625" style="329" customWidth="1"/>
    <col min="8203" max="8205" width="9.1796875" style="329" customWidth="1"/>
    <col min="8206" max="8449" width="9.1796875" style="329"/>
    <col min="8450" max="8450" width="13.26953125" style="329" customWidth="1"/>
    <col min="8451" max="8451" width="27.453125" style="329" customWidth="1"/>
    <col min="8452" max="8453" width="9.54296875" style="329" customWidth="1"/>
    <col min="8454" max="8454" width="9.7265625" style="329" customWidth="1"/>
    <col min="8455" max="8455" width="9.54296875" style="329" customWidth="1"/>
    <col min="8456" max="8456" width="12.54296875" style="329" customWidth="1"/>
    <col min="8457" max="8457" width="10" style="329" customWidth="1"/>
    <col min="8458" max="8458" width="9.7265625" style="329" customWidth="1"/>
    <col min="8459" max="8461" width="9.1796875" style="329" customWidth="1"/>
    <col min="8462" max="8705" width="9.1796875" style="329"/>
    <col min="8706" max="8706" width="13.26953125" style="329" customWidth="1"/>
    <col min="8707" max="8707" width="27.453125" style="329" customWidth="1"/>
    <col min="8708" max="8709" width="9.54296875" style="329" customWidth="1"/>
    <col min="8710" max="8710" width="9.7265625" style="329" customWidth="1"/>
    <col min="8711" max="8711" width="9.54296875" style="329" customWidth="1"/>
    <col min="8712" max="8712" width="12.54296875" style="329" customWidth="1"/>
    <col min="8713" max="8713" width="10" style="329" customWidth="1"/>
    <col min="8714" max="8714" width="9.7265625" style="329" customWidth="1"/>
    <col min="8715" max="8717" width="9.1796875" style="329" customWidth="1"/>
    <col min="8718" max="8961" width="9.1796875" style="329"/>
    <col min="8962" max="8962" width="13.26953125" style="329" customWidth="1"/>
    <col min="8963" max="8963" width="27.453125" style="329" customWidth="1"/>
    <col min="8964" max="8965" width="9.54296875" style="329" customWidth="1"/>
    <col min="8966" max="8966" width="9.7265625" style="329" customWidth="1"/>
    <col min="8967" max="8967" width="9.54296875" style="329" customWidth="1"/>
    <col min="8968" max="8968" width="12.54296875" style="329" customWidth="1"/>
    <col min="8969" max="8969" width="10" style="329" customWidth="1"/>
    <col min="8970" max="8970" width="9.7265625" style="329" customWidth="1"/>
    <col min="8971" max="8973" width="9.1796875" style="329" customWidth="1"/>
    <col min="8974" max="9217" width="9.1796875" style="329"/>
    <col min="9218" max="9218" width="13.26953125" style="329" customWidth="1"/>
    <col min="9219" max="9219" width="27.453125" style="329" customWidth="1"/>
    <col min="9220" max="9221" width="9.54296875" style="329" customWidth="1"/>
    <col min="9222" max="9222" width="9.7265625" style="329" customWidth="1"/>
    <col min="9223" max="9223" width="9.54296875" style="329" customWidth="1"/>
    <col min="9224" max="9224" width="12.54296875" style="329" customWidth="1"/>
    <col min="9225" max="9225" width="10" style="329" customWidth="1"/>
    <col min="9226" max="9226" width="9.7265625" style="329" customWidth="1"/>
    <col min="9227" max="9229" width="9.1796875" style="329" customWidth="1"/>
    <col min="9230" max="9473" width="9.1796875" style="329"/>
    <col min="9474" max="9474" width="13.26953125" style="329" customWidth="1"/>
    <col min="9475" max="9475" width="27.453125" style="329" customWidth="1"/>
    <col min="9476" max="9477" width="9.54296875" style="329" customWidth="1"/>
    <col min="9478" max="9478" width="9.7265625" style="329" customWidth="1"/>
    <col min="9479" max="9479" width="9.54296875" style="329" customWidth="1"/>
    <col min="9480" max="9480" width="12.54296875" style="329" customWidth="1"/>
    <col min="9481" max="9481" width="10" style="329" customWidth="1"/>
    <col min="9482" max="9482" width="9.7265625" style="329" customWidth="1"/>
    <col min="9483" max="9485" width="9.1796875" style="329" customWidth="1"/>
    <col min="9486" max="9729" width="9.1796875" style="329"/>
    <col min="9730" max="9730" width="13.26953125" style="329" customWidth="1"/>
    <col min="9731" max="9731" width="27.453125" style="329" customWidth="1"/>
    <col min="9732" max="9733" width="9.54296875" style="329" customWidth="1"/>
    <col min="9734" max="9734" width="9.7265625" style="329" customWidth="1"/>
    <col min="9735" max="9735" width="9.54296875" style="329" customWidth="1"/>
    <col min="9736" max="9736" width="12.54296875" style="329" customWidth="1"/>
    <col min="9737" max="9737" width="10" style="329" customWidth="1"/>
    <col min="9738" max="9738" width="9.7265625" style="329" customWidth="1"/>
    <col min="9739" max="9741" width="9.1796875" style="329" customWidth="1"/>
    <col min="9742" max="9985" width="9.1796875" style="329"/>
    <col min="9986" max="9986" width="13.26953125" style="329" customWidth="1"/>
    <col min="9987" max="9987" width="27.453125" style="329" customWidth="1"/>
    <col min="9988" max="9989" width="9.54296875" style="329" customWidth="1"/>
    <col min="9990" max="9990" width="9.7265625" style="329" customWidth="1"/>
    <col min="9991" max="9991" width="9.54296875" style="329" customWidth="1"/>
    <col min="9992" max="9992" width="12.54296875" style="329" customWidth="1"/>
    <col min="9993" max="9993" width="10" style="329" customWidth="1"/>
    <col min="9994" max="9994" width="9.7265625" style="329" customWidth="1"/>
    <col min="9995" max="9997" width="9.1796875" style="329" customWidth="1"/>
    <col min="9998" max="10241" width="9.1796875" style="329"/>
    <col min="10242" max="10242" width="13.26953125" style="329" customWidth="1"/>
    <col min="10243" max="10243" width="27.453125" style="329" customWidth="1"/>
    <col min="10244" max="10245" width="9.54296875" style="329" customWidth="1"/>
    <col min="10246" max="10246" width="9.7265625" style="329" customWidth="1"/>
    <col min="10247" max="10247" width="9.54296875" style="329" customWidth="1"/>
    <col min="10248" max="10248" width="12.54296875" style="329" customWidth="1"/>
    <col min="10249" max="10249" width="10" style="329" customWidth="1"/>
    <col min="10250" max="10250" width="9.7265625" style="329" customWidth="1"/>
    <col min="10251" max="10253" width="9.1796875" style="329" customWidth="1"/>
    <col min="10254" max="10497" width="9.1796875" style="329"/>
    <col min="10498" max="10498" width="13.26953125" style="329" customWidth="1"/>
    <col min="10499" max="10499" width="27.453125" style="329" customWidth="1"/>
    <col min="10500" max="10501" width="9.54296875" style="329" customWidth="1"/>
    <col min="10502" max="10502" width="9.7265625" style="329" customWidth="1"/>
    <col min="10503" max="10503" width="9.54296875" style="329" customWidth="1"/>
    <col min="10504" max="10504" width="12.54296875" style="329" customWidth="1"/>
    <col min="10505" max="10505" width="10" style="329" customWidth="1"/>
    <col min="10506" max="10506" width="9.7265625" style="329" customWidth="1"/>
    <col min="10507" max="10509" width="9.1796875" style="329" customWidth="1"/>
    <col min="10510" max="10753" width="9.1796875" style="329"/>
    <col min="10754" max="10754" width="13.26953125" style="329" customWidth="1"/>
    <col min="10755" max="10755" width="27.453125" style="329" customWidth="1"/>
    <col min="10756" max="10757" width="9.54296875" style="329" customWidth="1"/>
    <col min="10758" max="10758" width="9.7265625" style="329" customWidth="1"/>
    <col min="10759" max="10759" width="9.54296875" style="329" customWidth="1"/>
    <col min="10760" max="10760" width="12.54296875" style="329" customWidth="1"/>
    <col min="10761" max="10761" width="10" style="329" customWidth="1"/>
    <col min="10762" max="10762" width="9.7265625" style="329" customWidth="1"/>
    <col min="10763" max="10765" width="9.1796875" style="329" customWidth="1"/>
    <col min="10766" max="11009" width="9.1796875" style="329"/>
    <col min="11010" max="11010" width="13.26953125" style="329" customWidth="1"/>
    <col min="11011" max="11011" width="27.453125" style="329" customWidth="1"/>
    <col min="11012" max="11013" width="9.54296875" style="329" customWidth="1"/>
    <col min="11014" max="11014" width="9.7265625" style="329" customWidth="1"/>
    <col min="11015" max="11015" width="9.54296875" style="329" customWidth="1"/>
    <col min="11016" max="11016" width="12.54296875" style="329" customWidth="1"/>
    <col min="11017" max="11017" width="10" style="329" customWidth="1"/>
    <col min="11018" max="11018" width="9.7265625" style="329" customWidth="1"/>
    <col min="11019" max="11021" width="9.1796875" style="329" customWidth="1"/>
    <col min="11022" max="11265" width="9.1796875" style="329"/>
    <col min="11266" max="11266" width="13.26953125" style="329" customWidth="1"/>
    <col min="11267" max="11267" width="27.453125" style="329" customWidth="1"/>
    <col min="11268" max="11269" width="9.54296875" style="329" customWidth="1"/>
    <col min="11270" max="11270" width="9.7265625" style="329" customWidth="1"/>
    <col min="11271" max="11271" width="9.54296875" style="329" customWidth="1"/>
    <col min="11272" max="11272" width="12.54296875" style="329" customWidth="1"/>
    <col min="11273" max="11273" width="10" style="329" customWidth="1"/>
    <col min="11274" max="11274" width="9.7265625" style="329" customWidth="1"/>
    <col min="11275" max="11277" width="9.1796875" style="329" customWidth="1"/>
    <col min="11278" max="11521" width="9.1796875" style="329"/>
    <col min="11522" max="11522" width="13.26953125" style="329" customWidth="1"/>
    <col min="11523" max="11523" width="27.453125" style="329" customWidth="1"/>
    <col min="11524" max="11525" width="9.54296875" style="329" customWidth="1"/>
    <col min="11526" max="11526" width="9.7265625" style="329" customWidth="1"/>
    <col min="11527" max="11527" width="9.54296875" style="329" customWidth="1"/>
    <col min="11528" max="11528" width="12.54296875" style="329" customWidth="1"/>
    <col min="11529" max="11529" width="10" style="329" customWidth="1"/>
    <col min="11530" max="11530" width="9.7265625" style="329" customWidth="1"/>
    <col min="11531" max="11533" width="9.1796875" style="329" customWidth="1"/>
    <col min="11534" max="11777" width="9.1796875" style="329"/>
    <col min="11778" max="11778" width="13.26953125" style="329" customWidth="1"/>
    <col min="11779" max="11779" width="27.453125" style="329" customWidth="1"/>
    <col min="11780" max="11781" width="9.54296875" style="329" customWidth="1"/>
    <col min="11782" max="11782" width="9.7265625" style="329" customWidth="1"/>
    <col min="11783" max="11783" width="9.54296875" style="329" customWidth="1"/>
    <col min="11784" max="11784" width="12.54296875" style="329" customWidth="1"/>
    <col min="11785" max="11785" width="10" style="329" customWidth="1"/>
    <col min="11786" max="11786" width="9.7265625" style="329" customWidth="1"/>
    <col min="11787" max="11789" width="9.1796875" style="329" customWidth="1"/>
    <col min="11790" max="12033" width="9.1796875" style="329"/>
    <col min="12034" max="12034" width="13.26953125" style="329" customWidth="1"/>
    <col min="12035" max="12035" width="27.453125" style="329" customWidth="1"/>
    <col min="12036" max="12037" width="9.54296875" style="329" customWidth="1"/>
    <col min="12038" max="12038" width="9.7265625" style="329" customWidth="1"/>
    <col min="12039" max="12039" width="9.54296875" style="329" customWidth="1"/>
    <col min="12040" max="12040" width="12.54296875" style="329" customWidth="1"/>
    <col min="12041" max="12041" width="10" style="329" customWidth="1"/>
    <col min="12042" max="12042" width="9.7265625" style="329" customWidth="1"/>
    <col min="12043" max="12045" width="9.1796875" style="329" customWidth="1"/>
    <col min="12046" max="12289" width="9.1796875" style="329"/>
    <col min="12290" max="12290" width="13.26953125" style="329" customWidth="1"/>
    <col min="12291" max="12291" width="27.453125" style="329" customWidth="1"/>
    <col min="12292" max="12293" width="9.54296875" style="329" customWidth="1"/>
    <col min="12294" max="12294" width="9.7265625" style="329" customWidth="1"/>
    <col min="12295" max="12295" width="9.54296875" style="329" customWidth="1"/>
    <col min="12296" max="12296" width="12.54296875" style="329" customWidth="1"/>
    <col min="12297" max="12297" width="10" style="329" customWidth="1"/>
    <col min="12298" max="12298" width="9.7265625" style="329" customWidth="1"/>
    <col min="12299" max="12301" width="9.1796875" style="329" customWidth="1"/>
    <col min="12302" max="12545" width="9.1796875" style="329"/>
    <col min="12546" max="12546" width="13.26953125" style="329" customWidth="1"/>
    <col min="12547" max="12547" width="27.453125" style="329" customWidth="1"/>
    <col min="12548" max="12549" width="9.54296875" style="329" customWidth="1"/>
    <col min="12550" max="12550" width="9.7265625" style="329" customWidth="1"/>
    <col min="12551" max="12551" width="9.54296875" style="329" customWidth="1"/>
    <col min="12552" max="12552" width="12.54296875" style="329" customWidth="1"/>
    <col min="12553" max="12553" width="10" style="329" customWidth="1"/>
    <col min="12554" max="12554" width="9.7265625" style="329" customWidth="1"/>
    <col min="12555" max="12557" width="9.1796875" style="329" customWidth="1"/>
    <col min="12558" max="12801" width="9.1796875" style="329"/>
    <col min="12802" max="12802" width="13.26953125" style="329" customWidth="1"/>
    <col min="12803" max="12803" width="27.453125" style="329" customWidth="1"/>
    <col min="12804" max="12805" width="9.54296875" style="329" customWidth="1"/>
    <col min="12806" max="12806" width="9.7265625" style="329" customWidth="1"/>
    <col min="12807" max="12807" width="9.54296875" style="329" customWidth="1"/>
    <col min="12808" max="12808" width="12.54296875" style="329" customWidth="1"/>
    <col min="12809" max="12809" width="10" style="329" customWidth="1"/>
    <col min="12810" max="12810" width="9.7265625" style="329" customWidth="1"/>
    <col min="12811" max="12813" width="9.1796875" style="329" customWidth="1"/>
    <col min="12814" max="13057" width="9.1796875" style="329"/>
    <col min="13058" max="13058" width="13.26953125" style="329" customWidth="1"/>
    <col min="13059" max="13059" width="27.453125" style="329" customWidth="1"/>
    <col min="13060" max="13061" width="9.54296875" style="329" customWidth="1"/>
    <col min="13062" max="13062" width="9.7265625" style="329" customWidth="1"/>
    <col min="13063" max="13063" width="9.54296875" style="329" customWidth="1"/>
    <col min="13064" max="13064" width="12.54296875" style="329" customWidth="1"/>
    <col min="13065" max="13065" width="10" style="329" customWidth="1"/>
    <col min="13066" max="13066" width="9.7265625" style="329" customWidth="1"/>
    <col min="13067" max="13069" width="9.1796875" style="329" customWidth="1"/>
    <col min="13070" max="13313" width="9.1796875" style="329"/>
    <col min="13314" max="13314" width="13.26953125" style="329" customWidth="1"/>
    <col min="13315" max="13315" width="27.453125" style="329" customWidth="1"/>
    <col min="13316" max="13317" width="9.54296875" style="329" customWidth="1"/>
    <col min="13318" max="13318" width="9.7265625" style="329" customWidth="1"/>
    <col min="13319" max="13319" width="9.54296875" style="329" customWidth="1"/>
    <col min="13320" max="13320" width="12.54296875" style="329" customWidth="1"/>
    <col min="13321" max="13321" width="10" style="329" customWidth="1"/>
    <col min="13322" max="13322" width="9.7265625" style="329" customWidth="1"/>
    <col min="13323" max="13325" width="9.1796875" style="329" customWidth="1"/>
    <col min="13326" max="13569" width="9.1796875" style="329"/>
    <col min="13570" max="13570" width="13.26953125" style="329" customWidth="1"/>
    <col min="13571" max="13571" width="27.453125" style="329" customWidth="1"/>
    <col min="13572" max="13573" width="9.54296875" style="329" customWidth="1"/>
    <col min="13574" max="13574" width="9.7265625" style="329" customWidth="1"/>
    <col min="13575" max="13575" width="9.54296875" style="329" customWidth="1"/>
    <col min="13576" max="13576" width="12.54296875" style="329" customWidth="1"/>
    <col min="13577" max="13577" width="10" style="329" customWidth="1"/>
    <col min="13578" max="13578" width="9.7265625" style="329" customWidth="1"/>
    <col min="13579" max="13581" width="9.1796875" style="329" customWidth="1"/>
    <col min="13582" max="13825" width="9.1796875" style="329"/>
    <col min="13826" max="13826" width="13.26953125" style="329" customWidth="1"/>
    <col min="13827" max="13827" width="27.453125" style="329" customWidth="1"/>
    <col min="13828" max="13829" width="9.54296875" style="329" customWidth="1"/>
    <col min="13830" max="13830" width="9.7265625" style="329" customWidth="1"/>
    <col min="13831" max="13831" width="9.54296875" style="329" customWidth="1"/>
    <col min="13832" max="13832" width="12.54296875" style="329" customWidth="1"/>
    <col min="13833" max="13833" width="10" style="329" customWidth="1"/>
    <col min="13834" max="13834" width="9.7265625" style="329" customWidth="1"/>
    <col min="13835" max="13837" width="9.1796875" style="329" customWidth="1"/>
    <col min="13838" max="14081" width="9.1796875" style="329"/>
    <col min="14082" max="14082" width="13.26953125" style="329" customWidth="1"/>
    <col min="14083" max="14083" width="27.453125" style="329" customWidth="1"/>
    <col min="14084" max="14085" width="9.54296875" style="329" customWidth="1"/>
    <col min="14086" max="14086" width="9.7265625" style="329" customWidth="1"/>
    <col min="14087" max="14087" width="9.54296875" style="329" customWidth="1"/>
    <col min="14088" max="14088" width="12.54296875" style="329" customWidth="1"/>
    <col min="14089" max="14089" width="10" style="329" customWidth="1"/>
    <col min="14090" max="14090" width="9.7265625" style="329" customWidth="1"/>
    <col min="14091" max="14093" width="9.1796875" style="329" customWidth="1"/>
    <col min="14094" max="14337" width="9.1796875" style="329"/>
    <col min="14338" max="14338" width="13.26953125" style="329" customWidth="1"/>
    <col min="14339" max="14339" width="27.453125" style="329" customWidth="1"/>
    <col min="14340" max="14341" width="9.54296875" style="329" customWidth="1"/>
    <col min="14342" max="14342" width="9.7265625" style="329" customWidth="1"/>
    <col min="14343" max="14343" width="9.54296875" style="329" customWidth="1"/>
    <col min="14344" max="14344" width="12.54296875" style="329" customWidth="1"/>
    <col min="14345" max="14345" width="10" style="329" customWidth="1"/>
    <col min="14346" max="14346" width="9.7265625" style="329" customWidth="1"/>
    <col min="14347" max="14349" width="9.1796875" style="329" customWidth="1"/>
    <col min="14350" max="14593" width="9.1796875" style="329"/>
    <col min="14594" max="14594" width="13.26953125" style="329" customWidth="1"/>
    <col min="14595" max="14595" width="27.453125" style="329" customWidth="1"/>
    <col min="14596" max="14597" width="9.54296875" style="329" customWidth="1"/>
    <col min="14598" max="14598" width="9.7265625" style="329" customWidth="1"/>
    <col min="14599" max="14599" width="9.54296875" style="329" customWidth="1"/>
    <col min="14600" max="14600" width="12.54296875" style="329" customWidth="1"/>
    <col min="14601" max="14601" width="10" style="329" customWidth="1"/>
    <col min="14602" max="14602" width="9.7265625" style="329" customWidth="1"/>
    <col min="14603" max="14605" width="9.1796875" style="329" customWidth="1"/>
    <col min="14606" max="14849" width="9.1796875" style="329"/>
    <col min="14850" max="14850" width="13.26953125" style="329" customWidth="1"/>
    <col min="14851" max="14851" width="27.453125" style="329" customWidth="1"/>
    <col min="14852" max="14853" width="9.54296875" style="329" customWidth="1"/>
    <col min="14854" max="14854" width="9.7265625" style="329" customWidth="1"/>
    <col min="14855" max="14855" width="9.54296875" style="329" customWidth="1"/>
    <col min="14856" max="14856" width="12.54296875" style="329" customWidth="1"/>
    <col min="14857" max="14857" width="10" style="329" customWidth="1"/>
    <col min="14858" max="14858" width="9.7265625" style="329" customWidth="1"/>
    <col min="14859" max="14861" width="9.1796875" style="329" customWidth="1"/>
    <col min="14862" max="15105" width="9.1796875" style="329"/>
    <col min="15106" max="15106" width="13.26953125" style="329" customWidth="1"/>
    <col min="15107" max="15107" width="27.453125" style="329" customWidth="1"/>
    <col min="15108" max="15109" width="9.54296875" style="329" customWidth="1"/>
    <col min="15110" max="15110" width="9.7265625" style="329" customWidth="1"/>
    <col min="15111" max="15111" width="9.54296875" style="329" customWidth="1"/>
    <col min="15112" max="15112" width="12.54296875" style="329" customWidth="1"/>
    <col min="15113" max="15113" width="10" style="329" customWidth="1"/>
    <col min="15114" max="15114" width="9.7265625" style="329" customWidth="1"/>
    <col min="15115" max="15117" width="9.1796875" style="329" customWidth="1"/>
    <col min="15118" max="15361" width="9.1796875" style="329"/>
    <col min="15362" max="15362" width="13.26953125" style="329" customWidth="1"/>
    <col min="15363" max="15363" width="27.453125" style="329" customWidth="1"/>
    <col min="15364" max="15365" width="9.54296875" style="329" customWidth="1"/>
    <col min="15366" max="15366" width="9.7265625" style="329" customWidth="1"/>
    <col min="15367" max="15367" width="9.54296875" style="329" customWidth="1"/>
    <col min="15368" max="15368" width="12.54296875" style="329" customWidth="1"/>
    <col min="15369" max="15369" width="10" style="329" customWidth="1"/>
    <col min="15370" max="15370" width="9.7265625" style="329" customWidth="1"/>
    <col min="15371" max="15373" width="9.1796875" style="329" customWidth="1"/>
    <col min="15374" max="15617" width="9.1796875" style="329"/>
    <col min="15618" max="15618" width="13.26953125" style="329" customWidth="1"/>
    <col min="15619" max="15619" width="27.453125" style="329" customWidth="1"/>
    <col min="15620" max="15621" width="9.54296875" style="329" customWidth="1"/>
    <col min="15622" max="15622" width="9.7265625" style="329" customWidth="1"/>
    <col min="15623" max="15623" width="9.54296875" style="329" customWidth="1"/>
    <col min="15624" max="15624" width="12.54296875" style="329" customWidth="1"/>
    <col min="15625" max="15625" width="10" style="329" customWidth="1"/>
    <col min="15626" max="15626" width="9.7265625" style="329" customWidth="1"/>
    <col min="15627" max="15629" width="9.1796875" style="329" customWidth="1"/>
    <col min="15630" max="15873" width="9.1796875" style="329"/>
    <col min="15874" max="15874" width="13.26953125" style="329" customWidth="1"/>
    <col min="15875" max="15875" width="27.453125" style="329" customWidth="1"/>
    <col min="15876" max="15877" width="9.54296875" style="329" customWidth="1"/>
    <col min="15878" max="15878" width="9.7265625" style="329" customWidth="1"/>
    <col min="15879" max="15879" width="9.54296875" style="329" customWidth="1"/>
    <col min="15880" max="15880" width="12.54296875" style="329" customWidth="1"/>
    <col min="15881" max="15881" width="10" style="329" customWidth="1"/>
    <col min="15882" max="15882" width="9.7265625" style="329" customWidth="1"/>
    <col min="15883" max="15885" width="9.1796875" style="329" customWidth="1"/>
    <col min="15886" max="16129" width="9.1796875" style="329"/>
    <col min="16130" max="16130" width="13.26953125" style="329" customWidth="1"/>
    <col min="16131" max="16131" width="27.453125" style="329" customWidth="1"/>
    <col min="16132" max="16133" width="9.54296875" style="329" customWidth="1"/>
    <col min="16134" max="16134" width="9.7265625" style="329" customWidth="1"/>
    <col min="16135" max="16135" width="9.54296875" style="329" customWidth="1"/>
    <col min="16136" max="16136" width="12.54296875" style="329" customWidth="1"/>
    <col min="16137" max="16137" width="10" style="329" customWidth="1"/>
    <col min="16138" max="16138" width="9.7265625" style="329" customWidth="1"/>
    <col min="16139" max="16141" width="9.1796875" style="329" customWidth="1"/>
    <col min="16142" max="16384" width="9.1796875" style="329"/>
  </cols>
  <sheetData>
    <row r="1" spans="1:19" x14ac:dyDescent="0.35">
      <c r="B1" s="1120" t="s">
        <v>0</v>
      </c>
      <c r="C1" s="1120"/>
      <c r="D1" s="1120"/>
      <c r="E1" s="1120"/>
      <c r="F1" s="1120"/>
      <c r="G1" s="1120"/>
      <c r="H1" s="1120"/>
      <c r="I1" s="1120"/>
      <c r="J1" s="1120"/>
      <c r="K1" s="361"/>
      <c r="L1" s="329"/>
      <c r="M1" s="355"/>
      <c r="N1" s="354"/>
    </row>
    <row r="2" spans="1:19" x14ac:dyDescent="0.35">
      <c r="B2" s="1120" t="s">
        <v>297</v>
      </c>
      <c r="C2" s="1120"/>
      <c r="D2" s="1120"/>
      <c r="E2" s="1120"/>
      <c r="F2" s="1120"/>
      <c r="G2" s="1120"/>
      <c r="H2" s="1120"/>
      <c r="I2" s="1120"/>
      <c r="J2" s="1120"/>
      <c r="K2" s="361"/>
      <c r="L2" s="329"/>
      <c r="M2" s="355"/>
      <c r="N2" s="354"/>
    </row>
    <row r="3" spans="1:19" x14ac:dyDescent="0.35">
      <c r="B3" s="1119">
        <v>2022</v>
      </c>
      <c r="C3" s="1119"/>
      <c r="D3" s="1119"/>
      <c r="E3" s="1119"/>
      <c r="F3" s="1119"/>
      <c r="G3" s="1119"/>
      <c r="H3" s="1119"/>
      <c r="I3" s="1119"/>
      <c r="J3" s="1119"/>
      <c r="K3" s="361"/>
      <c r="L3" s="329"/>
      <c r="M3" s="355"/>
      <c r="N3" s="354"/>
    </row>
    <row r="4" spans="1:19" x14ac:dyDescent="0.35">
      <c r="B4" s="371"/>
      <c r="C4" s="371"/>
      <c r="D4" s="371"/>
      <c r="E4" s="371"/>
      <c r="F4" s="371"/>
      <c r="G4" s="371"/>
      <c r="H4" s="371"/>
      <c r="I4" s="371"/>
      <c r="J4" s="371"/>
      <c r="K4" s="361"/>
      <c r="L4" s="371"/>
      <c r="M4" s="355"/>
      <c r="N4" s="354"/>
    </row>
    <row r="5" spans="1:19" s="317" customFormat="1" ht="20.149999999999999" customHeight="1" x14ac:dyDescent="0.35">
      <c r="B5" s="366" t="s">
        <v>302</v>
      </c>
      <c r="C5" s="365" t="s">
        <v>28</v>
      </c>
      <c r="D5" s="1255" t="s">
        <v>847</v>
      </c>
      <c r="E5" s="1252" t="s">
        <v>729</v>
      </c>
      <c r="F5" s="1253" t="s">
        <v>728</v>
      </c>
      <c r="G5" s="1253"/>
      <c r="H5" s="1253"/>
      <c r="I5" s="1253"/>
      <c r="J5" s="1254" t="s">
        <v>29</v>
      </c>
      <c r="K5" s="364" t="s">
        <v>303</v>
      </c>
      <c r="L5" s="365" t="s">
        <v>306</v>
      </c>
      <c r="M5" s="451"/>
      <c r="N5" s="319"/>
    </row>
    <row r="6" spans="1:19" s="317" customFormat="1" ht="19.5" customHeight="1" x14ac:dyDescent="0.35">
      <c r="B6" s="368"/>
      <c r="C6" s="369"/>
      <c r="D6" s="1256"/>
      <c r="E6" s="1252"/>
      <c r="F6" s="370" t="s">
        <v>308</v>
      </c>
      <c r="G6" s="370" t="s">
        <v>309</v>
      </c>
      <c r="H6" s="370" t="s">
        <v>310</v>
      </c>
      <c r="I6" s="370" t="s">
        <v>311</v>
      </c>
      <c r="J6" s="1254"/>
      <c r="K6" s="364"/>
      <c r="L6" s="367"/>
      <c r="M6" s="451"/>
      <c r="N6" s="319"/>
      <c r="O6" s="320"/>
      <c r="Q6" s="320"/>
    </row>
    <row r="7" spans="1:19" ht="18.75" customHeight="1" x14ac:dyDescent="0.35">
      <c r="B7" s="384" t="s">
        <v>3</v>
      </c>
      <c r="C7" s="382"/>
      <c r="D7" s="382"/>
      <c r="E7" s="382"/>
      <c r="F7" s="382"/>
      <c r="G7" s="382"/>
      <c r="H7" s="382"/>
      <c r="I7" s="382"/>
      <c r="J7" s="383"/>
      <c r="L7" s="329"/>
    </row>
    <row r="8" spans="1:19" ht="20.149999999999999" customHeight="1" x14ac:dyDescent="0.35">
      <c r="A8" s="329">
        <v>1</v>
      </c>
      <c r="B8" s="321">
        <v>219</v>
      </c>
      <c r="C8" s="330" t="s">
        <v>214</v>
      </c>
      <c r="D8" s="330"/>
      <c r="E8" s="323">
        <f>'[1]road inventory 2018'!C10</f>
        <v>0.65</v>
      </c>
      <c r="F8" s="323">
        <v>0.25</v>
      </c>
      <c r="G8" s="323">
        <v>0</v>
      </c>
      <c r="H8" s="323">
        <v>0</v>
      </c>
      <c r="I8" s="323">
        <v>0.4</v>
      </c>
      <c r="J8" s="325" t="s">
        <v>12</v>
      </c>
      <c r="K8" s="323">
        <f t="shared" ref="K8:K31" si="0">SUM(F8:I8)</f>
        <v>0.65</v>
      </c>
      <c r="L8" s="326" t="s">
        <v>313</v>
      </c>
      <c r="M8" s="363"/>
      <c r="N8" s="328"/>
    </row>
    <row r="9" spans="1:19" ht="20.149999999999999" customHeight="1" x14ac:dyDescent="0.35">
      <c r="A9" s="329">
        <v>2</v>
      </c>
      <c r="B9" s="321">
        <v>1</v>
      </c>
      <c r="C9" s="330" t="s">
        <v>314</v>
      </c>
      <c r="D9" s="330"/>
      <c r="E9" s="323">
        <f>'[1]road inventory 2018'!C11</f>
        <v>5.5</v>
      </c>
      <c r="F9" s="323">
        <v>4.88</v>
      </c>
      <c r="G9" s="323">
        <v>0</v>
      </c>
      <c r="H9" s="323">
        <v>0</v>
      </c>
      <c r="I9" s="323">
        <v>0.62</v>
      </c>
      <c r="J9" s="326" t="s">
        <v>10</v>
      </c>
      <c r="K9" s="323">
        <f t="shared" si="0"/>
        <v>5.5</v>
      </c>
      <c r="L9" s="326" t="s">
        <v>315</v>
      </c>
      <c r="M9" s="363"/>
      <c r="N9" s="328"/>
      <c r="O9" s="331"/>
      <c r="Q9" s="331"/>
      <c r="S9" s="331"/>
    </row>
    <row r="10" spans="1:19" ht="20.149999999999999" customHeight="1" x14ac:dyDescent="0.35">
      <c r="A10" s="329">
        <v>3</v>
      </c>
      <c r="B10" s="321">
        <v>2</v>
      </c>
      <c r="C10" s="330" t="s">
        <v>212</v>
      </c>
      <c r="D10" s="330"/>
      <c r="E10" s="323">
        <f>'[1]road inventory 2018'!C12</f>
        <v>0.8</v>
      </c>
      <c r="F10" s="323">
        <v>7.0000000000000007E-2</v>
      </c>
      <c r="G10" s="323">
        <v>0</v>
      </c>
      <c r="H10" s="323">
        <v>0</v>
      </c>
      <c r="I10" s="323">
        <v>0.73</v>
      </c>
      <c r="J10" s="326" t="s">
        <v>12</v>
      </c>
      <c r="K10" s="323">
        <f t="shared" si="0"/>
        <v>0.8</v>
      </c>
      <c r="L10" s="326" t="s">
        <v>316</v>
      </c>
      <c r="M10" s="363"/>
      <c r="N10" s="328"/>
    </row>
    <row r="11" spans="1:19" ht="20.149999999999999" customHeight="1" x14ac:dyDescent="0.35">
      <c r="A11" s="329">
        <v>4</v>
      </c>
      <c r="B11" s="321">
        <v>3</v>
      </c>
      <c r="C11" s="330" t="s">
        <v>217</v>
      </c>
      <c r="D11" s="330"/>
      <c r="E11" s="323">
        <f>'[1]road inventory 2018'!C13</f>
        <v>4.9000000000000004</v>
      </c>
      <c r="F11" s="323">
        <v>0</v>
      </c>
      <c r="G11" s="323">
        <v>0</v>
      </c>
      <c r="H11" s="323">
        <v>0</v>
      </c>
      <c r="I11" s="323">
        <v>4.9000000000000004</v>
      </c>
      <c r="J11" s="325" t="s">
        <v>12</v>
      </c>
      <c r="K11" s="323">
        <f t="shared" si="0"/>
        <v>4.9000000000000004</v>
      </c>
      <c r="L11" s="326" t="s">
        <v>318</v>
      </c>
      <c r="M11" s="363"/>
      <c r="N11" s="328"/>
      <c r="O11" s="331"/>
    </row>
    <row r="12" spans="1:19" ht="20.149999999999999" customHeight="1" x14ac:dyDescent="0.35">
      <c r="A12" s="329">
        <v>5</v>
      </c>
      <c r="B12" s="321">
        <v>4</v>
      </c>
      <c r="C12" s="330" t="s">
        <v>211</v>
      </c>
      <c r="D12" s="330"/>
      <c r="E12" s="323">
        <f>'[1]road inventory 2018'!C14</f>
        <v>2.7</v>
      </c>
      <c r="F12" s="323">
        <v>0</v>
      </c>
      <c r="G12" s="323">
        <v>0</v>
      </c>
      <c r="H12" s="323">
        <v>0</v>
      </c>
      <c r="I12" s="323">
        <v>2.7</v>
      </c>
      <c r="J12" s="325" t="s">
        <v>12</v>
      </c>
      <c r="K12" s="323">
        <f t="shared" si="0"/>
        <v>2.7</v>
      </c>
      <c r="L12" s="326" t="s">
        <v>320</v>
      </c>
      <c r="M12" s="363"/>
      <c r="N12" s="328"/>
    </row>
    <row r="13" spans="1:19" ht="20.149999999999999" customHeight="1" x14ac:dyDescent="0.35">
      <c r="A13" s="329">
        <v>6</v>
      </c>
      <c r="B13" s="321">
        <v>93</v>
      </c>
      <c r="C13" s="330" t="s">
        <v>13</v>
      </c>
      <c r="D13" s="330"/>
      <c r="E13" s="323">
        <f>'[1]road inventory 2018'!C15</f>
        <v>3.9</v>
      </c>
      <c r="F13" s="323">
        <v>3.79</v>
      </c>
      <c r="G13" s="323">
        <v>0</v>
      </c>
      <c r="H13" s="323">
        <v>0</v>
      </c>
      <c r="I13" s="323">
        <v>0.11</v>
      </c>
      <c r="J13" s="325" t="s">
        <v>12</v>
      </c>
      <c r="K13" s="323">
        <f t="shared" si="0"/>
        <v>3.9</v>
      </c>
      <c r="L13" s="326" t="s">
        <v>320</v>
      </c>
      <c r="M13" s="363"/>
      <c r="N13" s="328"/>
      <c r="O13" s="331"/>
      <c r="Q13" s="331"/>
    </row>
    <row r="14" spans="1:19" ht="20.149999999999999" customHeight="1" x14ac:dyDescent="0.35">
      <c r="A14" s="329">
        <v>7</v>
      </c>
      <c r="B14" s="321">
        <v>218</v>
      </c>
      <c r="C14" s="330" t="s">
        <v>213</v>
      </c>
      <c r="D14" s="330"/>
      <c r="E14" s="323">
        <f>'[1]road inventory 2018'!C16</f>
        <v>5.8</v>
      </c>
      <c r="F14" s="323">
        <v>0</v>
      </c>
      <c r="G14" s="323">
        <v>0</v>
      </c>
      <c r="H14" s="323">
        <v>0</v>
      </c>
      <c r="I14" s="323">
        <v>5.8</v>
      </c>
      <c r="J14" s="325" t="s">
        <v>12</v>
      </c>
      <c r="K14" s="323">
        <f t="shared" si="0"/>
        <v>5.8</v>
      </c>
      <c r="L14" s="326" t="s">
        <v>316</v>
      </c>
      <c r="M14" s="363"/>
      <c r="N14" s="328"/>
      <c r="P14" s="329" t="s">
        <v>299</v>
      </c>
      <c r="Q14" s="327" t="s">
        <v>846</v>
      </c>
    </row>
    <row r="15" spans="1:19" ht="20.149999999999999" customHeight="1" x14ac:dyDescent="0.35">
      <c r="A15" s="329">
        <v>8</v>
      </c>
      <c r="B15" s="321">
        <v>5</v>
      </c>
      <c r="C15" s="330" t="s">
        <v>16</v>
      </c>
      <c r="D15" s="330"/>
      <c r="E15" s="323">
        <f>'[1]road inventory 2018'!C17</f>
        <v>2.8</v>
      </c>
      <c r="F15" s="323">
        <v>2.8</v>
      </c>
      <c r="G15" s="323">
        <v>0</v>
      </c>
      <c r="H15" s="323">
        <v>0</v>
      </c>
      <c r="I15" s="323">
        <v>0</v>
      </c>
      <c r="J15" s="325" t="s">
        <v>12</v>
      </c>
      <c r="K15" s="323">
        <f t="shared" si="0"/>
        <v>2.8</v>
      </c>
      <c r="L15" s="326" t="s">
        <v>320</v>
      </c>
      <c r="M15" s="363"/>
      <c r="N15" s="328"/>
      <c r="O15" s="331"/>
      <c r="P15" s="320">
        <f>E32+E37+E54+E88+E118+E128+E132+E145</f>
        <v>476.35</v>
      </c>
      <c r="Q15" s="331">
        <f>P15+O232</f>
        <v>894.2</v>
      </c>
    </row>
    <row r="16" spans="1:19" ht="20.149999999999999" customHeight="1" x14ac:dyDescent="0.35">
      <c r="A16" s="329">
        <v>9</v>
      </c>
      <c r="B16" s="321">
        <v>6</v>
      </c>
      <c r="C16" s="330" t="s">
        <v>220</v>
      </c>
      <c r="D16" s="330"/>
      <c r="E16" s="323">
        <f>'[1]road inventory 2018'!C18</f>
        <v>3.9</v>
      </c>
      <c r="F16" s="323">
        <f>2.6+0.9</f>
        <v>3.5</v>
      </c>
      <c r="G16" s="323">
        <v>0</v>
      </c>
      <c r="H16" s="323">
        <v>0</v>
      </c>
      <c r="I16" s="323">
        <v>0.4</v>
      </c>
      <c r="J16" s="325" t="s">
        <v>10</v>
      </c>
      <c r="K16" s="323">
        <f t="shared" si="0"/>
        <v>3.9</v>
      </c>
      <c r="L16" s="326" t="s">
        <v>315</v>
      </c>
      <c r="M16" s="363"/>
      <c r="N16" s="328"/>
      <c r="Q16" s="331">
        <f>Q15+P204</f>
        <v>1244.0150000000001</v>
      </c>
    </row>
    <row r="17" spans="1:17" ht="20.149999999999999" customHeight="1" x14ac:dyDescent="0.35">
      <c r="A17" s="329">
        <v>10</v>
      </c>
      <c r="B17" s="321">
        <v>7</v>
      </c>
      <c r="C17" s="330" t="s">
        <v>205</v>
      </c>
      <c r="D17" s="330"/>
      <c r="E17" s="323">
        <f>'[1]road inventory 2018'!C19</f>
        <v>1.1000000000000001</v>
      </c>
      <c r="F17" s="323">
        <v>1.1000000000000001</v>
      </c>
      <c r="G17" s="323">
        <v>0</v>
      </c>
      <c r="H17" s="323">
        <v>0</v>
      </c>
      <c r="I17" s="323">
        <v>0</v>
      </c>
      <c r="J17" s="325" t="s">
        <v>12</v>
      </c>
      <c r="K17" s="323">
        <f t="shared" si="0"/>
        <v>1.1000000000000001</v>
      </c>
      <c r="L17" s="326" t="s">
        <v>321</v>
      </c>
      <c r="M17" s="363">
        <f>E9+E16+E19+E20+E28</f>
        <v>36</v>
      </c>
      <c r="N17" s="328"/>
    </row>
    <row r="18" spans="1:17" ht="20.149999999999999" customHeight="1" x14ac:dyDescent="0.35">
      <c r="A18" s="329">
        <v>11</v>
      </c>
      <c r="B18" s="321">
        <v>8</v>
      </c>
      <c r="C18" s="330" t="s">
        <v>324</v>
      </c>
      <c r="D18" s="330"/>
      <c r="E18" s="323">
        <f>'[1]road inventory 2018'!C20</f>
        <v>0.6</v>
      </c>
      <c r="F18" s="323">
        <v>0.6</v>
      </c>
      <c r="G18" s="323">
        <v>0</v>
      </c>
      <c r="H18" s="323">
        <v>0</v>
      </c>
      <c r="I18" s="323">
        <v>0</v>
      </c>
      <c r="J18" s="325" t="s">
        <v>12</v>
      </c>
      <c r="K18" s="323">
        <f t="shared" si="0"/>
        <v>0.6</v>
      </c>
      <c r="L18" s="326" t="s">
        <v>325</v>
      </c>
      <c r="M18" s="363"/>
      <c r="N18" s="328"/>
      <c r="O18" s="331"/>
      <c r="Q18" s="331"/>
    </row>
    <row r="19" spans="1:17" ht="20.149999999999999" customHeight="1" x14ac:dyDescent="0.35">
      <c r="A19" s="329">
        <v>12</v>
      </c>
      <c r="B19" s="321">
        <v>9</v>
      </c>
      <c r="C19" s="330" t="s">
        <v>19</v>
      </c>
      <c r="D19" s="330"/>
      <c r="E19" s="323">
        <f>'[1]road inventory 2018'!C21</f>
        <v>9</v>
      </c>
      <c r="F19" s="323">
        <v>8.6460000000000008</v>
      </c>
      <c r="G19" s="323">
        <v>0</v>
      </c>
      <c r="H19" s="323">
        <v>0</v>
      </c>
      <c r="I19" s="323">
        <v>0.35399999999999998</v>
      </c>
      <c r="J19" s="325" t="s">
        <v>10</v>
      </c>
      <c r="K19" s="323">
        <f t="shared" si="0"/>
        <v>9</v>
      </c>
      <c r="L19" s="326" t="s">
        <v>326</v>
      </c>
      <c r="M19" s="363"/>
      <c r="N19" s="328">
        <v>8.6460000000000008</v>
      </c>
      <c r="O19" s="331"/>
      <c r="Q19" s="331"/>
    </row>
    <row r="20" spans="1:17" ht="20.149999999999999" customHeight="1" x14ac:dyDescent="0.35">
      <c r="A20" s="329">
        <v>13</v>
      </c>
      <c r="B20" s="321">
        <v>10</v>
      </c>
      <c r="C20" s="330" t="s">
        <v>23</v>
      </c>
      <c r="D20" s="330"/>
      <c r="E20" s="323">
        <f>'[1]road inventory 2018'!C22</f>
        <v>13.6</v>
      </c>
      <c r="F20" s="323">
        <f>8.47+1.31+0.34</f>
        <v>10.120000000000001</v>
      </c>
      <c r="G20" s="323">
        <v>0</v>
      </c>
      <c r="H20" s="323">
        <v>0</v>
      </c>
      <c r="I20" s="323">
        <v>3.48</v>
      </c>
      <c r="J20" s="325" t="s">
        <v>10</v>
      </c>
      <c r="K20" s="323">
        <f t="shared" si="0"/>
        <v>13.600000000000001</v>
      </c>
      <c r="L20" s="326" t="s">
        <v>327</v>
      </c>
      <c r="M20" s="363"/>
      <c r="N20" s="328"/>
      <c r="O20" s="331"/>
      <c r="Q20" s="331"/>
    </row>
    <row r="21" spans="1:17" ht="20.149999999999999" customHeight="1" x14ac:dyDescent="0.35">
      <c r="A21" s="329">
        <v>14</v>
      </c>
      <c r="B21" s="321">
        <v>11</v>
      </c>
      <c r="C21" s="330" t="s">
        <v>223</v>
      </c>
      <c r="D21" s="330"/>
      <c r="E21" s="323">
        <f>'[1]road inventory 2018'!C23</f>
        <v>2.2000000000000002</v>
      </c>
      <c r="F21" s="323">
        <v>1.3</v>
      </c>
      <c r="G21" s="323">
        <v>0</v>
      </c>
      <c r="H21" s="323">
        <v>0</v>
      </c>
      <c r="I21" s="323">
        <v>0.9</v>
      </c>
      <c r="J21" s="325" t="s">
        <v>12</v>
      </c>
      <c r="K21" s="323">
        <f t="shared" si="0"/>
        <v>2.2000000000000002</v>
      </c>
      <c r="L21" s="326" t="s">
        <v>328</v>
      </c>
      <c r="M21" s="363"/>
      <c r="N21" s="328"/>
      <c r="O21" s="333"/>
      <c r="Q21" s="333"/>
    </row>
    <row r="22" spans="1:17" ht="20.149999999999999" customHeight="1" x14ac:dyDescent="0.35">
      <c r="A22" s="329">
        <v>15</v>
      </c>
      <c r="B22" s="321">
        <v>13</v>
      </c>
      <c r="C22" s="330" t="s">
        <v>218</v>
      </c>
      <c r="D22" s="330"/>
      <c r="E22" s="323">
        <f>'[1]road inventory 2018'!C24</f>
        <v>1.7</v>
      </c>
      <c r="F22" s="323">
        <v>0</v>
      </c>
      <c r="G22" s="323">
        <v>0</v>
      </c>
      <c r="H22" s="323">
        <v>0</v>
      </c>
      <c r="I22" s="323">
        <v>1.7</v>
      </c>
      <c r="J22" s="325" t="s">
        <v>33</v>
      </c>
      <c r="K22" s="323">
        <f t="shared" si="0"/>
        <v>1.7</v>
      </c>
      <c r="L22" s="326" t="s">
        <v>329</v>
      </c>
      <c r="M22" s="363"/>
      <c r="N22" s="328"/>
      <c r="O22" s="331"/>
      <c r="Q22" s="331"/>
    </row>
    <row r="23" spans="1:17" ht="20.149999999999999" customHeight="1" x14ac:dyDescent="0.35">
      <c r="A23" s="329">
        <v>16</v>
      </c>
      <c r="B23" s="321">
        <v>12</v>
      </c>
      <c r="C23" s="330" t="s">
        <v>222</v>
      </c>
      <c r="D23" s="330"/>
      <c r="E23" s="323">
        <f>'[1]road inventory 2018'!C25</f>
        <v>1.6</v>
      </c>
      <c r="F23" s="323">
        <v>0</v>
      </c>
      <c r="G23" s="323">
        <v>0</v>
      </c>
      <c r="H23" s="323">
        <v>0</v>
      </c>
      <c r="I23" s="323">
        <v>1.6</v>
      </c>
      <c r="J23" s="325" t="s">
        <v>33</v>
      </c>
      <c r="K23" s="323">
        <f t="shared" si="0"/>
        <v>1.6</v>
      </c>
      <c r="L23" s="326" t="s">
        <v>331</v>
      </c>
      <c r="M23" s="363"/>
      <c r="N23" s="328"/>
      <c r="O23" s="331"/>
      <c r="Q23" s="331"/>
    </row>
    <row r="24" spans="1:17" ht="20.149999999999999" customHeight="1" x14ac:dyDescent="0.35">
      <c r="A24" s="329">
        <v>17</v>
      </c>
      <c r="B24" s="321">
        <v>220</v>
      </c>
      <c r="C24" s="330" t="s">
        <v>221</v>
      </c>
      <c r="D24" s="330"/>
      <c r="E24" s="323">
        <f>'[1]road inventory 2018'!C26</f>
        <v>2.2999999999999998</v>
      </c>
      <c r="F24" s="323">
        <v>0</v>
      </c>
      <c r="G24" s="323">
        <v>0</v>
      </c>
      <c r="H24" s="323">
        <v>0</v>
      </c>
      <c r="I24" s="323">
        <v>2.2999999999999998</v>
      </c>
      <c r="J24" s="325" t="s">
        <v>33</v>
      </c>
      <c r="K24" s="323">
        <f t="shared" si="0"/>
        <v>2.2999999999999998</v>
      </c>
      <c r="L24" s="326" t="s">
        <v>333</v>
      </c>
      <c r="M24" s="363"/>
      <c r="N24" s="328"/>
      <c r="O24" s="331"/>
      <c r="Q24" s="331"/>
    </row>
    <row r="25" spans="1:17" ht="20.149999999999999" customHeight="1" x14ac:dyDescent="0.35">
      <c r="A25" s="329">
        <v>18</v>
      </c>
      <c r="B25" s="321">
        <v>14</v>
      </c>
      <c r="C25" s="330" t="s">
        <v>215</v>
      </c>
      <c r="D25" s="330"/>
      <c r="E25" s="323">
        <f>'[1]road inventory 2018'!C27</f>
        <v>4</v>
      </c>
      <c r="F25" s="323">
        <v>4</v>
      </c>
      <c r="G25" s="323">
        <v>0</v>
      </c>
      <c r="H25" s="323">
        <v>0</v>
      </c>
      <c r="I25" s="323">
        <v>0</v>
      </c>
      <c r="J25" s="325" t="s">
        <v>12</v>
      </c>
      <c r="K25" s="323">
        <f t="shared" si="0"/>
        <v>4</v>
      </c>
      <c r="L25" s="326" t="s">
        <v>327</v>
      </c>
      <c r="M25" s="363"/>
      <c r="N25" s="328"/>
      <c r="O25" s="331"/>
      <c r="Q25" s="331"/>
    </row>
    <row r="26" spans="1:17" ht="20.149999999999999" customHeight="1" x14ac:dyDescent="0.35">
      <c r="A26" s="329">
        <v>19</v>
      </c>
      <c r="B26" s="321">
        <v>15</v>
      </c>
      <c r="C26" s="330" t="s">
        <v>334</v>
      </c>
      <c r="D26" s="330"/>
      <c r="E26" s="323">
        <v>3.2</v>
      </c>
      <c r="F26" s="323">
        <v>0</v>
      </c>
      <c r="G26" s="323">
        <v>0</v>
      </c>
      <c r="H26" s="323">
        <v>0</v>
      </c>
      <c r="I26" s="323">
        <v>3.2</v>
      </c>
      <c r="J26" s="325" t="s">
        <v>33</v>
      </c>
      <c r="K26" s="323">
        <f t="shared" si="0"/>
        <v>3.2</v>
      </c>
      <c r="L26" s="326" t="s">
        <v>335</v>
      </c>
      <c r="M26" s="336" t="s">
        <v>336</v>
      </c>
      <c r="N26" s="328"/>
      <c r="O26" s="331"/>
      <c r="Q26" s="331"/>
    </row>
    <row r="27" spans="1:17" ht="20.149999999999999" customHeight="1" x14ac:dyDescent="0.35">
      <c r="A27" s="329">
        <v>20</v>
      </c>
      <c r="B27" s="321">
        <v>16</v>
      </c>
      <c r="C27" s="330" t="s">
        <v>25</v>
      </c>
      <c r="D27" s="330"/>
      <c r="E27" s="323">
        <f>'[1]road inventory 2018'!C29</f>
        <v>1</v>
      </c>
      <c r="F27" s="323">
        <v>0</v>
      </c>
      <c r="G27" s="323">
        <v>0</v>
      </c>
      <c r="H27" s="323">
        <v>0</v>
      </c>
      <c r="I27" s="323">
        <v>1</v>
      </c>
      <c r="J27" s="325" t="s">
        <v>12</v>
      </c>
      <c r="K27" s="323">
        <f t="shared" si="0"/>
        <v>1</v>
      </c>
      <c r="L27" s="326" t="s">
        <v>337</v>
      </c>
      <c r="M27" s="363"/>
      <c r="N27" s="328"/>
      <c r="O27" s="331"/>
      <c r="Q27" s="331"/>
    </row>
    <row r="28" spans="1:17" ht="20.149999999999999" customHeight="1" x14ac:dyDescent="0.35">
      <c r="A28" s="329">
        <v>21</v>
      </c>
      <c r="B28" s="321">
        <v>17</v>
      </c>
      <c r="C28" s="330" t="s">
        <v>216</v>
      </c>
      <c r="D28" s="330"/>
      <c r="E28" s="323">
        <f>'[1]road inventory 2018'!C30</f>
        <v>4</v>
      </c>
      <c r="F28" s="323">
        <v>1.4219999999999999</v>
      </c>
      <c r="G28" s="323">
        <v>0</v>
      </c>
      <c r="H28" s="323">
        <v>0</v>
      </c>
      <c r="I28" s="323">
        <v>2.5779999999999998</v>
      </c>
      <c r="J28" s="325" t="s">
        <v>10</v>
      </c>
      <c r="K28" s="323">
        <f t="shared" si="0"/>
        <v>4</v>
      </c>
      <c r="L28" s="326" t="s">
        <v>339</v>
      </c>
      <c r="M28" s="363"/>
      <c r="N28" s="328">
        <v>1.4219999999999999</v>
      </c>
      <c r="O28" s="331"/>
      <c r="Q28" s="331"/>
    </row>
    <row r="29" spans="1:17" ht="20.149999999999999" customHeight="1" x14ac:dyDescent="0.35">
      <c r="A29" s="329">
        <v>22</v>
      </c>
      <c r="B29" s="321">
        <v>18</v>
      </c>
      <c r="C29" s="330" t="s">
        <v>27</v>
      </c>
      <c r="D29" s="330"/>
      <c r="E29" s="323">
        <f>'[1]road inventory 2018'!C31</f>
        <v>10.5</v>
      </c>
      <c r="F29" s="323">
        <v>10.5</v>
      </c>
      <c r="G29" s="323">
        <v>0</v>
      </c>
      <c r="H29" s="323">
        <v>0</v>
      </c>
      <c r="I29" s="323">
        <v>0</v>
      </c>
      <c r="J29" s="325" t="s">
        <v>12</v>
      </c>
      <c r="K29" s="323">
        <f t="shared" si="0"/>
        <v>10.5</v>
      </c>
      <c r="L29" s="326" t="s">
        <v>335</v>
      </c>
      <c r="M29" s="363" t="s">
        <v>749</v>
      </c>
      <c r="N29" s="328">
        <v>2</v>
      </c>
      <c r="O29" s="331"/>
      <c r="Q29" s="331"/>
    </row>
    <row r="30" spans="1:17" ht="20.149999999999999" customHeight="1" x14ac:dyDescent="0.35">
      <c r="A30" s="329">
        <v>23</v>
      </c>
      <c r="B30" s="321">
        <v>221</v>
      </c>
      <c r="C30" s="330" t="s">
        <v>219</v>
      </c>
      <c r="D30" s="330"/>
      <c r="E30" s="323">
        <f>'[1]road inventory 2018'!C32</f>
        <v>5.2</v>
      </c>
      <c r="F30" s="323">
        <v>1.17</v>
      </c>
      <c r="G30" s="323">
        <v>0</v>
      </c>
      <c r="H30" s="323">
        <v>0</v>
      </c>
      <c r="I30" s="323">
        <v>4.03</v>
      </c>
      <c r="J30" s="325" t="s">
        <v>12</v>
      </c>
      <c r="K30" s="323">
        <f t="shared" si="0"/>
        <v>5.2</v>
      </c>
      <c r="L30" s="326" t="s">
        <v>340</v>
      </c>
      <c r="M30" s="363"/>
      <c r="N30" s="328"/>
      <c r="O30" s="331"/>
      <c r="Q30" s="331"/>
    </row>
    <row r="31" spans="1:17" ht="20.149999999999999" customHeight="1" x14ac:dyDescent="0.35">
      <c r="A31" s="329">
        <v>24</v>
      </c>
      <c r="B31" s="321">
        <v>20</v>
      </c>
      <c r="C31" s="330" t="s">
        <v>208</v>
      </c>
      <c r="D31" s="330"/>
      <c r="E31" s="323">
        <f>'[1]road inventory 2018'!C33</f>
        <v>7.6</v>
      </c>
      <c r="F31" s="323">
        <v>1.9</v>
      </c>
      <c r="G31" s="323">
        <v>0</v>
      </c>
      <c r="H31" s="323">
        <v>4.53</v>
      </c>
      <c r="I31" s="323">
        <v>1.17</v>
      </c>
      <c r="J31" s="325" t="s">
        <v>41</v>
      </c>
      <c r="K31" s="323">
        <f t="shared" si="0"/>
        <v>7.6</v>
      </c>
      <c r="L31" s="326"/>
      <c r="M31" s="363"/>
      <c r="N31" s="328"/>
      <c r="O31" s="331"/>
    </row>
    <row r="32" spans="1:17" s="317" customFormat="1" ht="20.149999999999999" customHeight="1" x14ac:dyDescent="0.35">
      <c r="B32" s="373"/>
      <c r="C32" s="374" t="s">
        <v>341</v>
      </c>
      <c r="D32" s="374"/>
      <c r="E32" s="375">
        <f>SUM(E8:E31)</f>
        <v>98.550000000000011</v>
      </c>
      <c r="F32" s="375">
        <f>SUM(F8:F31)</f>
        <v>56.047999999999995</v>
      </c>
      <c r="G32" s="375">
        <f>SUM(G8:G31)</f>
        <v>0</v>
      </c>
      <c r="H32" s="375">
        <f>SUM(H8:H31)</f>
        <v>4.53</v>
      </c>
      <c r="I32" s="375">
        <f>SUM(I8:I31)</f>
        <v>37.972000000000008</v>
      </c>
      <c r="J32" s="376"/>
      <c r="K32" s="375"/>
      <c r="L32" s="372"/>
      <c r="M32" s="453"/>
      <c r="N32" s="377"/>
      <c r="O32" s="320"/>
    </row>
    <row r="33" spans="1:15" ht="20.149999999999999" customHeight="1" x14ac:dyDescent="0.35">
      <c r="B33" s="321"/>
      <c r="C33" s="330"/>
      <c r="D33" s="330"/>
      <c r="E33" s="323"/>
      <c r="F33" s="323"/>
      <c r="G33" s="323"/>
      <c r="H33" s="323"/>
      <c r="I33" s="323"/>
      <c r="J33" s="325"/>
      <c r="K33" s="323"/>
      <c r="L33" s="326"/>
      <c r="M33" s="363"/>
      <c r="N33" s="328"/>
      <c r="O33" s="331"/>
    </row>
    <row r="34" spans="1:15" ht="20.149999999999999" customHeight="1" x14ac:dyDescent="0.35">
      <c r="B34" s="381" t="s">
        <v>455</v>
      </c>
      <c r="C34" s="379"/>
      <c r="D34" s="379"/>
      <c r="E34" s="379"/>
      <c r="F34" s="379"/>
      <c r="G34" s="379"/>
      <c r="H34" s="379"/>
      <c r="I34" s="379"/>
      <c r="J34" s="380"/>
      <c r="K34" s="323"/>
      <c r="L34" s="329"/>
      <c r="M34" s="363"/>
      <c r="N34" s="328"/>
    </row>
    <row r="35" spans="1:15" ht="20.149999999999999" customHeight="1" x14ac:dyDescent="0.35">
      <c r="A35" s="329">
        <v>1</v>
      </c>
      <c r="B35" s="321">
        <v>91</v>
      </c>
      <c r="C35" s="335" t="s">
        <v>62</v>
      </c>
      <c r="D35" s="335"/>
      <c r="E35" s="323">
        <f>'[1]road inventory 2018'!C169</f>
        <v>12.9</v>
      </c>
      <c r="F35" s="323">
        <f>0.04+0.29+0.12+1.23+1+3+1+1.23+0.77+1+0.77+0.86 +0.9</f>
        <v>12.209999999999999</v>
      </c>
      <c r="G35" s="323">
        <v>0</v>
      </c>
      <c r="H35" s="323">
        <v>0</v>
      </c>
      <c r="I35" s="323">
        <f>0.06+0.26+0.36+0.01</f>
        <v>0.69</v>
      </c>
      <c r="J35" s="325" t="s">
        <v>10</v>
      </c>
      <c r="K35" s="323">
        <f>SUM(F35:I35)</f>
        <v>12.899999999999999</v>
      </c>
      <c r="L35" s="326" t="s">
        <v>726</v>
      </c>
      <c r="M35" s="363"/>
      <c r="N35" s="328"/>
    </row>
    <row r="36" spans="1:15" ht="20.149999999999999" customHeight="1" x14ac:dyDescent="0.35">
      <c r="A36" s="329">
        <v>2</v>
      </c>
      <c r="B36" s="321">
        <v>92</v>
      </c>
      <c r="C36" s="335" t="s">
        <v>457</v>
      </c>
      <c r="D36" s="335"/>
      <c r="E36" s="323">
        <f>'[1]road inventory 2018'!C170</f>
        <v>5.6</v>
      </c>
      <c r="F36" s="323">
        <v>5.6</v>
      </c>
      <c r="G36" s="323">
        <v>0</v>
      </c>
      <c r="H36" s="323">
        <v>0</v>
      </c>
      <c r="I36" s="323">
        <v>0</v>
      </c>
      <c r="J36" s="325" t="s">
        <v>12</v>
      </c>
      <c r="K36" s="323">
        <f>SUM(F36:I36)</f>
        <v>5.6</v>
      </c>
      <c r="L36" s="325" t="s">
        <v>727</v>
      </c>
      <c r="M36" s="363"/>
      <c r="N36" s="328"/>
    </row>
    <row r="37" spans="1:15" s="317" customFormat="1" ht="20.149999999999999" customHeight="1" x14ac:dyDescent="0.35">
      <c r="B37" s="373"/>
      <c r="C37" s="374" t="s">
        <v>341</v>
      </c>
      <c r="D37" s="374"/>
      <c r="E37" s="375">
        <f>SUM(E35:E36)</f>
        <v>18.5</v>
      </c>
      <c r="F37" s="375">
        <f>SUM(F35:F36)</f>
        <v>17.809999999999999</v>
      </c>
      <c r="G37" s="375">
        <f>SUM(G35:G36)</f>
        <v>0</v>
      </c>
      <c r="H37" s="375">
        <f>SUM(H35:H36)</f>
        <v>0</v>
      </c>
      <c r="I37" s="375">
        <f>SUM(I35:I36)</f>
        <v>0.69</v>
      </c>
      <c r="J37" s="376"/>
      <c r="K37" s="375"/>
      <c r="L37" s="372"/>
      <c r="M37" s="453"/>
      <c r="N37" s="377"/>
      <c r="O37" s="320"/>
    </row>
    <row r="38" spans="1:15" ht="20.149999999999999" customHeight="1" x14ac:dyDescent="0.35">
      <c r="B38" s="321"/>
      <c r="C38" s="330"/>
      <c r="D38" s="330"/>
      <c r="E38" s="323"/>
      <c r="F38" s="323"/>
      <c r="G38" s="323"/>
      <c r="H38" s="323"/>
      <c r="I38" s="323"/>
      <c r="J38" s="325"/>
      <c r="K38" s="323"/>
      <c r="L38" s="326"/>
      <c r="M38" s="363"/>
      <c r="N38" s="328"/>
      <c r="O38" s="331"/>
    </row>
    <row r="39" spans="1:15" ht="20.149999999999999" customHeight="1" x14ac:dyDescent="0.35">
      <c r="B39" s="389" t="s">
        <v>441</v>
      </c>
      <c r="C39" s="388"/>
      <c r="D39" s="388"/>
      <c r="E39" s="385"/>
      <c r="F39" s="385"/>
      <c r="G39" s="385"/>
      <c r="H39" s="385"/>
      <c r="I39" s="385"/>
      <c r="J39" s="386"/>
      <c r="K39" s="385"/>
      <c r="L39" s="388"/>
      <c r="M39" s="454"/>
      <c r="N39" s="387"/>
    </row>
    <row r="40" spans="1:15" ht="20.149999999999999" customHeight="1" x14ac:dyDescent="0.35">
      <c r="A40" s="329">
        <v>1</v>
      </c>
      <c r="B40" s="321">
        <v>95</v>
      </c>
      <c r="C40" s="335" t="s">
        <v>276</v>
      </c>
      <c r="D40" s="335"/>
      <c r="E40" s="323">
        <f>'[1]road inventory 2018'!C149</f>
        <v>3</v>
      </c>
      <c r="F40" s="323">
        <v>1.02</v>
      </c>
      <c r="G40" s="323">
        <v>0</v>
      </c>
      <c r="H40" s="323">
        <v>0</v>
      </c>
      <c r="I40" s="323">
        <v>1.98</v>
      </c>
      <c r="J40" s="325" t="s">
        <v>33</v>
      </c>
      <c r="K40" s="323">
        <f t="shared" ref="K40:K53" si="1">SUM(F40:I40)</f>
        <v>3</v>
      </c>
      <c r="L40" s="326" t="s">
        <v>442</v>
      </c>
      <c r="M40" s="363"/>
      <c r="N40" s="328"/>
    </row>
    <row r="41" spans="1:15" ht="20.149999999999999" customHeight="1" x14ac:dyDescent="0.35">
      <c r="A41" s="329">
        <v>2</v>
      </c>
      <c r="B41" s="321">
        <v>77</v>
      </c>
      <c r="C41" s="335" t="s">
        <v>271</v>
      </c>
      <c r="D41" s="335"/>
      <c r="E41" s="323">
        <f>'[1]road inventory 2018'!C150</f>
        <v>0.7</v>
      </c>
      <c r="F41" s="323">
        <v>0</v>
      </c>
      <c r="G41" s="323">
        <v>0</v>
      </c>
      <c r="H41" s="323">
        <v>0</v>
      </c>
      <c r="I41" s="323">
        <v>0.7</v>
      </c>
      <c r="J41" s="325" t="s">
        <v>10</v>
      </c>
      <c r="K41" s="323">
        <f t="shared" si="1"/>
        <v>0.7</v>
      </c>
      <c r="L41" s="326" t="s">
        <v>443</v>
      </c>
      <c r="M41" s="363"/>
      <c r="N41" s="328"/>
    </row>
    <row r="42" spans="1:15" ht="20.149999999999999" customHeight="1" x14ac:dyDescent="0.35">
      <c r="A42" s="329">
        <v>3</v>
      </c>
      <c r="B42" s="321">
        <v>94</v>
      </c>
      <c r="C42" s="335" t="s">
        <v>278</v>
      </c>
      <c r="D42" s="335"/>
      <c r="E42" s="323">
        <f>'[1]road inventory 2018'!C151</f>
        <v>0.6</v>
      </c>
      <c r="F42" s="323">
        <v>0</v>
      </c>
      <c r="G42" s="323">
        <v>0</v>
      </c>
      <c r="H42" s="323">
        <v>0</v>
      </c>
      <c r="I42" s="323">
        <v>0.6</v>
      </c>
      <c r="J42" s="325" t="s">
        <v>10</v>
      </c>
      <c r="K42" s="323">
        <f t="shared" si="1"/>
        <v>0.6</v>
      </c>
      <c r="L42" s="326" t="s">
        <v>444</v>
      </c>
      <c r="M42" s="363"/>
      <c r="N42" s="328"/>
    </row>
    <row r="43" spans="1:15" ht="20.149999999999999" customHeight="1" x14ac:dyDescent="0.35">
      <c r="A43" s="329">
        <v>4</v>
      </c>
      <c r="B43" s="321">
        <v>78</v>
      </c>
      <c r="C43" s="335" t="s">
        <v>277</v>
      </c>
      <c r="D43" s="335"/>
      <c r="E43" s="323">
        <f>'[1]road inventory 2018'!C152</f>
        <v>3.8</v>
      </c>
      <c r="F43" s="323">
        <v>0.69</v>
      </c>
      <c r="G43" s="323">
        <v>0</v>
      </c>
      <c r="H43" s="323">
        <v>0</v>
      </c>
      <c r="I43" s="323">
        <v>3.11</v>
      </c>
      <c r="J43" s="325" t="s">
        <v>33</v>
      </c>
      <c r="K43" s="323">
        <f t="shared" si="1"/>
        <v>3.8</v>
      </c>
      <c r="L43" s="326" t="s">
        <v>445</v>
      </c>
      <c r="M43" s="363"/>
      <c r="N43" s="328"/>
    </row>
    <row r="44" spans="1:15" ht="20.149999999999999" customHeight="1" x14ac:dyDescent="0.35">
      <c r="A44" s="329">
        <v>5</v>
      </c>
      <c r="B44" s="321">
        <v>79</v>
      </c>
      <c r="C44" s="335" t="s">
        <v>272</v>
      </c>
      <c r="D44" s="335"/>
      <c r="E44" s="323">
        <f>'[1]road inventory 2018'!C153</f>
        <v>1.9000000000000001</v>
      </c>
      <c r="F44" s="323">
        <v>0.12</v>
      </c>
      <c r="G44" s="323">
        <v>0</v>
      </c>
      <c r="H44" s="323">
        <v>0</v>
      </c>
      <c r="I44" s="323">
        <v>1.78</v>
      </c>
      <c r="J44" s="325" t="s">
        <v>41</v>
      </c>
      <c r="K44" s="323">
        <f t="shared" si="1"/>
        <v>1.9</v>
      </c>
      <c r="L44" s="326" t="s">
        <v>446</v>
      </c>
      <c r="M44" s="363"/>
      <c r="N44" s="328"/>
    </row>
    <row r="45" spans="1:15" ht="20.149999999999999" customHeight="1" x14ac:dyDescent="0.35">
      <c r="A45" s="329">
        <v>6</v>
      </c>
      <c r="B45" s="321">
        <v>80</v>
      </c>
      <c r="C45" s="335" t="s">
        <v>282</v>
      </c>
      <c r="D45" s="335"/>
      <c r="E45" s="323">
        <f>'[1]road inventory 2018'!C154</f>
        <v>15.7</v>
      </c>
      <c r="F45" s="323">
        <f>0.25+0.26+0.19</f>
        <v>0.7</v>
      </c>
      <c r="G45" s="323">
        <v>0</v>
      </c>
      <c r="H45" s="323">
        <v>0</v>
      </c>
      <c r="I45" s="323">
        <v>15</v>
      </c>
      <c r="J45" s="325" t="s">
        <v>41</v>
      </c>
      <c r="K45" s="323">
        <f t="shared" si="1"/>
        <v>15.7</v>
      </c>
      <c r="L45" s="326" t="s">
        <v>447</v>
      </c>
      <c r="M45" s="363"/>
      <c r="N45" s="328"/>
    </row>
    <row r="46" spans="1:15" ht="20.149999999999999" customHeight="1" x14ac:dyDescent="0.35">
      <c r="A46" s="329">
        <v>7</v>
      </c>
      <c r="B46" s="321">
        <v>81</v>
      </c>
      <c r="C46" s="335" t="s">
        <v>279</v>
      </c>
      <c r="D46" s="335"/>
      <c r="E46" s="323">
        <f>'[1]road inventory 2018'!C155</f>
        <v>3.8</v>
      </c>
      <c r="F46" s="323">
        <f>0.2+0.27</f>
        <v>0.47000000000000003</v>
      </c>
      <c r="G46" s="323">
        <v>0</v>
      </c>
      <c r="H46" s="323">
        <v>0</v>
      </c>
      <c r="I46" s="323">
        <v>3.33</v>
      </c>
      <c r="J46" s="325" t="s">
        <v>12</v>
      </c>
      <c r="K46" s="323">
        <f t="shared" si="1"/>
        <v>3.8000000000000003</v>
      </c>
      <c r="L46" s="326" t="s">
        <v>448</v>
      </c>
      <c r="M46" s="363"/>
      <c r="N46" s="328"/>
    </row>
    <row r="47" spans="1:15" ht="20.149999999999999" customHeight="1" x14ac:dyDescent="0.35">
      <c r="A47" s="329">
        <v>8</v>
      </c>
      <c r="B47" s="321">
        <v>82</v>
      </c>
      <c r="C47" s="335" t="s">
        <v>283</v>
      </c>
      <c r="D47" s="335"/>
      <c r="E47" s="323">
        <f>'[1]road inventory 2018'!C156</f>
        <v>5.4</v>
      </c>
      <c r="F47" s="323">
        <f>0.42+0.8</f>
        <v>1.22</v>
      </c>
      <c r="G47" s="323">
        <v>0</v>
      </c>
      <c r="H47" s="323">
        <v>0</v>
      </c>
      <c r="I47" s="323">
        <v>4.18</v>
      </c>
      <c r="J47" s="325" t="s">
        <v>33</v>
      </c>
      <c r="K47" s="323">
        <f t="shared" si="1"/>
        <v>5.3999999999999995</v>
      </c>
      <c r="L47" s="326" t="s">
        <v>449</v>
      </c>
      <c r="M47" s="363"/>
      <c r="N47" s="328"/>
    </row>
    <row r="48" spans="1:15" ht="20.149999999999999" customHeight="1" x14ac:dyDescent="0.35">
      <c r="A48" s="329">
        <v>9</v>
      </c>
      <c r="B48" s="321">
        <v>83</v>
      </c>
      <c r="C48" s="335" t="s">
        <v>58</v>
      </c>
      <c r="D48" s="335"/>
      <c r="E48" s="323">
        <f>'[1]road inventory 2018'!C157</f>
        <v>4.2</v>
      </c>
      <c r="F48" s="323">
        <f>0.12+0.22</f>
        <v>0.33999999999999997</v>
      </c>
      <c r="G48" s="323">
        <v>0</v>
      </c>
      <c r="H48" s="323">
        <v>0</v>
      </c>
      <c r="I48" s="323">
        <v>3.86</v>
      </c>
      <c r="J48" s="325" t="s">
        <v>12</v>
      </c>
      <c r="K48" s="323">
        <f t="shared" si="1"/>
        <v>4.2</v>
      </c>
      <c r="L48" s="326" t="s">
        <v>447</v>
      </c>
      <c r="M48" s="363"/>
      <c r="N48" s="328"/>
    </row>
    <row r="49" spans="1:15" ht="20.149999999999999" customHeight="1" x14ac:dyDescent="0.35">
      <c r="A49" s="329">
        <v>10</v>
      </c>
      <c r="B49" s="321">
        <v>84</v>
      </c>
      <c r="C49" s="335" t="s">
        <v>274</v>
      </c>
      <c r="D49" s="335"/>
      <c r="E49" s="323">
        <f>'[1]road inventory 2018'!C158</f>
        <v>1.2</v>
      </c>
      <c r="F49" s="323">
        <v>0</v>
      </c>
      <c r="G49" s="323">
        <v>0</v>
      </c>
      <c r="H49" s="323">
        <v>0</v>
      </c>
      <c r="I49" s="323">
        <v>1.2</v>
      </c>
      <c r="J49" s="325" t="s">
        <v>41</v>
      </c>
      <c r="K49" s="323">
        <f t="shared" si="1"/>
        <v>1.2</v>
      </c>
      <c r="L49" s="326" t="s">
        <v>450</v>
      </c>
      <c r="M49" s="363"/>
      <c r="N49" s="328"/>
    </row>
    <row r="50" spans="1:15" ht="20.149999999999999" customHeight="1" x14ac:dyDescent="0.35">
      <c r="A50" s="329">
        <v>11</v>
      </c>
      <c r="B50" s="321">
        <v>85</v>
      </c>
      <c r="C50" s="335" t="s">
        <v>281</v>
      </c>
      <c r="D50" s="335"/>
      <c r="E50" s="323">
        <f>'[1]road inventory 2018'!C159</f>
        <v>2.8</v>
      </c>
      <c r="F50" s="323">
        <v>0</v>
      </c>
      <c r="G50" s="323">
        <v>0</v>
      </c>
      <c r="H50" s="323">
        <v>0</v>
      </c>
      <c r="I50" s="323">
        <v>2.8</v>
      </c>
      <c r="J50" s="325" t="s">
        <v>12</v>
      </c>
      <c r="K50" s="323">
        <f t="shared" si="1"/>
        <v>2.8</v>
      </c>
      <c r="L50" s="326" t="s">
        <v>451</v>
      </c>
      <c r="M50" s="363"/>
      <c r="N50" s="328"/>
    </row>
    <row r="51" spans="1:15" ht="20.149999999999999" customHeight="1" x14ac:dyDescent="0.35">
      <c r="A51" s="329">
        <v>12</v>
      </c>
      <c r="B51" s="321">
        <v>86</v>
      </c>
      <c r="C51" s="335" t="s">
        <v>275</v>
      </c>
      <c r="D51" s="335"/>
      <c r="E51" s="323">
        <f>'[1]road inventory 2018'!C160</f>
        <v>2.5</v>
      </c>
      <c r="F51" s="323">
        <v>0</v>
      </c>
      <c r="G51" s="323">
        <v>0</v>
      </c>
      <c r="H51" s="323">
        <v>0</v>
      </c>
      <c r="I51" s="323">
        <f>2.5</f>
        <v>2.5</v>
      </c>
      <c r="J51" s="325" t="s">
        <v>41</v>
      </c>
      <c r="K51" s="323">
        <f t="shared" si="1"/>
        <v>2.5</v>
      </c>
      <c r="L51" s="326" t="s">
        <v>452</v>
      </c>
      <c r="M51" s="363"/>
      <c r="N51" s="328"/>
    </row>
    <row r="52" spans="1:15" ht="20.149999999999999" customHeight="1" x14ac:dyDescent="0.35">
      <c r="A52" s="329">
        <v>13</v>
      </c>
      <c r="B52" s="321">
        <v>87</v>
      </c>
      <c r="C52" s="335" t="s">
        <v>273</v>
      </c>
      <c r="D52" s="335"/>
      <c r="E52" s="323">
        <f>'[1]road inventory 2018'!C161</f>
        <v>0.5</v>
      </c>
      <c r="F52" s="323">
        <v>0</v>
      </c>
      <c r="G52" s="323">
        <v>0</v>
      </c>
      <c r="H52" s="323">
        <v>0</v>
      </c>
      <c r="I52" s="323">
        <v>0.5</v>
      </c>
      <c r="J52" s="325" t="s">
        <v>12</v>
      </c>
      <c r="K52" s="323">
        <f t="shared" si="1"/>
        <v>0.5</v>
      </c>
      <c r="L52" s="326" t="s">
        <v>450</v>
      </c>
      <c r="M52" s="363"/>
      <c r="N52" s="328"/>
    </row>
    <row r="53" spans="1:15" ht="20.149999999999999" customHeight="1" x14ac:dyDescent="0.35">
      <c r="A53" s="329">
        <v>14</v>
      </c>
      <c r="B53" s="321">
        <v>88</v>
      </c>
      <c r="C53" s="335" t="s">
        <v>280</v>
      </c>
      <c r="D53" s="335"/>
      <c r="E53" s="323">
        <f>'[1]road inventory 2018'!C162</f>
        <v>3.2</v>
      </c>
      <c r="F53" s="323">
        <v>0</v>
      </c>
      <c r="G53" s="323">
        <v>0</v>
      </c>
      <c r="H53" s="323">
        <v>0</v>
      </c>
      <c r="I53" s="323">
        <v>3.2</v>
      </c>
      <c r="J53" s="325" t="s">
        <v>41</v>
      </c>
      <c r="K53" s="323">
        <f t="shared" si="1"/>
        <v>3.2</v>
      </c>
      <c r="L53" s="326" t="s">
        <v>454</v>
      </c>
      <c r="M53" s="363"/>
      <c r="N53" s="328"/>
    </row>
    <row r="54" spans="1:15" s="317" customFormat="1" ht="20.149999999999999" customHeight="1" x14ac:dyDescent="0.35">
      <c r="B54" s="373"/>
      <c r="C54" s="374" t="s">
        <v>341</v>
      </c>
      <c r="D54" s="374"/>
      <c r="E54" s="375">
        <f>SUM(E40:E53)</f>
        <v>49.300000000000004</v>
      </c>
      <c r="F54" s="375">
        <f>SUM(F40:F53)</f>
        <v>4.5600000000000005</v>
      </c>
      <c r="G54" s="375">
        <f>SUM(G40:G53)</f>
        <v>0</v>
      </c>
      <c r="H54" s="375">
        <f>SUM(H40:H53)</f>
        <v>0</v>
      </c>
      <c r="I54" s="375">
        <f>SUM(I40:I53)</f>
        <v>44.74</v>
      </c>
      <c r="J54" s="376"/>
      <c r="K54" s="375"/>
      <c r="L54" s="372"/>
      <c r="M54" s="453"/>
      <c r="N54" s="377"/>
      <c r="O54" s="320"/>
    </row>
    <row r="55" spans="1:15" ht="20.149999999999999" customHeight="1" x14ac:dyDescent="0.35">
      <c r="B55" s="389" t="s">
        <v>411</v>
      </c>
      <c r="C55" s="388"/>
      <c r="D55" s="388"/>
      <c r="E55" s="385"/>
      <c r="F55" s="385"/>
      <c r="G55" s="385"/>
      <c r="H55" s="385"/>
      <c r="I55" s="385"/>
      <c r="J55" s="386"/>
      <c r="K55" s="385"/>
      <c r="L55" s="388"/>
      <c r="M55" s="454"/>
      <c r="N55" s="387"/>
    </row>
    <row r="56" spans="1:15" ht="20.149999999999999" customHeight="1" x14ac:dyDescent="0.35">
      <c r="A56" s="329">
        <v>1</v>
      </c>
      <c r="B56" s="321">
        <v>48</v>
      </c>
      <c r="C56" s="335" t="s">
        <v>254</v>
      </c>
      <c r="D56" s="335"/>
      <c r="E56" s="323">
        <f>'[1]road inventory 2018'!C109</f>
        <v>2.1</v>
      </c>
      <c r="F56" s="323">
        <v>0</v>
      </c>
      <c r="G56" s="323">
        <v>0</v>
      </c>
      <c r="H56" s="323">
        <v>0</v>
      </c>
      <c r="I56" s="323">
        <v>2.1</v>
      </c>
      <c r="J56" s="325" t="s">
        <v>33</v>
      </c>
      <c r="K56" s="323">
        <f t="shared" ref="K56:K87" si="2">SUM(F56:I56)</f>
        <v>2.1</v>
      </c>
      <c r="L56" s="326" t="s">
        <v>412</v>
      </c>
      <c r="M56" s="363"/>
      <c r="N56" s="328"/>
    </row>
    <row r="57" spans="1:15" ht="20.149999999999999" customHeight="1" x14ac:dyDescent="0.35">
      <c r="A57" s="329">
        <v>2</v>
      </c>
      <c r="B57" s="321">
        <v>50</v>
      </c>
      <c r="C57" s="335" t="s">
        <v>255</v>
      </c>
      <c r="D57" s="335"/>
      <c r="E57" s="323">
        <f>'[1]road inventory 2018'!C110</f>
        <v>7.6</v>
      </c>
      <c r="F57" s="323">
        <v>2</v>
      </c>
      <c r="G57" s="323">
        <v>0</v>
      </c>
      <c r="H57" s="323">
        <v>0</v>
      </c>
      <c r="I57" s="323">
        <v>5.6</v>
      </c>
      <c r="J57" s="325" t="s">
        <v>12</v>
      </c>
      <c r="K57" s="323">
        <f t="shared" si="2"/>
        <v>7.6</v>
      </c>
      <c r="L57" s="326" t="s">
        <v>413</v>
      </c>
      <c r="M57" s="363"/>
      <c r="N57" s="328"/>
    </row>
    <row r="58" spans="1:15" ht="20.149999999999999" customHeight="1" x14ac:dyDescent="0.35">
      <c r="A58" s="329">
        <v>3</v>
      </c>
      <c r="B58" s="321">
        <v>51</v>
      </c>
      <c r="C58" s="335" t="s">
        <v>248</v>
      </c>
      <c r="D58" s="335"/>
      <c r="E58" s="323">
        <f>'[1]road inventory 2018'!C111</f>
        <v>3</v>
      </c>
      <c r="F58" s="323">
        <v>0</v>
      </c>
      <c r="G58" s="323">
        <v>0</v>
      </c>
      <c r="H58" s="323">
        <v>0</v>
      </c>
      <c r="I58" s="323">
        <v>3</v>
      </c>
      <c r="J58" s="325" t="s">
        <v>33</v>
      </c>
      <c r="K58" s="323">
        <f t="shared" si="2"/>
        <v>3</v>
      </c>
      <c r="L58" s="326" t="s">
        <v>414</v>
      </c>
      <c r="M58" s="363"/>
      <c r="N58" s="328"/>
    </row>
    <row r="59" spans="1:15" ht="20.149999999999999" customHeight="1" x14ac:dyDescent="0.35">
      <c r="A59" s="329">
        <v>4</v>
      </c>
      <c r="B59" s="321">
        <v>52</v>
      </c>
      <c r="C59" s="335" t="s">
        <v>251</v>
      </c>
      <c r="D59" s="335"/>
      <c r="E59" s="323">
        <f>'[1]road inventory 2018'!C112</f>
        <v>6.5</v>
      </c>
      <c r="F59" s="323">
        <v>0</v>
      </c>
      <c r="G59" s="323">
        <v>0</v>
      </c>
      <c r="H59" s="323">
        <v>0</v>
      </c>
      <c r="I59" s="323">
        <v>6.5</v>
      </c>
      <c r="J59" s="325" t="s">
        <v>12</v>
      </c>
      <c r="K59" s="323">
        <f t="shared" si="2"/>
        <v>6.5</v>
      </c>
      <c r="L59" s="326" t="s">
        <v>415</v>
      </c>
      <c r="M59" s="363"/>
      <c r="N59" s="328"/>
    </row>
    <row r="60" spans="1:15" ht="20.149999999999999" customHeight="1" x14ac:dyDescent="0.35">
      <c r="A60" s="329">
        <v>5</v>
      </c>
      <c r="B60" s="321">
        <v>53</v>
      </c>
      <c r="C60" s="335" t="s">
        <v>249</v>
      </c>
      <c r="D60" s="335"/>
      <c r="E60" s="323">
        <f>'[1]road inventory 2018'!C113</f>
        <v>6.4</v>
      </c>
      <c r="F60" s="323">
        <v>5.64</v>
      </c>
      <c r="G60" s="323">
        <v>0</v>
      </c>
      <c r="H60" s="323">
        <v>0</v>
      </c>
      <c r="I60" s="323">
        <v>0.76</v>
      </c>
      <c r="J60" s="325" t="s">
        <v>12</v>
      </c>
      <c r="K60" s="323">
        <f t="shared" si="2"/>
        <v>6.3999999999999995</v>
      </c>
      <c r="L60" s="326" t="s">
        <v>416</v>
      </c>
      <c r="M60" s="363"/>
      <c r="N60" s="328">
        <v>5.64</v>
      </c>
    </row>
    <row r="61" spans="1:15" ht="20.149999999999999" customHeight="1" x14ac:dyDescent="0.35">
      <c r="A61" s="329">
        <v>6</v>
      </c>
      <c r="B61" s="321">
        <v>54</v>
      </c>
      <c r="C61" s="335" t="s">
        <v>252</v>
      </c>
      <c r="D61" s="335"/>
      <c r="E61" s="323">
        <f>'[1]road inventory 2018'!C114</f>
        <v>1.6</v>
      </c>
      <c r="F61" s="323">
        <v>1.18</v>
      </c>
      <c r="G61" s="323">
        <v>0</v>
      </c>
      <c r="H61" s="323">
        <v>0</v>
      </c>
      <c r="I61" s="323">
        <v>0.42</v>
      </c>
      <c r="J61" s="325" t="s">
        <v>10</v>
      </c>
      <c r="K61" s="323">
        <f t="shared" si="2"/>
        <v>1.5999999999999999</v>
      </c>
      <c r="L61" s="326" t="s">
        <v>417</v>
      </c>
      <c r="M61" s="363"/>
      <c r="N61" s="328"/>
    </row>
    <row r="62" spans="1:15" ht="20.149999999999999" customHeight="1" x14ac:dyDescent="0.35">
      <c r="A62" s="329">
        <v>7</v>
      </c>
      <c r="B62" s="321">
        <v>103</v>
      </c>
      <c r="C62" s="335" t="s">
        <v>245</v>
      </c>
      <c r="D62" s="335"/>
      <c r="E62" s="323">
        <f>'[1]road inventory 2018'!C115</f>
        <v>1.2</v>
      </c>
      <c r="F62" s="323">
        <v>0.19</v>
      </c>
      <c r="G62" s="323">
        <v>0</v>
      </c>
      <c r="H62" s="323">
        <v>0</v>
      </c>
      <c r="I62" s="323">
        <v>1.01</v>
      </c>
      <c r="J62" s="325" t="s">
        <v>12</v>
      </c>
      <c r="K62" s="323">
        <f t="shared" si="2"/>
        <v>1.2</v>
      </c>
      <c r="L62" s="326" t="s">
        <v>418</v>
      </c>
      <c r="M62" s="363"/>
      <c r="N62" s="328"/>
    </row>
    <row r="63" spans="1:15" ht="20.149999999999999" customHeight="1" x14ac:dyDescent="0.35">
      <c r="A63" s="329">
        <v>8</v>
      </c>
      <c r="B63" s="321">
        <v>55</v>
      </c>
      <c r="C63" s="335" t="s">
        <v>244</v>
      </c>
      <c r="D63" s="335"/>
      <c r="E63" s="323">
        <f>'[1]road inventory 2018'!C116</f>
        <v>4.0999999999999996</v>
      </c>
      <c r="F63" s="323">
        <v>0</v>
      </c>
      <c r="G63" s="323">
        <v>0</v>
      </c>
      <c r="H63" s="323">
        <v>0</v>
      </c>
      <c r="I63" s="323">
        <v>4.0999999999999996</v>
      </c>
      <c r="J63" s="325" t="s">
        <v>33</v>
      </c>
      <c r="K63" s="323">
        <f t="shared" si="2"/>
        <v>4.0999999999999996</v>
      </c>
      <c r="L63" s="326" t="s">
        <v>419</v>
      </c>
      <c r="M63" s="363"/>
      <c r="N63" s="328"/>
    </row>
    <row r="64" spans="1:15" ht="20.149999999999999" customHeight="1" x14ac:dyDescent="0.35">
      <c r="A64" s="329">
        <v>9</v>
      </c>
      <c r="B64" s="321">
        <v>57</v>
      </c>
      <c r="C64" s="335" t="s">
        <v>268</v>
      </c>
      <c r="D64" s="335"/>
      <c r="E64" s="323">
        <f>'[1]road inventory 2018'!C117</f>
        <v>1.3</v>
      </c>
      <c r="F64" s="323">
        <v>0.3</v>
      </c>
      <c r="G64" s="323">
        <v>0</v>
      </c>
      <c r="H64" s="323">
        <v>0</v>
      </c>
      <c r="I64" s="323">
        <v>1</v>
      </c>
      <c r="J64" s="325" t="s">
        <v>12</v>
      </c>
      <c r="K64" s="323">
        <f t="shared" si="2"/>
        <v>1.3</v>
      </c>
      <c r="L64" s="326" t="s">
        <v>420</v>
      </c>
      <c r="M64" s="363"/>
      <c r="N64" s="328"/>
    </row>
    <row r="65" spans="1:14" ht="20.149999999999999" customHeight="1" x14ac:dyDescent="0.35">
      <c r="A65" s="329">
        <v>10</v>
      </c>
      <c r="B65" s="321">
        <v>58</v>
      </c>
      <c r="C65" s="335" t="s">
        <v>421</v>
      </c>
      <c r="D65" s="335"/>
      <c r="E65" s="323">
        <f>'[1]road inventory 2018'!C118</f>
        <v>0.3</v>
      </c>
      <c r="F65" s="323">
        <v>0</v>
      </c>
      <c r="G65" s="323">
        <v>0</v>
      </c>
      <c r="H65" s="323">
        <v>0</v>
      </c>
      <c r="I65" s="323">
        <v>0.3</v>
      </c>
      <c r="J65" s="325" t="s">
        <v>12</v>
      </c>
      <c r="K65" s="323">
        <f t="shared" si="2"/>
        <v>0.3</v>
      </c>
      <c r="L65" s="326" t="s">
        <v>422</v>
      </c>
      <c r="M65" s="363"/>
      <c r="N65" s="328"/>
    </row>
    <row r="66" spans="1:14" ht="20.149999999999999" customHeight="1" x14ac:dyDescent="0.35">
      <c r="A66" s="329">
        <v>11</v>
      </c>
      <c r="B66" s="321">
        <v>59</v>
      </c>
      <c r="C66" s="335" t="s">
        <v>262</v>
      </c>
      <c r="D66" s="335"/>
      <c r="E66" s="323">
        <f>'[1]road inventory 2018'!C119</f>
        <v>0.8</v>
      </c>
      <c r="F66" s="323">
        <v>0</v>
      </c>
      <c r="G66" s="323">
        <v>0</v>
      </c>
      <c r="H66" s="323">
        <v>0</v>
      </c>
      <c r="I66" s="323">
        <v>0.8</v>
      </c>
      <c r="J66" s="325" t="s">
        <v>12</v>
      </c>
      <c r="K66" s="323">
        <f t="shared" si="2"/>
        <v>0.8</v>
      </c>
      <c r="L66" s="326" t="s">
        <v>422</v>
      </c>
      <c r="M66" s="363"/>
      <c r="N66" s="328"/>
    </row>
    <row r="67" spans="1:14" ht="20.149999999999999" customHeight="1" x14ac:dyDescent="0.35">
      <c r="A67" s="329">
        <v>12</v>
      </c>
      <c r="B67" s="321">
        <v>97</v>
      </c>
      <c r="C67" s="335" t="s">
        <v>51</v>
      </c>
      <c r="D67" s="335"/>
      <c r="E67" s="323">
        <f>'[1]road inventory 2018'!C120</f>
        <v>8.3000000000000007</v>
      </c>
      <c r="F67" s="323">
        <v>8.3000000000000007</v>
      </c>
      <c r="G67" s="323">
        <v>0</v>
      </c>
      <c r="H67" s="323">
        <v>0</v>
      </c>
      <c r="I67" s="323">
        <v>0</v>
      </c>
      <c r="J67" s="325" t="s">
        <v>12</v>
      </c>
      <c r="K67" s="323">
        <f t="shared" si="2"/>
        <v>8.3000000000000007</v>
      </c>
      <c r="L67" s="326" t="s">
        <v>423</v>
      </c>
      <c r="M67" s="363"/>
      <c r="N67" s="328"/>
    </row>
    <row r="68" spans="1:14" ht="20.149999999999999" customHeight="1" x14ac:dyDescent="0.35">
      <c r="A68" s="329">
        <v>13</v>
      </c>
      <c r="B68" s="321">
        <v>56</v>
      </c>
      <c r="C68" s="335" t="s">
        <v>250</v>
      </c>
      <c r="D68" s="335"/>
      <c r="E68" s="323">
        <f>'[1]road inventory 2018'!C121</f>
        <v>5.7</v>
      </c>
      <c r="F68" s="323">
        <f>1.73-0.01</f>
        <v>1.72</v>
      </c>
      <c r="G68" s="323">
        <v>0</v>
      </c>
      <c r="H68" s="323">
        <v>0</v>
      </c>
      <c r="I68" s="323">
        <v>3.98</v>
      </c>
      <c r="J68" s="325" t="s">
        <v>12</v>
      </c>
      <c r="K68" s="323">
        <f t="shared" si="2"/>
        <v>5.7</v>
      </c>
      <c r="L68" s="326" t="s">
        <v>414</v>
      </c>
      <c r="M68" s="363"/>
      <c r="N68" s="328"/>
    </row>
    <row r="69" spans="1:14" ht="20.149999999999999" customHeight="1" x14ac:dyDescent="0.35">
      <c r="A69" s="329">
        <v>14</v>
      </c>
      <c r="B69" s="321">
        <v>60</v>
      </c>
      <c r="C69" s="335" t="s">
        <v>253</v>
      </c>
      <c r="D69" s="335"/>
      <c r="E69" s="323">
        <f>'[1]road inventory 2018'!C122</f>
        <v>9.1999999999999993</v>
      </c>
      <c r="F69" s="323">
        <v>7.1</v>
      </c>
      <c r="G69" s="323">
        <v>0</v>
      </c>
      <c r="H69" s="323">
        <v>0</v>
      </c>
      <c r="I69" s="323">
        <v>2.1</v>
      </c>
      <c r="J69" s="325" t="s">
        <v>10</v>
      </c>
      <c r="K69" s="323">
        <f t="shared" si="2"/>
        <v>9.1999999999999993</v>
      </c>
      <c r="L69" s="326" t="s">
        <v>424</v>
      </c>
      <c r="M69" s="363"/>
      <c r="N69" s="328"/>
    </row>
    <row r="70" spans="1:14" ht="20.149999999999999" customHeight="1" x14ac:dyDescent="0.35">
      <c r="A70" s="329">
        <v>15</v>
      </c>
      <c r="B70" s="321">
        <v>61</v>
      </c>
      <c r="C70" s="335" t="s">
        <v>260</v>
      </c>
      <c r="D70" s="335"/>
      <c r="E70" s="323">
        <f>'[1]road inventory 2018'!C123</f>
        <v>4.5</v>
      </c>
      <c r="F70" s="323">
        <v>1.63</v>
      </c>
      <c r="G70" s="323">
        <v>0</v>
      </c>
      <c r="H70" s="323">
        <v>0</v>
      </c>
      <c r="I70" s="323">
        <f>2.88-0.01</f>
        <v>2.87</v>
      </c>
      <c r="J70" s="325" t="s">
        <v>12</v>
      </c>
      <c r="K70" s="323">
        <f t="shared" si="2"/>
        <v>4.5</v>
      </c>
      <c r="L70" s="326" t="s">
        <v>425</v>
      </c>
      <c r="M70" s="363"/>
      <c r="N70" s="328"/>
    </row>
    <row r="71" spans="1:14" ht="20.149999999999999" customHeight="1" x14ac:dyDescent="0.35">
      <c r="A71" s="329">
        <v>16</v>
      </c>
      <c r="B71" s="321">
        <v>62</v>
      </c>
      <c r="C71" s="335" t="s">
        <v>269</v>
      </c>
      <c r="D71" s="335"/>
      <c r="E71" s="323">
        <f>'[1]road inventory 2018'!C124</f>
        <v>2</v>
      </c>
      <c r="F71" s="323">
        <v>0</v>
      </c>
      <c r="G71" s="323">
        <v>0</v>
      </c>
      <c r="H71" s="323">
        <v>0</v>
      </c>
      <c r="I71" s="323">
        <v>2</v>
      </c>
      <c r="J71" s="325" t="s">
        <v>12</v>
      </c>
      <c r="K71" s="323">
        <f t="shared" si="2"/>
        <v>2</v>
      </c>
      <c r="L71" s="326" t="s">
        <v>426</v>
      </c>
      <c r="M71" s="363"/>
      <c r="N71" s="328"/>
    </row>
    <row r="72" spans="1:14" ht="20.149999999999999" customHeight="1" x14ac:dyDescent="0.35">
      <c r="A72" s="329">
        <v>17</v>
      </c>
      <c r="B72" s="321">
        <v>63</v>
      </c>
      <c r="C72" s="335" t="s">
        <v>265</v>
      </c>
      <c r="D72" s="335"/>
      <c r="E72" s="323">
        <f>'[1]road inventory 2018'!C125</f>
        <v>3</v>
      </c>
      <c r="F72" s="323">
        <v>1.1100000000000001</v>
      </c>
      <c r="G72" s="323">
        <v>0</v>
      </c>
      <c r="H72" s="323">
        <v>0</v>
      </c>
      <c r="I72" s="323">
        <v>1.89</v>
      </c>
      <c r="J72" s="325" t="s">
        <v>12</v>
      </c>
      <c r="K72" s="323">
        <f t="shared" si="2"/>
        <v>3</v>
      </c>
      <c r="L72" s="326" t="s">
        <v>427</v>
      </c>
      <c r="M72" s="363"/>
      <c r="N72" s="328"/>
    </row>
    <row r="73" spans="1:14" ht="20.149999999999999" customHeight="1" x14ac:dyDescent="0.35">
      <c r="A73" s="329">
        <v>18</v>
      </c>
      <c r="B73" s="321">
        <v>98</v>
      </c>
      <c r="C73" s="335" t="s">
        <v>247</v>
      </c>
      <c r="D73" s="335"/>
      <c r="E73" s="323">
        <f>'[1]road inventory 2018'!C126</f>
        <v>5.1000000000000005</v>
      </c>
      <c r="F73" s="323">
        <v>4.9800000000000004</v>
      </c>
      <c r="G73" s="323">
        <v>0</v>
      </c>
      <c r="H73" s="323">
        <v>0</v>
      </c>
      <c r="I73" s="323">
        <v>0.12</v>
      </c>
      <c r="J73" s="325" t="s">
        <v>10</v>
      </c>
      <c r="K73" s="323">
        <f t="shared" si="2"/>
        <v>5.1000000000000005</v>
      </c>
      <c r="L73" s="326" t="s">
        <v>428</v>
      </c>
      <c r="M73" s="363"/>
      <c r="N73" s="328">
        <v>4.9800000000000004</v>
      </c>
    </row>
    <row r="74" spans="1:14" ht="20.149999999999999" customHeight="1" x14ac:dyDescent="0.35">
      <c r="A74" s="329">
        <v>19</v>
      </c>
      <c r="B74" s="321">
        <v>64</v>
      </c>
      <c r="C74" s="335" t="s">
        <v>246</v>
      </c>
      <c r="D74" s="335"/>
      <c r="E74" s="323">
        <f>'[1]road inventory 2018'!C127</f>
        <v>3.6</v>
      </c>
      <c r="F74" s="323">
        <v>3.6</v>
      </c>
      <c r="G74" s="323">
        <v>0</v>
      </c>
      <c r="H74" s="323">
        <v>0</v>
      </c>
      <c r="I74" s="323">
        <v>0</v>
      </c>
      <c r="J74" s="325" t="s">
        <v>10</v>
      </c>
      <c r="K74" s="323">
        <f t="shared" si="2"/>
        <v>3.6</v>
      </c>
      <c r="L74" s="326" t="s">
        <v>429</v>
      </c>
      <c r="M74" s="363"/>
      <c r="N74" s="328"/>
    </row>
    <row r="75" spans="1:14" ht="20.149999999999999" customHeight="1" x14ac:dyDescent="0.35">
      <c r="A75" s="329">
        <v>20</v>
      </c>
      <c r="B75" s="321">
        <v>96</v>
      </c>
      <c r="C75" s="335" t="s">
        <v>270</v>
      </c>
      <c r="D75" s="335"/>
      <c r="E75" s="323">
        <f>'[1]road inventory 2018'!C128</f>
        <v>5.6999999999999993</v>
      </c>
      <c r="F75" s="323">
        <v>2.089</v>
      </c>
      <c r="G75" s="323">
        <v>0</v>
      </c>
      <c r="H75" s="323">
        <v>0</v>
      </c>
      <c r="I75" s="323">
        <v>3.6110000000000002</v>
      </c>
      <c r="J75" s="325" t="s">
        <v>12</v>
      </c>
      <c r="K75" s="323">
        <f t="shared" si="2"/>
        <v>5.7</v>
      </c>
      <c r="L75" s="326" t="s">
        <v>430</v>
      </c>
      <c r="M75" s="363"/>
      <c r="N75" s="328">
        <v>2.089</v>
      </c>
    </row>
    <row r="76" spans="1:14" ht="20.149999999999999" customHeight="1" x14ac:dyDescent="0.35">
      <c r="A76" s="329">
        <v>21</v>
      </c>
      <c r="B76" s="321">
        <v>65</v>
      </c>
      <c r="C76" s="335" t="s">
        <v>261</v>
      </c>
      <c r="D76" s="335"/>
      <c r="E76" s="323">
        <f>'[1]road inventory 2018'!C129</f>
        <v>1.65</v>
      </c>
      <c r="F76" s="323">
        <v>0</v>
      </c>
      <c r="G76" s="323">
        <v>0</v>
      </c>
      <c r="H76" s="323">
        <v>0</v>
      </c>
      <c r="I76" s="323">
        <v>1.65</v>
      </c>
      <c r="J76" s="325" t="s">
        <v>12</v>
      </c>
      <c r="K76" s="323">
        <f t="shared" si="2"/>
        <v>1.65</v>
      </c>
      <c r="L76" s="326" t="s">
        <v>431</v>
      </c>
      <c r="M76" s="363"/>
      <c r="N76" s="328"/>
    </row>
    <row r="77" spans="1:14" ht="20.149999999999999" customHeight="1" x14ac:dyDescent="0.35">
      <c r="A77" s="329">
        <v>22</v>
      </c>
      <c r="B77" s="321">
        <v>66</v>
      </c>
      <c r="C77" s="335" t="s">
        <v>432</v>
      </c>
      <c r="D77" s="335"/>
      <c r="E77" s="323">
        <f>'[1]road inventory 2018'!C130</f>
        <v>3.8000000000000003</v>
      </c>
      <c r="F77" s="323">
        <v>0</v>
      </c>
      <c r="G77" s="323">
        <v>0</v>
      </c>
      <c r="H77" s="323">
        <v>0</v>
      </c>
      <c r="I77" s="323">
        <v>3.8</v>
      </c>
      <c r="J77" s="325" t="s">
        <v>12</v>
      </c>
      <c r="K77" s="323">
        <f t="shared" si="2"/>
        <v>3.8</v>
      </c>
      <c r="L77" s="326" t="s">
        <v>433</v>
      </c>
      <c r="M77" s="363"/>
      <c r="N77" s="328"/>
    </row>
    <row r="78" spans="1:14" ht="20.149999999999999" customHeight="1" x14ac:dyDescent="0.35">
      <c r="A78" s="329">
        <v>23</v>
      </c>
      <c r="B78" s="321">
        <v>67</v>
      </c>
      <c r="C78" s="335" t="s">
        <v>267</v>
      </c>
      <c r="D78" s="335"/>
      <c r="E78" s="323">
        <f>'[1]road inventory 2018'!C131</f>
        <v>1.9</v>
      </c>
      <c r="F78" s="323">
        <v>0.5</v>
      </c>
      <c r="G78" s="323">
        <v>0</v>
      </c>
      <c r="H78" s="323">
        <v>0</v>
      </c>
      <c r="I78" s="323">
        <v>1.4</v>
      </c>
      <c r="J78" s="325" t="s">
        <v>33</v>
      </c>
      <c r="K78" s="323">
        <f t="shared" si="2"/>
        <v>1.9</v>
      </c>
      <c r="L78" s="326" t="s">
        <v>434</v>
      </c>
      <c r="M78" s="363"/>
      <c r="N78" s="328"/>
    </row>
    <row r="79" spans="1:14" ht="20.149999999999999" customHeight="1" x14ac:dyDescent="0.35">
      <c r="A79" s="329">
        <v>24</v>
      </c>
      <c r="B79" s="321">
        <v>68</v>
      </c>
      <c r="C79" s="335" t="s">
        <v>266</v>
      </c>
      <c r="D79" s="335"/>
      <c r="E79" s="323">
        <f>'[1]road inventory 2018'!C132</f>
        <v>1.5999999999999999</v>
      </c>
      <c r="F79" s="323">
        <v>0.25</v>
      </c>
      <c r="G79" s="323">
        <v>0</v>
      </c>
      <c r="H79" s="323">
        <v>0</v>
      </c>
      <c r="I79" s="323">
        <v>1.35</v>
      </c>
      <c r="J79" s="325" t="s">
        <v>33</v>
      </c>
      <c r="K79" s="323">
        <f t="shared" si="2"/>
        <v>1.6</v>
      </c>
      <c r="L79" s="326" t="s">
        <v>434</v>
      </c>
      <c r="M79" s="363"/>
      <c r="N79" s="328"/>
    </row>
    <row r="80" spans="1:14" ht="20.149999999999999" customHeight="1" x14ac:dyDescent="0.35">
      <c r="A80" s="329">
        <v>25</v>
      </c>
      <c r="B80" s="321">
        <v>69</v>
      </c>
      <c r="C80" s="335" t="s">
        <v>264</v>
      </c>
      <c r="D80" s="335"/>
      <c r="E80" s="323">
        <f>'[1]road inventory 2018'!C133</f>
        <v>1.6</v>
      </c>
      <c r="F80" s="323">
        <v>0</v>
      </c>
      <c r="G80" s="323">
        <v>0</v>
      </c>
      <c r="H80" s="323">
        <v>0</v>
      </c>
      <c r="I80" s="323">
        <v>1.6</v>
      </c>
      <c r="J80" s="325" t="s">
        <v>33</v>
      </c>
      <c r="K80" s="323">
        <f t="shared" si="2"/>
        <v>1.6</v>
      </c>
      <c r="L80" s="326" t="s">
        <v>435</v>
      </c>
      <c r="M80" s="363"/>
      <c r="N80" s="328"/>
    </row>
    <row r="81" spans="1:17" ht="20.149999999999999" customHeight="1" x14ac:dyDescent="0.35">
      <c r="A81" s="329">
        <v>26</v>
      </c>
      <c r="B81" s="321">
        <v>70</v>
      </c>
      <c r="C81" s="335" t="s">
        <v>263</v>
      </c>
      <c r="D81" s="335"/>
      <c r="E81" s="323">
        <f>'[1]road inventory 2018'!C136</f>
        <v>2.6</v>
      </c>
      <c r="F81" s="323">
        <v>0</v>
      </c>
      <c r="G81" s="323">
        <v>0</v>
      </c>
      <c r="H81" s="323">
        <v>0</v>
      </c>
      <c r="I81" s="323">
        <v>2.6</v>
      </c>
      <c r="J81" s="325" t="s">
        <v>33</v>
      </c>
      <c r="K81" s="323">
        <f t="shared" si="2"/>
        <v>2.6</v>
      </c>
      <c r="L81" s="326" t="s">
        <v>436</v>
      </c>
      <c r="M81" s="363"/>
      <c r="N81" s="328"/>
    </row>
    <row r="82" spans="1:17" ht="20.149999999999999" customHeight="1" x14ac:dyDescent="0.35">
      <c r="A82" s="329">
        <v>27</v>
      </c>
      <c r="B82" s="321">
        <v>71</v>
      </c>
      <c r="C82" s="335" t="s">
        <v>54</v>
      </c>
      <c r="D82" s="335"/>
      <c r="E82" s="323">
        <f>'[1]road inventory 2018'!C137</f>
        <v>2.7</v>
      </c>
      <c r="F82" s="323">
        <v>0</v>
      </c>
      <c r="G82" s="323">
        <v>0</v>
      </c>
      <c r="H82" s="323">
        <v>0</v>
      </c>
      <c r="I82" s="323">
        <v>2.7</v>
      </c>
      <c r="J82" s="325" t="s">
        <v>12</v>
      </c>
      <c r="K82" s="323">
        <f t="shared" si="2"/>
        <v>2.7</v>
      </c>
      <c r="L82" s="326" t="s">
        <v>437</v>
      </c>
      <c r="M82" s="363"/>
      <c r="N82" s="328"/>
    </row>
    <row r="83" spans="1:17" ht="20.149999999999999" customHeight="1" x14ac:dyDescent="0.35">
      <c r="A83" s="329">
        <v>28</v>
      </c>
      <c r="B83" s="321">
        <v>72</v>
      </c>
      <c r="C83" s="335" t="s">
        <v>56</v>
      </c>
      <c r="D83" s="335"/>
      <c r="E83" s="323">
        <f>'[1]road inventory 2018'!C138</f>
        <v>1.7</v>
      </c>
      <c r="F83" s="323">
        <v>0.83</v>
      </c>
      <c r="G83" s="323">
        <v>0</v>
      </c>
      <c r="H83" s="323">
        <v>0</v>
      </c>
      <c r="I83" s="323">
        <v>0.87</v>
      </c>
      <c r="J83" s="325" t="s">
        <v>12</v>
      </c>
      <c r="K83" s="323">
        <f t="shared" si="2"/>
        <v>1.7</v>
      </c>
      <c r="L83" s="326" t="s">
        <v>438</v>
      </c>
      <c r="M83" s="363"/>
      <c r="N83" s="328"/>
    </row>
    <row r="84" spans="1:17" ht="20.149999999999999" customHeight="1" x14ac:dyDescent="0.35">
      <c r="A84" s="329">
        <v>29</v>
      </c>
      <c r="B84" s="321">
        <v>73</v>
      </c>
      <c r="C84" s="336" t="s">
        <v>258</v>
      </c>
      <c r="D84" s="336"/>
      <c r="E84" s="323">
        <f>'[1]road inventory 2018'!C139</f>
        <v>5.5</v>
      </c>
      <c r="F84" s="323">
        <v>0</v>
      </c>
      <c r="G84" s="323">
        <v>0</v>
      </c>
      <c r="H84" s="323">
        <v>0</v>
      </c>
      <c r="I84" s="323">
        <v>5.5</v>
      </c>
      <c r="J84" s="325" t="s">
        <v>12</v>
      </c>
      <c r="K84" s="323">
        <f t="shared" si="2"/>
        <v>5.5</v>
      </c>
      <c r="L84" s="326" t="s">
        <v>439</v>
      </c>
      <c r="M84" s="363"/>
      <c r="N84" s="328"/>
    </row>
    <row r="85" spans="1:17" ht="20.149999999999999" customHeight="1" x14ac:dyDescent="0.35">
      <c r="A85" s="329">
        <v>30</v>
      </c>
      <c r="B85" s="321">
        <v>74</v>
      </c>
      <c r="C85" s="336" t="s">
        <v>257</v>
      </c>
      <c r="D85" s="336"/>
      <c r="E85" s="323">
        <f>'[1]road inventory 2018'!C140</f>
        <v>0.5</v>
      </c>
      <c r="F85" s="323">
        <v>0</v>
      </c>
      <c r="G85" s="323">
        <v>0</v>
      </c>
      <c r="H85" s="323">
        <v>0</v>
      </c>
      <c r="I85" s="323">
        <v>0.5</v>
      </c>
      <c r="J85" s="325" t="s">
        <v>33</v>
      </c>
      <c r="K85" s="323">
        <f t="shared" si="2"/>
        <v>0.5</v>
      </c>
      <c r="L85" s="326" t="s">
        <v>439</v>
      </c>
      <c r="M85" s="363"/>
      <c r="N85" s="328"/>
    </row>
    <row r="86" spans="1:17" ht="20.149999999999999" customHeight="1" x14ac:dyDescent="0.35">
      <c r="A86" s="329">
        <v>31</v>
      </c>
      <c r="B86" s="321">
        <v>75</v>
      </c>
      <c r="C86" s="336" t="s">
        <v>259</v>
      </c>
      <c r="D86" s="336"/>
      <c r="E86" s="323">
        <f>'[1]road inventory 2018'!C141</f>
        <v>2.1</v>
      </c>
      <c r="F86" s="323">
        <v>0</v>
      </c>
      <c r="G86" s="323">
        <v>0</v>
      </c>
      <c r="H86" s="323">
        <v>0</v>
      </c>
      <c r="I86" s="323">
        <v>2.1</v>
      </c>
      <c r="J86" s="325" t="s">
        <v>33</v>
      </c>
      <c r="K86" s="323">
        <f t="shared" si="2"/>
        <v>2.1</v>
      </c>
      <c r="L86" s="326" t="s">
        <v>440</v>
      </c>
      <c r="M86" s="363"/>
      <c r="N86" s="328"/>
    </row>
    <row r="87" spans="1:17" ht="20.149999999999999" customHeight="1" x14ac:dyDescent="0.35">
      <c r="A87" s="329">
        <v>32</v>
      </c>
      <c r="B87" s="321">
        <v>76</v>
      </c>
      <c r="C87" s="336" t="s">
        <v>256</v>
      </c>
      <c r="D87" s="336"/>
      <c r="E87" s="323">
        <f>'[1]road inventory 2018'!C142</f>
        <v>0.2</v>
      </c>
      <c r="F87" s="323">
        <v>0.2</v>
      </c>
      <c r="G87" s="323">
        <v>0</v>
      </c>
      <c r="H87" s="323">
        <v>0</v>
      </c>
      <c r="I87" s="323">
        <v>0</v>
      </c>
      <c r="J87" s="325" t="s">
        <v>12</v>
      </c>
      <c r="K87" s="323">
        <f t="shared" si="2"/>
        <v>0.2</v>
      </c>
      <c r="L87" s="326" t="s">
        <v>425</v>
      </c>
      <c r="M87" s="363"/>
      <c r="N87" s="328"/>
    </row>
    <row r="88" spans="1:17" s="317" customFormat="1" ht="20.149999999999999" customHeight="1" x14ac:dyDescent="0.35">
      <c r="B88" s="373"/>
      <c r="C88" s="374" t="s">
        <v>341</v>
      </c>
      <c r="D88" s="374"/>
      <c r="E88" s="375">
        <f>SUM(E56:E87)</f>
        <v>107.84999999999998</v>
      </c>
      <c r="F88" s="375">
        <f>SUM(F56:F87)</f>
        <v>41.619</v>
      </c>
      <c r="G88" s="375">
        <f>SUM(G56:G87)</f>
        <v>0</v>
      </c>
      <c r="H88" s="375">
        <f>SUM(H56:H87)</f>
        <v>0</v>
      </c>
      <c r="I88" s="375">
        <f>SUM(I56:I87)</f>
        <v>66.230999999999995</v>
      </c>
      <c r="J88" s="376"/>
      <c r="K88" s="375"/>
      <c r="L88" s="372"/>
      <c r="M88" s="453"/>
      <c r="N88" s="377"/>
      <c r="O88" s="320"/>
    </row>
    <row r="89" spans="1:17" ht="20.149999999999999" customHeight="1" x14ac:dyDescent="0.35">
      <c r="B89" s="321"/>
      <c r="C89" s="330"/>
      <c r="D89" s="330"/>
      <c r="E89" s="323"/>
      <c r="F89" s="323"/>
      <c r="G89" s="323"/>
      <c r="H89" s="323"/>
      <c r="I89" s="323"/>
      <c r="J89" s="325"/>
      <c r="K89" s="323"/>
      <c r="L89" s="326"/>
      <c r="M89" s="363"/>
      <c r="N89" s="328"/>
      <c r="O89" s="331"/>
    </row>
    <row r="90" spans="1:17" s="317" customFormat="1" ht="20.149999999999999" customHeight="1" x14ac:dyDescent="0.35">
      <c r="B90" s="390" t="s">
        <v>342</v>
      </c>
      <c r="C90" s="378"/>
      <c r="D90" s="378"/>
      <c r="E90" s="375"/>
      <c r="F90" s="375"/>
      <c r="G90" s="375"/>
      <c r="H90" s="375"/>
      <c r="I90" s="375"/>
      <c r="J90" s="376"/>
      <c r="K90" s="375"/>
      <c r="L90" s="378"/>
      <c r="M90" s="453"/>
      <c r="N90" s="377"/>
    </row>
    <row r="91" spans="1:17" ht="20.149999999999999" customHeight="1" x14ac:dyDescent="0.35">
      <c r="A91" s="329">
        <v>1</v>
      </c>
      <c r="B91" s="321">
        <v>21</v>
      </c>
      <c r="C91" s="336" t="s">
        <v>241</v>
      </c>
      <c r="D91" s="336"/>
      <c r="E91" s="323">
        <f>'[1]road inventory 2018'!C41</f>
        <v>4.3</v>
      </c>
      <c r="F91" s="323">
        <v>4.3</v>
      </c>
      <c r="G91" s="323">
        <v>0</v>
      </c>
      <c r="H91" s="323">
        <v>0</v>
      </c>
      <c r="I91" s="323">
        <v>0</v>
      </c>
      <c r="J91" s="325" t="s">
        <v>10</v>
      </c>
      <c r="K91" s="323">
        <f t="shared" ref="K91:K117" si="3">SUM(F91:I91)</f>
        <v>4.3</v>
      </c>
      <c r="L91" s="326" t="s">
        <v>345</v>
      </c>
      <c r="M91" s="363"/>
      <c r="N91" s="328">
        <v>4.3</v>
      </c>
      <c r="O91" s="331"/>
      <c r="P91" s="331"/>
      <c r="Q91" s="331"/>
    </row>
    <row r="92" spans="1:17" ht="20.149999999999999" customHeight="1" x14ac:dyDescent="0.35">
      <c r="A92" s="329">
        <v>2</v>
      </c>
      <c r="B92" s="321">
        <v>22</v>
      </c>
      <c r="C92" s="336" t="s">
        <v>225</v>
      </c>
      <c r="D92" s="336"/>
      <c r="E92" s="323">
        <f>'[1]road inventory 2018'!C42</f>
        <v>3.9</v>
      </c>
      <c r="F92" s="323">
        <v>0</v>
      </c>
      <c r="G92" s="323">
        <v>0</v>
      </c>
      <c r="H92" s="323">
        <v>0</v>
      </c>
      <c r="I92" s="323">
        <v>3.9</v>
      </c>
      <c r="J92" s="325" t="s">
        <v>33</v>
      </c>
      <c r="K92" s="323">
        <f t="shared" si="3"/>
        <v>3.9</v>
      </c>
      <c r="L92" s="326" t="s">
        <v>346</v>
      </c>
      <c r="M92" s="363"/>
      <c r="N92" s="328"/>
    </row>
    <row r="93" spans="1:17" ht="20.149999999999999" customHeight="1" x14ac:dyDescent="0.35">
      <c r="A93" s="329">
        <v>3</v>
      </c>
      <c r="B93" s="321">
        <v>23</v>
      </c>
      <c r="C93" s="336" t="s">
        <v>237</v>
      </c>
      <c r="D93" s="336"/>
      <c r="E93" s="323">
        <f>'[1]road inventory 2018'!C43</f>
        <v>4.3</v>
      </c>
      <c r="F93" s="323">
        <v>2.9</v>
      </c>
      <c r="G93" s="323">
        <v>0</v>
      </c>
      <c r="H93" s="323">
        <v>0</v>
      </c>
      <c r="I93" s="323">
        <v>1.4</v>
      </c>
      <c r="J93" s="325" t="s">
        <v>12</v>
      </c>
      <c r="K93" s="323">
        <f t="shared" si="3"/>
        <v>4.3</v>
      </c>
      <c r="L93" s="326" t="s">
        <v>347</v>
      </c>
      <c r="M93" s="363"/>
      <c r="N93" s="328"/>
    </row>
    <row r="94" spans="1:17" ht="20.149999999999999" customHeight="1" x14ac:dyDescent="0.35">
      <c r="A94" s="329">
        <v>4</v>
      </c>
      <c r="B94" s="321">
        <v>24</v>
      </c>
      <c r="C94" s="336" t="s">
        <v>236</v>
      </c>
      <c r="D94" s="336"/>
      <c r="E94" s="323">
        <v>7.9</v>
      </c>
      <c r="F94" s="323">
        <v>7.9</v>
      </c>
      <c r="G94" s="323">
        <v>0</v>
      </c>
      <c r="H94" s="323">
        <v>0</v>
      </c>
      <c r="I94" s="323">
        <v>0</v>
      </c>
      <c r="J94" s="325" t="s">
        <v>12</v>
      </c>
      <c r="K94" s="323">
        <f t="shared" si="3"/>
        <v>7.9</v>
      </c>
      <c r="L94" s="326" t="s">
        <v>347</v>
      </c>
      <c r="M94" s="363"/>
      <c r="N94" s="328"/>
    </row>
    <row r="95" spans="1:17" ht="20.149999999999999" customHeight="1" x14ac:dyDescent="0.35">
      <c r="A95" s="329">
        <v>5</v>
      </c>
      <c r="B95" s="321">
        <v>25</v>
      </c>
      <c r="C95" s="336" t="s">
        <v>30</v>
      </c>
      <c r="D95" s="336"/>
      <c r="E95" s="323">
        <f>'[1]road inventory 2018'!C45</f>
        <v>1.7</v>
      </c>
      <c r="F95" s="323">
        <v>0</v>
      </c>
      <c r="G95" s="323">
        <v>0</v>
      </c>
      <c r="H95" s="323">
        <v>0</v>
      </c>
      <c r="I95" s="323">
        <v>1.7</v>
      </c>
      <c r="J95" s="325" t="s">
        <v>12</v>
      </c>
      <c r="K95" s="323">
        <f t="shared" si="3"/>
        <v>1.7</v>
      </c>
      <c r="L95" s="326" t="s">
        <v>348</v>
      </c>
      <c r="M95" s="363"/>
      <c r="N95" s="328"/>
    </row>
    <row r="96" spans="1:17" ht="20.149999999999999" customHeight="1" x14ac:dyDescent="0.35">
      <c r="A96" s="329">
        <v>6</v>
      </c>
      <c r="B96" s="321">
        <v>26</v>
      </c>
      <c r="C96" s="336" t="s">
        <v>350</v>
      </c>
      <c r="D96" s="336"/>
      <c r="E96" s="323">
        <f>'[1]road inventory 2018'!C46</f>
        <v>5.9</v>
      </c>
      <c r="F96" s="323">
        <v>1.85</v>
      </c>
      <c r="G96" s="323">
        <v>0</v>
      </c>
      <c r="H96" s="323">
        <v>0</v>
      </c>
      <c r="I96" s="323">
        <v>4.05</v>
      </c>
      <c r="J96" s="326" t="s">
        <v>10</v>
      </c>
      <c r="K96" s="323">
        <f t="shared" si="3"/>
        <v>5.9</v>
      </c>
      <c r="L96" s="326" t="s">
        <v>348</v>
      </c>
      <c r="M96" s="363"/>
      <c r="N96" s="328">
        <v>1.85</v>
      </c>
    </row>
    <row r="97" spans="1:14" ht="20.149999999999999" customHeight="1" x14ac:dyDescent="0.35">
      <c r="A97" s="329">
        <v>7</v>
      </c>
      <c r="B97" s="321">
        <v>27</v>
      </c>
      <c r="C97" s="336" t="s">
        <v>224</v>
      </c>
      <c r="D97" s="336"/>
      <c r="E97" s="323">
        <f>'[1]road inventory 2018'!C47</f>
        <v>1.9</v>
      </c>
      <c r="F97" s="323">
        <v>0.28000000000000003</v>
      </c>
      <c r="G97" s="323">
        <v>0</v>
      </c>
      <c r="H97" s="323">
        <v>0</v>
      </c>
      <c r="I97" s="323">
        <v>1.62</v>
      </c>
      <c r="J97" s="325" t="s">
        <v>12</v>
      </c>
      <c r="K97" s="323">
        <f t="shared" si="3"/>
        <v>1.9000000000000001</v>
      </c>
      <c r="L97" s="326" t="s">
        <v>351</v>
      </c>
      <c r="M97" s="363"/>
      <c r="N97" s="328"/>
    </row>
    <row r="98" spans="1:14" ht="20.149999999999999" customHeight="1" x14ac:dyDescent="0.35">
      <c r="A98" s="329">
        <v>8</v>
      </c>
      <c r="B98" s="321">
        <v>28</v>
      </c>
      <c r="C98" s="336" t="s">
        <v>233</v>
      </c>
      <c r="D98" s="336"/>
      <c r="E98" s="323">
        <f>'[1]road inventory 2018'!C48</f>
        <v>5.6</v>
      </c>
      <c r="F98" s="323">
        <v>1.55</v>
      </c>
      <c r="G98" s="323">
        <v>0</v>
      </c>
      <c r="H98" s="323">
        <v>0</v>
      </c>
      <c r="I98" s="323">
        <v>4.05</v>
      </c>
      <c r="J98" s="325" t="s">
        <v>33</v>
      </c>
      <c r="K98" s="323">
        <f t="shared" si="3"/>
        <v>5.6</v>
      </c>
      <c r="L98" s="326" t="s">
        <v>352</v>
      </c>
      <c r="M98" s="363"/>
      <c r="N98" s="328"/>
    </row>
    <row r="99" spans="1:14" ht="20.149999999999999" customHeight="1" x14ac:dyDescent="0.35">
      <c r="A99" s="329">
        <v>9</v>
      </c>
      <c r="B99" s="321">
        <v>29</v>
      </c>
      <c r="C99" s="336" t="s">
        <v>239</v>
      </c>
      <c r="D99" s="336"/>
      <c r="E99" s="323">
        <f>'[1]road inventory 2018'!C49</f>
        <v>0.8</v>
      </c>
      <c r="F99" s="323">
        <v>0.8</v>
      </c>
      <c r="G99" s="323">
        <v>0</v>
      </c>
      <c r="H99" s="323">
        <v>0</v>
      </c>
      <c r="I99" s="323">
        <v>0</v>
      </c>
      <c r="J99" s="325" t="s">
        <v>12</v>
      </c>
      <c r="K99" s="323">
        <f t="shared" si="3"/>
        <v>0.8</v>
      </c>
      <c r="L99" s="326" t="s">
        <v>353</v>
      </c>
      <c r="M99" s="363"/>
      <c r="N99" s="328"/>
    </row>
    <row r="100" spans="1:14" ht="20.149999999999999" customHeight="1" x14ac:dyDescent="0.35">
      <c r="A100" s="329">
        <v>10</v>
      </c>
      <c r="B100" s="321">
        <v>30</v>
      </c>
      <c r="C100" s="336" t="s">
        <v>354</v>
      </c>
      <c r="D100" s="336"/>
      <c r="E100" s="323">
        <f>'[1]road inventory 2018'!C50</f>
        <v>2</v>
      </c>
      <c r="F100" s="323">
        <v>0</v>
      </c>
      <c r="G100" s="323">
        <v>0</v>
      </c>
      <c r="H100" s="323">
        <v>0</v>
      </c>
      <c r="I100" s="323">
        <v>2</v>
      </c>
      <c r="J100" s="325" t="s">
        <v>10</v>
      </c>
      <c r="K100" s="323">
        <f t="shared" si="3"/>
        <v>2</v>
      </c>
      <c r="L100" s="326" t="s">
        <v>355</v>
      </c>
      <c r="M100" s="363"/>
      <c r="N100" s="328" t="s">
        <v>753</v>
      </c>
    </row>
    <row r="101" spans="1:14" ht="20.149999999999999" customHeight="1" x14ac:dyDescent="0.35">
      <c r="A101" s="329">
        <v>11</v>
      </c>
      <c r="B101" s="321">
        <v>106</v>
      </c>
      <c r="C101" s="336" t="s">
        <v>238</v>
      </c>
      <c r="D101" s="336"/>
      <c r="E101" s="323">
        <f>'[1]road inventory 2018'!C51</f>
        <v>3.2</v>
      </c>
      <c r="F101" s="323">
        <v>3.2</v>
      </c>
      <c r="G101" s="323">
        <v>0</v>
      </c>
      <c r="H101" s="323">
        <v>0</v>
      </c>
      <c r="I101" s="323">
        <v>0</v>
      </c>
      <c r="J101" s="325" t="s">
        <v>10</v>
      </c>
      <c r="K101" s="323">
        <f t="shared" si="3"/>
        <v>3.2</v>
      </c>
      <c r="L101" s="326" t="s">
        <v>358</v>
      </c>
      <c r="M101" s="363"/>
      <c r="N101" s="328"/>
    </row>
    <row r="102" spans="1:14" ht="20.149999999999999" customHeight="1" x14ac:dyDescent="0.35">
      <c r="A102" s="329">
        <v>12</v>
      </c>
      <c r="B102" s="321">
        <v>31</v>
      </c>
      <c r="C102" s="336" t="s">
        <v>359</v>
      </c>
      <c r="D102" s="336"/>
      <c r="E102" s="323">
        <f>'[1]road inventory 2018'!C52</f>
        <v>0.8</v>
      </c>
      <c r="F102" s="323">
        <v>0.8</v>
      </c>
      <c r="G102" s="323">
        <v>0</v>
      </c>
      <c r="H102" s="323">
        <v>0</v>
      </c>
      <c r="I102" s="323">
        <v>0</v>
      </c>
      <c r="J102" s="325" t="s">
        <v>12</v>
      </c>
      <c r="K102" s="323">
        <f t="shared" si="3"/>
        <v>0.8</v>
      </c>
      <c r="L102" s="326" t="s">
        <v>360</v>
      </c>
      <c r="M102" s="363"/>
      <c r="N102" s="328"/>
    </row>
    <row r="103" spans="1:14" ht="20.149999999999999" customHeight="1" x14ac:dyDescent="0.35">
      <c r="A103" s="329">
        <v>13</v>
      </c>
      <c r="B103" s="321">
        <v>32</v>
      </c>
      <c r="C103" s="336" t="s">
        <v>232</v>
      </c>
      <c r="D103" s="336"/>
      <c r="E103" s="323">
        <f>'[1]road inventory 2018'!C53</f>
        <v>3</v>
      </c>
      <c r="F103" s="323">
        <v>0</v>
      </c>
      <c r="G103" s="323">
        <v>0</v>
      </c>
      <c r="H103" s="323">
        <v>0</v>
      </c>
      <c r="I103" s="323">
        <v>3</v>
      </c>
      <c r="J103" s="325" t="s">
        <v>41</v>
      </c>
      <c r="K103" s="323">
        <f t="shared" si="3"/>
        <v>3</v>
      </c>
      <c r="L103" s="326" t="s">
        <v>361</v>
      </c>
      <c r="M103" s="363"/>
      <c r="N103" s="328"/>
    </row>
    <row r="104" spans="1:14" ht="20.149999999999999" customHeight="1" x14ac:dyDescent="0.35">
      <c r="A104" s="329">
        <v>14</v>
      </c>
      <c r="B104" s="321">
        <v>33</v>
      </c>
      <c r="C104" s="336" t="s">
        <v>34</v>
      </c>
      <c r="D104" s="336"/>
      <c r="E104" s="323">
        <f>'[1]road inventory 2018'!C54</f>
        <v>2.4</v>
      </c>
      <c r="F104" s="323">
        <v>0</v>
      </c>
      <c r="G104" s="323">
        <v>0</v>
      </c>
      <c r="H104" s="323">
        <v>0</v>
      </c>
      <c r="I104" s="323">
        <v>2.4</v>
      </c>
      <c r="J104" s="326" t="s">
        <v>33</v>
      </c>
      <c r="K104" s="323">
        <f t="shared" si="3"/>
        <v>2.4</v>
      </c>
      <c r="L104" s="326" t="s">
        <v>362</v>
      </c>
      <c r="M104" s="363"/>
      <c r="N104" s="328"/>
    </row>
    <row r="105" spans="1:14" ht="20.149999999999999" customHeight="1" x14ac:dyDescent="0.35">
      <c r="A105" s="329">
        <v>15</v>
      </c>
      <c r="B105" s="321">
        <v>34</v>
      </c>
      <c r="C105" s="336" t="s">
        <v>235</v>
      </c>
      <c r="D105" s="336"/>
      <c r="E105" s="323">
        <f>'[1]road inventory 2018'!C55</f>
        <v>4.2</v>
      </c>
      <c r="F105" s="323">
        <v>0</v>
      </c>
      <c r="G105" s="323">
        <v>0</v>
      </c>
      <c r="H105" s="323">
        <v>0</v>
      </c>
      <c r="I105" s="323">
        <v>4.2</v>
      </c>
      <c r="J105" s="325" t="s">
        <v>41</v>
      </c>
      <c r="K105" s="323">
        <f t="shared" si="3"/>
        <v>4.2</v>
      </c>
      <c r="L105" s="326" t="s">
        <v>363</v>
      </c>
      <c r="M105" s="363"/>
      <c r="N105" s="328"/>
    </row>
    <row r="106" spans="1:14" ht="20.149999999999999" customHeight="1" x14ac:dyDescent="0.35">
      <c r="A106" s="329">
        <v>16</v>
      </c>
      <c r="B106" s="321">
        <v>35</v>
      </c>
      <c r="C106" s="336" t="s">
        <v>364</v>
      </c>
      <c r="D106" s="336"/>
      <c r="E106" s="323">
        <f>'[1]road inventory 2018'!C56</f>
        <v>3</v>
      </c>
      <c r="F106" s="323">
        <f>0.4+0.31+0.1</f>
        <v>0.80999999999999994</v>
      </c>
      <c r="G106" s="323">
        <v>0</v>
      </c>
      <c r="H106" s="323">
        <v>0</v>
      </c>
      <c r="I106" s="323">
        <v>2.19</v>
      </c>
      <c r="J106" s="325" t="s">
        <v>12</v>
      </c>
      <c r="K106" s="323">
        <f t="shared" si="3"/>
        <v>3</v>
      </c>
      <c r="L106" s="326" t="s">
        <v>365</v>
      </c>
      <c r="M106" s="363"/>
      <c r="N106" s="328"/>
    </row>
    <row r="107" spans="1:14" ht="20.149999999999999" customHeight="1" x14ac:dyDescent="0.35">
      <c r="A107" s="329">
        <v>17</v>
      </c>
      <c r="B107" s="321">
        <v>36</v>
      </c>
      <c r="C107" s="336" t="s">
        <v>366</v>
      </c>
      <c r="D107" s="336"/>
      <c r="E107" s="323">
        <f>'[1]road inventory 2018'!C57</f>
        <v>6.2</v>
      </c>
      <c r="F107" s="323">
        <v>0</v>
      </c>
      <c r="G107" s="323">
        <v>0</v>
      </c>
      <c r="H107" s="323">
        <v>0</v>
      </c>
      <c r="I107" s="323">
        <v>6.2</v>
      </c>
      <c r="J107" s="325" t="s">
        <v>12</v>
      </c>
      <c r="K107" s="323">
        <f t="shared" si="3"/>
        <v>6.2</v>
      </c>
      <c r="L107" s="326" t="s">
        <v>367</v>
      </c>
      <c r="M107" s="363"/>
      <c r="N107" s="328"/>
    </row>
    <row r="108" spans="1:14" ht="20.149999999999999" customHeight="1" x14ac:dyDescent="0.35">
      <c r="A108" s="329">
        <v>18</v>
      </c>
      <c r="B108" s="321">
        <v>37</v>
      </c>
      <c r="C108" s="336" t="s">
        <v>234</v>
      </c>
      <c r="D108" s="336"/>
      <c r="E108" s="323">
        <f>'[1]road inventory 2018'!C58</f>
        <v>1.6</v>
      </c>
      <c r="F108" s="323">
        <v>0</v>
      </c>
      <c r="G108" s="323">
        <v>0</v>
      </c>
      <c r="H108" s="323">
        <v>0</v>
      </c>
      <c r="I108" s="323">
        <v>1.6</v>
      </c>
      <c r="J108" s="325" t="s">
        <v>41</v>
      </c>
      <c r="K108" s="323">
        <f t="shared" si="3"/>
        <v>1.6</v>
      </c>
      <c r="L108" s="326" t="s">
        <v>368</v>
      </c>
      <c r="M108" s="363"/>
      <c r="N108" s="328"/>
    </row>
    <row r="109" spans="1:14" ht="20.149999999999999" customHeight="1" x14ac:dyDescent="0.35">
      <c r="A109" s="329">
        <v>19</v>
      </c>
      <c r="B109" s="321">
        <v>38</v>
      </c>
      <c r="C109" s="336" t="s">
        <v>36</v>
      </c>
      <c r="D109" s="336"/>
      <c r="E109" s="323">
        <f>'[1]road inventory 2018'!C59</f>
        <v>4.4000000000000004</v>
      </c>
      <c r="F109" s="323">
        <v>1.58</v>
      </c>
      <c r="G109" s="323">
        <v>0</v>
      </c>
      <c r="H109" s="323">
        <v>0</v>
      </c>
      <c r="I109" s="323">
        <v>2.82</v>
      </c>
      <c r="J109" s="325" t="s">
        <v>12</v>
      </c>
      <c r="K109" s="323">
        <f t="shared" si="3"/>
        <v>4.4000000000000004</v>
      </c>
      <c r="L109" s="326" t="s">
        <v>369</v>
      </c>
      <c r="M109" s="363"/>
      <c r="N109" s="328">
        <v>1.58</v>
      </c>
    </row>
    <row r="110" spans="1:14" ht="20.149999999999999" customHeight="1" x14ac:dyDescent="0.35">
      <c r="A110" s="329">
        <v>20</v>
      </c>
      <c r="B110" s="321">
        <v>39</v>
      </c>
      <c r="C110" s="336" t="s">
        <v>370</v>
      </c>
      <c r="D110" s="336"/>
      <c r="E110" s="323">
        <f>'[1]road inventory 2018'!C60</f>
        <v>4.9000000000000004</v>
      </c>
      <c r="F110" s="323">
        <v>0.14000000000000001</v>
      </c>
      <c r="G110" s="323">
        <v>0</v>
      </c>
      <c r="H110" s="323">
        <v>0</v>
      </c>
      <c r="I110" s="323">
        <v>4.76</v>
      </c>
      <c r="J110" s="325" t="s">
        <v>12</v>
      </c>
      <c r="K110" s="323">
        <f t="shared" si="3"/>
        <v>4.8999999999999995</v>
      </c>
      <c r="L110" s="326" t="s">
        <v>371</v>
      </c>
      <c r="M110" s="363"/>
      <c r="N110" s="328"/>
    </row>
    <row r="111" spans="1:14" ht="20.149999999999999" customHeight="1" x14ac:dyDescent="0.35">
      <c r="A111" s="329">
        <v>21</v>
      </c>
      <c r="B111" s="321">
        <v>105</v>
      </c>
      <c r="C111" s="336" t="s">
        <v>228</v>
      </c>
      <c r="D111" s="336"/>
      <c r="E111" s="323">
        <f>'[1]road inventory 2018'!C61</f>
        <v>3.6</v>
      </c>
      <c r="F111" s="323">
        <v>0</v>
      </c>
      <c r="G111" s="323">
        <v>0</v>
      </c>
      <c r="H111" s="323">
        <v>0</v>
      </c>
      <c r="I111" s="323">
        <v>3.6</v>
      </c>
      <c r="J111" s="325" t="s">
        <v>12</v>
      </c>
      <c r="K111" s="323">
        <f t="shared" si="3"/>
        <v>3.6</v>
      </c>
      <c r="L111" s="326" t="s">
        <v>372</v>
      </c>
      <c r="M111" s="363"/>
      <c r="N111" s="328"/>
    </row>
    <row r="112" spans="1:14" ht="20.149999999999999" customHeight="1" x14ac:dyDescent="0.35">
      <c r="A112" s="329">
        <v>22</v>
      </c>
      <c r="B112" s="321">
        <v>40</v>
      </c>
      <c r="C112" s="336" t="s">
        <v>231</v>
      </c>
      <c r="D112" s="336"/>
      <c r="E112" s="323">
        <f>'[1]road inventory 2018'!C62</f>
        <v>1.5</v>
      </c>
      <c r="F112" s="323">
        <v>1.1000000000000001</v>
      </c>
      <c r="G112" s="323">
        <v>0</v>
      </c>
      <c r="H112" s="323">
        <v>0</v>
      </c>
      <c r="I112" s="323">
        <v>0.4</v>
      </c>
      <c r="J112" s="325" t="s">
        <v>10</v>
      </c>
      <c r="K112" s="323">
        <f t="shared" si="3"/>
        <v>1.5</v>
      </c>
      <c r="L112" s="326" t="s">
        <v>373</v>
      </c>
      <c r="M112" s="363"/>
      <c r="N112" s="328"/>
    </row>
    <row r="113" spans="1:17" ht="20.149999999999999" customHeight="1" x14ac:dyDescent="0.35">
      <c r="A113" s="329">
        <v>23</v>
      </c>
      <c r="B113" s="321">
        <v>41</v>
      </c>
      <c r="C113" s="336" t="s">
        <v>230</v>
      </c>
      <c r="D113" s="336"/>
      <c r="E113" s="323">
        <f>'[1]road inventory 2018'!C63</f>
        <v>2.8</v>
      </c>
      <c r="F113" s="323">
        <v>0</v>
      </c>
      <c r="G113" s="323">
        <v>0</v>
      </c>
      <c r="H113" s="323">
        <v>0</v>
      </c>
      <c r="I113" s="323">
        <v>2.8</v>
      </c>
      <c r="J113" s="325" t="s">
        <v>12</v>
      </c>
      <c r="K113" s="323">
        <f t="shared" si="3"/>
        <v>2.8</v>
      </c>
      <c r="L113" s="326" t="s">
        <v>374</v>
      </c>
      <c r="M113" s="363"/>
      <c r="N113" s="328"/>
    </row>
    <row r="114" spans="1:17" ht="20.149999999999999" customHeight="1" x14ac:dyDescent="0.35">
      <c r="A114" s="329">
        <v>24</v>
      </c>
      <c r="B114" s="321">
        <v>42</v>
      </c>
      <c r="C114" s="336" t="s">
        <v>227</v>
      </c>
      <c r="D114" s="336"/>
      <c r="E114" s="323">
        <f>'[1]road inventory 2018'!C64</f>
        <v>1.5</v>
      </c>
      <c r="F114" s="323">
        <v>0.17</v>
      </c>
      <c r="G114" s="323">
        <v>0</v>
      </c>
      <c r="H114" s="323">
        <v>0</v>
      </c>
      <c r="I114" s="323">
        <v>1.33</v>
      </c>
      <c r="J114" s="325" t="s">
        <v>33</v>
      </c>
      <c r="K114" s="323">
        <f t="shared" si="3"/>
        <v>1.5</v>
      </c>
      <c r="L114" s="326" t="s">
        <v>375</v>
      </c>
      <c r="M114" s="363"/>
      <c r="N114" s="328"/>
    </row>
    <row r="115" spans="1:17" ht="20.149999999999999" customHeight="1" x14ac:dyDescent="0.35">
      <c r="A115" s="329">
        <v>25</v>
      </c>
      <c r="B115" s="321">
        <v>43</v>
      </c>
      <c r="C115" s="336" t="s">
        <v>226</v>
      </c>
      <c r="D115" s="336"/>
      <c r="E115" s="323">
        <f>'[1]road inventory 2018'!C65</f>
        <v>12.7</v>
      </c>
      <c r="F115" s="323">
        <v>0.16</v>
      </c>
      <c r="G115" s="323">
        <v>0</v>
      </c>
      <c r="H115" s="323">
        <v>0</v>
      </c>
      <c r="I115" s="323">
        <v>12.54</v>
      </c>
      <c r="J115" s="325" t="s">
        <v>41</v>
      </c>
      <c r="K115" s="323">
        <f t="shared" si="3"/>
        <v>12.7</v>
      </c>
      <c r="L115" s="326" t="s">
        <v>376</v>
      </c>
      <c r="M115" s="363"/>
      <c r="N115" s="328"/>
      <c r="Q115" s="331"/>
    </row>
    <row r="116" spans="1:17" ht="20.149999999999999" customHeight="1" x14ac:dyDescent="0.35">
      <c r="A116" s="329">
        <v>26</v>
      </c>
      <c r="B116" s="321">
        <v>44</v>
      </c>
      <c r="C116" s="336" t="s">
        <v>752</v>
      </c>
      <c r="D116" s="336"/>
      <c r="E116" s="323">
        <f>'[1]road inventory 2018'!C66</f>
        <v>5.3</v>
      </c>
      <c r="F116" s="323">
        <v>1.5</v>
      </c>
      <c r="G116" s="323">
        <v>0</v>
      </c>
      <c r="H116" s="323">
        <v>0</v>
      </c>
      <c r="I116" s="323">
        <v>3.8</v>
      </c>
      <c r="J116" s="325" t="s">
        <v>33</v>
      </c>
      <c r="K116" s="323">
        <f t="shared" si="3"/>
        <v>5.3</v>
      </c>
      <c r="L116" s="326" t="s">
        <v>378</v>
      </c>
      <c r="M116" s="350" t="s">
        <v>751</v>
      </c>
      <c r="N116" s="328">
        <v>1.5</v>
      </c>
    </row>
    <row r="117" spans="1:17" ht="20.149999999999999" customHeight="1" x14ac:dyDescent="0.35">
      <c r="A117" s="329">
        <v>27</v>
      </c>
      <c r="B117" s="321">
        <v>104</v>
      </c>
      <c r="C117" s="336" t="s">
        <v>240</v>
      </c>
      <c r="D117" s="336"/>
      <c r="E117" s="323">
        <f>'[1]road inventory 2018'!C67</f>
        <v>3.1</v>
      </c>
      <c r="F117" s="323">
        <v>0</v>
      </c>
      <c r="G117" s="323">
        <v>0</v>
      </c>
      <c r="H117" s="323">
        <v>0</v>
      </c>
      <c r="I117" s="323">
        <v>3.1</v>
      </c>
      <c r="J117" s="325" t="s">
        <v>12</v>
      </c>
      <c r="K117" s="323">
        <f t="shared" si="3"/>
        <v>3.1</v>
      </c>
      <c r="L117" s="326" t="s">
        <v>379</v>
      </c>
      <c r="M117" s="363"/>
      <c r="N117" s="328"/>
    </row>
    <row r="118" spans="1:17" s="317" customFormat="1" ht="20.149999999999999" customHeight="1" x14ac:dyDescent="0.35">
      <c r="B118" s="373"/>
      <c r="C118" s="374" t="s">
        <v>341</v>
      </c>
      <c r="D118" s="374"/>
      <c r="E118" s="375">
        <f>SUM(E91:E117)</f>
        <v>102.5</v>
      </c>
      <c r="F118" s="375">
        <f>SUM(F91:F117)</f>
        <v>29.040000000000003</v>
      </c>
      <c r="G118" s="375">
        <f>SUM(G91:G117)</f>
        <v>0</v>
      </c>
      <c r="H118" s="375">
        <f>SUM(H91:H117)</f>
        <v>0</v>
      </c>
      <c r="I118" s="375">
        <f>SUM(I91:I117)</f>
        <v>73.459999999999994</v>
      </c>
      <c r="J118" s="376"/>
      <c r="K118" s="375"/>
      <c r="L118" s="372"/>
      <c r="M118" s="453"/>
      <c r="N118" s="377"/>
      <c r="O118" s="320"/>
    </row>
    <row r="119" spans="1:17" ht="20.149999999999999" customHeight="1" x14ac:dyDescent="0.35">
      <c r="B119" s="321"/>
      <c r="C119" s="330"/>
      <c r="D119" s="330"/>
      <c r="E119" s="323"/>
      <c r="F119" s="323"/>
      <c r="G119" s="323"/>
      <c r="H119" s="323"/>
      <c r="I119" s="323"/>
      <c r="J119" s="325"/>
      <c r="K119" s="323"/>
      <c r="L119" s="326"/>
      <c r="M119" s="363"/>
      <c r="N119" s="328"/>
      <c r="O119" s="331"/>
    </row>
    <row r="120" spans="1:17" s="317" customFormat="1" ht="20.149999999999999" customHeight="1" x14ac:dyDescent="0.35">
      <c r="B120" s="390" t="s">
        <v>380</v>
      </c>
      <c r="C120" s="378"/>
      <c r="D120" s="378"/>
      <c r="E120" s="375"/>
      <c r="F120" s="375"/>
      <c r="G120" s="375"/>
      <c r="H120" s="375"/>
      <c r="I120" s="375"/>
      <c r="J120" s="376"/>
      <c r="K120" s="375"/>
      <c r="L120" s="378"/>
      <c r="M120" s="453"/>
      <c r="N120" s="377"/>
    </row>
    <row r="121" spans="1:17" ht="20.149999999999999" customHeight="1" x14ac:dyDescent="0.35">
      <c r="A121" s="329">
        <v>1</v>
      </c>
      <c r="B121" s="321">
        <v>107</v>
      </c>
      <c r="C121" s="336" t="s">
        <v>381</v>
      </c>
      <c r="D121" s="336"/>
      <c r="E121" s="323">
        <f>'[1]road inventory 2018'!C73</f>
        <v>2.5</v>
      </c>
      <c r="F121" s="337">
        <f>1.01+1.03</f>
        <v>2.04</v>
      </c>
      <c r="G121" s="337">
        <v>0</v>
      </c>
      <c r="H121" s="337">
        <v>0</v>
      </c>
      <c r="I121" s="323">
        <v>0.46</v>
      </c>
      <c r="J121" s="325" t="s">
        <v>33</v>
      </c>
      <c r="K121" s="323">
        <f t="shared" ref="K121:K127" si="4">SUM(F121:I121)</f>
        <v>2.5</v>
      </c>
      <c r="L121" s="326" t="s">
        <v>382</v>
      </c>
      <c r="M121" s="363"/>
      <c r="N121" s="328"/>
    </row>
    <row r="122" spans="1:17" ht="20.149999999999999" customHeight="1" x14ac:dyDescent="0.35">
      <c r="A122" s="329">
        <v>2</v>
      </c>
      <c r="B122" s="321">
        <v>102</v>
      </c>
      <c r="C122" s="336" t="s">
        <v>242</v>
      </c>
      <c r="D122" s="336"/>
      <c r="E122" s="323">
        <f>'[1]road inventory 2018'!C74</f>
        <v>1.3</v>
      </c>
      <c r="F122" s="337">
        <v>0.27</v>
      </c>
      <c r="G122" s="337">
        <v>0</v>
      </c>
      <c r="H122" s="337">
        <v>0</v>
      </c>
      <c r="I122" s="323">
        <v>1.03</v>
      </c>
      <c r="J122" s="325" t="s">
        <v>33</v>
      </c>
      <c r="K122" s="323">
        <f t="shared" si="4"/>
        <v>1.3</v>
      </c>
      <c r="L122" s="326" t="s">
        <v>383</v>
      </c>
      <c r="M122" s="363"/>
      <c r="N122" s="328"/>
    </row>
    <row r="123" spans="1:17" ht="20.149999999999999" customHeight="1" x14ac:dyDescent="0.35">
      <c r="A123" s="329">
        <v>3</v>
      </c>
      <c r="B123" s="321">
        <v>101</v>
      </c>
      <c r="C123" s="336" t="s">
        <v>384</v>
      </c>
      <c r="D123" s="336"/>
      <c r="E123" s="323">
        <v>0.6</v>
      </c>
      <c r="F123" s="337">
        <v>0</v>
      </c>
      <c r="G123" s="337">
        <v>0</v>
      </c>
      <c r="H123" s="337">
        <v>0</v>
      </c>
      <c r="I123" s="323">
        <v>0.6</v>
      </c>
      <c r="J123" s="325" t="s">
        <v>33</v>
      </c>
      <c r="K123" s="323">
        <f t="shared" si="4"/>
        <v>0.6</v>
      </c>
      <c r="L123" s="326"/>
      <c r="M123" s="363"/>
      <c r="N123" s="328"/>
    </row>
    <row r="124" spans="1:17" ht="20.149999999999999" customHeight="1" x14ac:dyDescent="0.35">
      <c r="A124" s="329">
        <v>4</v>
      </c>
      <c r="B124" s="321">
        <v>47</v>
      </c>
      <c r="C124" s="336" t="s">
        <v>38</v>
      </c>
      <c r="D124" s="336"/>
      <c r="E124" s="323">
        <f>'[1]road inventory 2018'!C76</f>
        <v>17</v>
      </c>
      <c r="F124" s="323">
        <f>1.03+0.2+0.08</f>
        <v>1.31</v>
      </c>
      <c r="G124" s="337">
        <v>0</v>
      </c>
      <c r="H124" s="337">
        <v>0</v>
      </c>
      <c r="I124" s="323">
        <v>15.69</v>
      </c>
      <c r="J124" s="325" t="s">
        <v>41</v>
      </c>
      <c r="K124" s="323">
        <f t="shared" si="4"/>
        <v>17</v>
      </c>
      <c r="L124" s="326" t="s">
        <v>387</v>
      </c>
      <c r="M124" s="363"/>
      <c r="N124" s="328"/>
    </row>
    <row r="125" spans="1:17" ht="20.149999999999999" customHeight="1" x14ac:dyDescent="0.35">
      <c r="A125" s="329">
        <v>5</v>
      </c>
      <c r="B125" s="321">
        <v>48</v>
      </c>
      <c r="C125" s="336" t="s">
        <v>388</v>
      </c>
      <c r="D125" s="336"/>
      <c r="E125" s="323">
        <f>'[1]road inventory 2018'!C77</f>
        <v>2.6</v>
      </c>
      <c r="F125" s="337">
        <v>0</v>
      </c>
      <c r="G125" s="337">
        <v>0</v>
      </c>
      <c r="H125" s="337">
        <v>0</v>
      </c>
      <c r="I125" s="323">
        <v>2.6</v>
      </c>
      <c r="J125" s="325" t="s">
        <v>33</v>
      </c>
      <c r="K125" s="323">
        <f t="shared" si="4"/>
        <v>2.6</v>
      </c>
      <c r="L125" s="326" t="s">
        <v>389</v>
      </c>
      <c r="M125" s="363"/>
      <c r="N125" s="328"/>
    </row>
    <row r="126" spans="1:17" ht="20.149999999999999" customHeight="1" x14ac:dyDescent="0.35">
      <c r="A126" s="329">
        <v>6</v>
      </c>
      <c r="B126" s="321">
        <v>90</v>
      </c>
      <c r="C126" s="336" t="s">
        <v>390</v>
      </c>
      <c r="D126" s="336"/>
      <c r="E126" s="323">
        <f>'[1]road inventory 2018'!C78</f>
        <v>4.3499999999999996</v>
      </c>
      <c r="F126" s="337">
        <v>0</v>
      </c>
      <c r="G126" s="337">
        <v>0</v>
      </c>
      <c r="H126" s="337">
        <v>0</v>
      </c>
      <c r="I126" s="323">
        <v>4.3499999999999996</v>
      </c>
      <c r="J126" s="325" t="s">
        <v>33</v>
      </c>
      <c r="K126" s="323">
        <f t="shared" si="4"/>
        <v>4.3499999999999996</v>
      </c>
      <c r="L126" s="326" t="s">
        <v>391</v>
      </c>
      <c r="M126" s="363"/>
      <c r="N126" s="328"/>
    </row>
    <row r="127" spans="1:17" ht="20.149999999999999" customHeight="1" x14ac:dyDescent="0.35">
      <c r="A127" s="329">
        <v>7</v>
      </c>
      <c r="B127" s="321">
        <v>99</v>
      </c>
      <c r="C127" s="336" t="s">
        <v>392</v>
      </c>
      <c r="D127" s="336"/>
      <c r="E127" s="323">
        <f>'[1]road inventory 2018'!C79</f>
        <v>14.1</v>
      </c>
      <c r="F127" s="323">
        <f>1.1+1</f>
        <v>2.1</v>
      </c>
      <c r="G127" s="323">
        <v>0</v>
      </c>
      <c r="H127" s="323">
        <v>0</v>
      </c>
      <c r="I127" s="323">
        <f>1.08+1.01+1.08+1+1.01+1.1+1.07+0.94+1.02+1.05+1.04+0.64-0.04</f>
        <v>12</v>
      </c>
      <c r="J127" s="325" t="s">
        <v>33</v>
      </c>
      <c r="K127" s="323">
        <f t="shared" si="4"/>
        <v>14.1</v>
      </c>
      <c r="L127" s="326" t="s">
        <v>393</v>
      </c>
      <c r="M127" s="363"/>
      <c r="N127" s="328">
        <v>2.1</v>
      </c>
    </row>
    <row r="128" spans="1:17" s="317" customFormat="1" ht="20.149999999999999" customHeight="1" x14ac:dyDescent="0.35">
      <c r="B128" s="373"/>
      <c r="C128" s="374" t="s">
        <v>341</v>
      </c>
      <c r="D128" s="374"/>
      <c r="E128" s="375">
        <f>SUM(E121:E127)</f>
        <v>42.45</v>
      </c>
      <c r="F128" s="375">
        <f>SUM(F121:F127)</f>
        <v>5.7200000000000006</v>
      </c>
      <c r="G128" s="375">
        <f>SUM(G121:G127)</f>
        <v>0</v>
      </c>
      <c r="H128" s="375">
        <f>SUM(H121:H127)</f>
        <v>0</v>
      </c>
      <c r="I128" s="375">
        <f>SUM(I121:I127)</f>
        <v>36.730000000000004</v>
      </c>
      <c r="J128" s="376"/>
      <c r="K128" s="375"/>
      <c r="L128" s="372"/>
      <c r="M128" s="453"/>
      <c r="N128" s="377"/>
      <c r="O128" s="320"/>
    </row>
    <row r="129" spans="1:15" ht="20.149999999999999" customHeight="1" x14ac:dyDescent="0.35">
      <c r="B129" s="321"/>
      <c r="C129" s="330"/>
      <c r="D129" s="330"/>
      <c r="E129" s="323"/>
      <c r="F129" s="323"/>
      <c r="G129" s="323"/>
      <c r="H129" s="323"/>
      <c r="I129" s="323"/>
      <c r="J129" s="325"/>
      <c r="K129" s="323"/>
      <c r="L129" s="326"/>
      <c r="M129" s="363"/>
      <c r="N129" s="328"/>
      <c r="O129" s="331"/>
    </row>
    <row r="130" spans="1:15" s="317" customFormat="1" ht="20.149999999999999" customHeight="1" x14ac:dyDescent="0.35">
      <c r="B130" s="390" t="s">
        <v>394</v>
      </c>
      <c r="C130" s="378"/>
      <c r="D130" s="378"/>
      <c r="E130" s="375"/>
      <c r="F130" s="375"/>
      <c r="G130" s="375"/>
      <c r="H130" s="375"/>
      <c r="I130" s="375"/>
      <c r="J130" s="376"/>
      <c r="K130" s="375"/>
      <c r="L130" s="378"/>
      <c r="M130" s="453"/>
      <c r="N130" s="377"/>
    </row>
    <row r="131" spans="1:15" s="327" customFormat="1" ht="20.149999999999999" customHeight="1" x14ac:dyDescent="0.35">
      <c r="A131" s="327">
        <v>1</v>
      </c>
      <c r="B131" s="338">
        <v>108</v>
      </c>
      <c r="C131" s="336" t="s">
        <v>395</v>
      </c>
      <c r="D131" s="336"/>
      <c r="E131" s="339">
        <f>'[1]road inventory 2018'!C86</f>
        <v>3.1</v>
      </c>
      <c r="F131" s="340">
        <v>0.48</v>
      </c>
      <c r="G131" s="340">
        <v>0</v>
      </c>
      <c r="H131" s="340">
        <v>0</v>
      </c>
      <c r="I131" s="339">
        <v>2.62</v>
      </c>
      <c r="J131" s="326" t="s">
        <v>33</v>
      </c>
      <c r="K131" s="323">
        <f>SUM(F131:I131)</f>
        <v>3.1</v>
      </c>
      <c r="L131" s="326" t="s">
        <v>396</v>
      </c>
      <c r="M131" s="455"/>
      <c r="N131" s="341"/>
    </row>
    <row r="132" spans="1:15" s="317" customFormat="1" ht="20.149999999999999" customHeight="1" x14ac:dyDescent="0.35">
      <c r="B132" s="373"/>
      <c r="C132" s="374" t="s">
        <v>341</v>
      </c>
      <c r="D132" s="374"/>
      <c r="E132" s="375">
        <f>SUM(E131)</f>
        <v>3.1</v>
      </c>
      <c r="F132" s="375">
        <f>SUM(F131)</f>
        <v>0.48</v>
      </c>
      <c r="G132" s="375">
        <f>SUM(G131)</f>
        <v>0</v>
      </c>
      <c r="H132" s="375">
        <f>SUM(H131)</f>
        <v>0</v>
      </c>
      <c r="I132" s="375">
        <f>SUM(I131)</f>
        <v>2.62</v>
      </c>
      <c r="J132" s="376"/>
      <c r="K132" s="375"/>
      <c r="L132" s="372"/>
      <c r="M132" s="453"/>
      <c r="N132" s="377"/>
      <c r="O132" s="320"/>
    </row>
    <row r="133" spans="1:15" ht="20.149999999999999" customHeight="1" x14ac:dyDescent="0.35">
      <c r="B133" s="321"/>
      <c r="C133" s="330"/>
      <c r="D133" s="330"/>
      <c r="E133" s="323"/>
      <c r="F133" s="323"/>
      <c r="G133" s="323"/>
      <c r="H133" s="323"/>
      <c r="I133" s="323"/>
      <c r="J133" s="325"/>
      <c r="K133" s="323"/>
      <c r="L133" s="326"/>
      <c r="M133" s="363"/>
      <c r="N133" s="328"/>
      <c r="O133" s="331"/>
    </row>
    <row r="134" spans="1:15" s="317" customFormat="1" ht="20.149999999999999" customHeight="1" x14ac:dyDescent="0.35">
      <c r="B134" s="390" t="s">
        <v>397</v>
      </c>
      <c r="C134" s="378"/>
      <c r="D134" s="378"/>
      <c r="E134" s="375"/>
      <c r="F134" s="375"/>
      <c r="G134" s="375"/>
      <c r="H134" s="375"/>
      <c r="I134" s="375"/>
      <c r="J134" s="376"/>
      <c r="K134" s="375"/>
      <c r="L134" s="378"/>
      <c r="M134" s="453"/>
      <c r="N134" s="377"/>
    </row>
    <row r="135" spans="1:15" ht="20.149999999999999" customHeight="1" x14ac:dyDescent="0.35">
      <c r="A135" s="329">
        <v>1</v>
      </c>
      <c r="B135" s="321">
        <v>223</v>
      </c>
      <c r="C135" s="336" t="s">
        <v>42</v>
      </c>
      <c r="D135" s="336"/>
      <c r="E135" s="323">
        <f>'[1]road inventory 2018'!C93</f>
        <v>4.0999999999999996</v>
      </c>
      <c r="F135" s="323">
        <v>0</v>
      </c>
      <c r="G135" s="323">
        <v>0</v>
      </c>
      <c r="H135" s="323">
        <v>0</v>
      </c>
      <c r="I135" s="323">
        <v>4.0999999999999996</v>
      </c>
      <c r="J135" s="325" t="s">
        <v>33</v>
      </c>
      <c r="K135" s="323">
        <f t="shared" ref="K135:K144" si="5">SUM(F135:I135)</f>
        <v>4.0999999999999996</v>
      </c>
      <c r="L135" s="326" t="s">
        <v>398</v>
      </c>
      <c r="M135" s="363"/>
      <c r="N135" s="328"/>
    </row>
    <row r="136" spans="1:15" ht="20.149999999999999" customHeight="1" x14ac:dyDescent="0.35">
      <c r="A136" s="329">
        <v>2</v>
      </c>
      <c r="B136" s="321">
        <v>224</v>
      </c>
      <c r="C136" s="336" t="s">
        <v>44</v>
      </c>
      <c r="D136" s="336"/>
      <c r="E136" s="323">
        <f>'[1]road inventory 2018'!C94</f>
        <v>7.2</v>
      </c>
      <c r="F136" s="323">
        <f>2.25+0.06+0.9</f>
        <v>3.21</v>
      </c>
      <c r="G136" s="323">
        <v>0</v>
      </c>
      <c r="H136" s="323">
        <v>0</v>
      </c>
      <c r="I136" s="323">
        <v>3.99</v>
      </c>
      <c r="J136" s="325" t="s">
        <v>33</v>
      </c>
      <c r="K136" s="323">
        <f t="shared" si="5"/>
        <v>7.2</v>
      </c>
      <c r="L136" s="326" t="s">
        <v>399</v>
      </c>
      <c r="M136" s="363" t="s">
        <v>750</v>
      </c>
      <c r="N136" s="328">
        <v>2</v>
      </c>
    </row>
    <row r="137" spans="1:15" ht="20.149999999999999" customHeight="1" x14ac:dyDescent="0.35">
      <c r="A137" s="329">
        <v>3</v>
      </c>
      <c r="B137" s="321">
        <v>45</v>
      </c>
      <c r="C137" s="336" t="s">
        <v>400</v>
      </c>
      <c r="D137" s="336"/>
      <c r="E137" s="323">
        <f>'[1]road inventory 2018'!C95</f>
        <v>7.8999999999999995</v>
      </c>
      <c r="F137" s="323">
        <v>0.71</v>
      </c>
      <c r="G137" s="323">
        <v>0</v>
      </c>
      <c r="H137" s="323">
        <v>0</v>
      </c>
      <c r="I137" s="323">
        <v>7.19</v>
      </c>
      <c r="J137" s="325" t="s">
        <v>33</v>
      </c>
      <c r="K137" s="323">
        <f t="shared" si="5"/>
        <v>7.9</v>
      </c>
      <c r="L137" s="326" t="s">
        <v>401</v>
      </c>
      <c r="M137" s="363"/>
      <c r="N137" s="328"/>
    </row>
    <row r="138" spans="1:15" ht="20.149999999999999" customHeight="1" x14ac:dyDescent="0.35">
      <c r="A138" s="329">
        <v>4</v>
      </c>
      <c r="B138" s="321">
        <v>217</v>
      </c>
      <c r="C138" s="336" t="s">
        <v>243</v>
      </c>
      <c r="D138" s="336"/>
      <c r="E138" s="323">
        <f>'[1]road inventory 2018'!C96</f>
        <v>1.1000000000000001</v>
      </c>
      <c r="F138" s="323">
        <v>1.1000000000000001</v>
      </c>
      <c r="G138" s="323">
        <v>0</v>
      </c>
      <c r="H138" s="323">
        <v>0</v>
      </c>
      <c r="I138" s="323">
        <v>0</v>
      </c>
      <c r="J138" s="325" t="s">
        <v>10</v>
      </c>
      <c r="K138" s="323">
        <f t="shared" si="5"/>
        <v>1.1000000000000001</v>
      </c>
      <c r="L138" s="326" t="s">
        <v>402</v>
      </c>
      <c r="M138" s="363"/>
      <c r="N138" s="328"/>
    </row>
    <row r="139" spans="1:15" ht="20.149999999999999" customHeight="1" x14ac:dyDescent="0.35">
      <c r="A139" s="329">
        <v>5</v>
      </c>
      <c r="B139" s="321">
        <v>225</v>
      </c>
      <c r="C139" s="336" t="s">
        <v>403</v>
      </c>
      <c r="D139" s="336"/>
      <c r="E139" s="323">
        <f>'[1]road inventory 2018'!C97</f>
        <v>0.4</v>
      </c>
      <c r="F139" s="323">
        <v>0</v>
      </c>
      <c r="G139" s="323">
        <v>0</v>
      </c>
      <c r="H139" s="323">
        <v>0</v>
      </c>
      <c r="I139" s="323">
        <v>0.4</v>
      </c>
      <c r="J139" s="325" t="s">
        <v>33</v>
      </c>
      <c r="K139" s="323">
        <f t="shared" si="5"/>
        <v>0.4</v>
      </c>
      <c r="L139" s="326" t="s">
        <v>404</v>
      </c>
      <c r="M139" s="363"/>
      <c r="N139" s="328"/>
    </row>
    <row r="140" spans="1:15" ht="20.149999999999999" customHeight="1" x14ac:dyDescent="0.35">
      <c r="A140" s="329">
        <v>6</v>
      </c>
      <c r="B140" s="321">
        <v>226</v>
      </c>
      <c r="C140" s="336" t="s">
        <v>45</v>
      </c>
      <c r="D140" s="336"/>
      <c r="E140" s="323">
        <f>'[1]road inventory 2018'!C98</f>
        <v>4.8</v>
      </c>
      <c r="F140" s="323">
        <v>0.86</v>
      </c>
      <c r="G140" s="323">
        <v>0</v>
      </c>
      <c r="H140" s="323">
        <v>0</v>
      </c>
      <c r="I140" s="323">
        <v>3.94</v>
      </c>
      <c r="J140" s="325" t="s">
        <v>10</v>
      </c>
      <c r="K140" s="323">
        <f t="shared" si="5"/>
        <v>4.8</v>
      </c>
      <c r="L140" s="326" t="s">
        <v>405</v>
      </c>
      <c r="M140" s="363"/>
      <c r="N140" s="328"/>
    </row>
    <row r="141" spans="1:15" ht="20.149999999999999" customHeight="1" x14ac:dyDescent="0.35">
      <c r="A141" s="329">
        <v>7</v>
      </c>
      <c r="B141" s="321">
        <v>116</v>
      </c>
      <c r="C141" s="336" t="s">
        <v>47</v>
      </c>
      <c r="D141" s="336"/>
      <c r="E141" s="323">
        <f>'[1]road inventory 2018'!C99</f>
        <v>12.3</v>
      </c>
      <c r="F141" s="323">
        <v>6.67</v>
      </c>
      <c r="G141" s="323">
        <v>0</v>
      </c>
      <c r="H141" s="323">
        <v>0</v>
      </c>
      <c r="I141" s="323">
        <v>5.63</v>
      </c>
      <c r="J141" s="325" t="s">
        <v>12</v>
      </c>
      <c r="K141" s="323">
        <f t="shared" si="5"/>
        <v>12.3</v>
      </c>
      <c r="L141" s="326" t="s">
        <v>405</v>
      </c>
      <c r="M141" s="363"/>
      <c r="N141" s="328"/>
    </row>
    <row r="142" spans="1:15" ht="20.149999999999999" customHeight="1" x14ac:dyDescent="0.35">
      <c r="A142" s="329">
        <v>8</v>
      </c>
      <c r="B142" s="321">
        <v>46</v>
      </c>
      <c r="C142" s="336" t="s">
        <v>406</v>
      </c>
      <c r="D142" s="336"/>
      <c r="E142" s="323">
        <f>'[1]road inventory 2018'!C100</f>
        <v>1.3</v>
      </c>
      <c r="F142" s="323">
        <v>1.3</v>
      </c>
      <c r="G142" s="323">
        <v>0</v>
      </c>
      <c r="H142" s="323">
        <v>0</v>
      </c>
      <c r="I142" s="323">
        <v>0</v>
      </c>
      <c r="J142" s="325" t="s">
        <v>10</v>
      </c>
      <c r="K142" s="323">
        <f t="shared" si="5"/>
        <v>1.3</v>
      </c>
      <c r="L142" s="326" t="s">
        <v>407</v>
      </c>
      <c r="M142" s="363"/>
      <c r="N142" s="328"/>
    </row>
    <row r="143" spans="1:15" ht="20.149999999999999" customHeight="1" x14ac:dyDescent="0.35">
      <c r="A143" s="329">
        <v>9</v>
      </c>
      <c r="B143" s="321">
        <v>227</v>
      </c>
      <c r="C143" s="336" t="s">
        <v>408</v>
      </c>
      <c r="D143" s="336"/>
      <c r="E143" s="323">
        <f>'[1]road inventory 2018'!C101</f>
        <v>7.2</v>
      </c>
      <c r="F143" s="323">
        <v>0</v>
      </c>
      <c r="G143" s="323">
        <v>0</v>
      </c>
      <c r="H143" s="323">
        <v>0</v>
      </c>
      <c r="I143" s="323">
        <v>7.2</v>
      </c>
      <c r="J143" s="325" t="s">
        <v>33</v>
      </c>
      <c r="K143" s="323">
        <f t="shared" si="5"/>
        <v>7.2</v>
      </c>
      <c r="L143" s="326" t="s">
        <v>409</v>
      </c>
      <c r="M143" s="363"/>
      <c r="N143" s="328"/>
    </row>
    <row r="144" spans="1:15" ht="20.149999999999999" customHeight="1" x14ac:dyDescent="0.35">
      <c r="A144" s="329">
        <v>10</v>
      </c>
      <c r="B144" s="321">
        <v>100</v>
      </c>
      <c r="C144" s="336" t="s">
        <v>50</v>
      </c>
      <c r="D144" s="336"/>
      <c r="E144" s="323">
        <f>'[1]road inventory 2018'!C102</f>
        <v>7.8</v>
      </c>
      <c r="F144" s="323">
        <v>2</v>
      </c>
      <c r="G144" s="323">
        <v>0</v>
      </c>
      <c r="H144" s="323">
        <v>0</v>
      </c>
      <c r="I144" s="323">
        <v>5.8</v>
      </c>
      <c r="J144" s="325" t="s">
        <v>41</v>
      </c>
      <c r="K144" s="323">
        <f t="shared" si="5"/>
        <v>7.8</v>
      </c>
      <c r="L144" s="326" t="s">
        <v>410</v>
      </c>
      <c r="M144" s="363"/>
      <c r="N144" s="328">
        <v>2</v>
      </c>
    </row>
    <row r="145" spans="1:15" s="317" customFormat="1" ht="20.149999999999999" customHeight="1" x14ac:dyDescent="0.35">
      <c r="B145" s="373"/>
      <c r="C145" s="374" t="s">
        <v>341</v>
      </c>
      <c r="D145" s="374"/>
      <c r="E145" s="375">
        <f>SUM(E135:E144)</f>
        <v>54.099999999999994</v>
      </c>
      <c r="F145" s="375">
        <f>SUM(F135:F144)</f>
        <v>15.850000000000001</v>
      </c>
      <c r="G145" s="375">
        <f>SUM(G135:G144)</f>
        <v>0</v>
      </c>
      <c r="H145" s="375">
        <f>SUM(H135:H144)</f>
        <v>0</v>
      </c>
      <c r="I145" s="375">
        <f>SUM(I135:I144)</f>
        <v>38.25</v>
      </c>
      <c r="J145" s="376"/>
      <c r="K145" s="375"/>
      <c r="L145" s="372"/>
      <c r="M145" s="453"/>
      <c r="N145" s="377"/>
      <c r="O145" s="320"/>
    </row>
    <row r="146" spans="1:15" ht="20.149999999999999" customHeight="1" x14ac:dyDescent="0.35">
      <c r="B146" s="321"/>
      <c r="C146" s="330"/>
      <c r="D146" s="330"/>
      <c r="E146" s="323"/>
      <c r="F146" s="323"/>
      <c r="G146" s="323"/>
      <c r="H146" s="323"/>
      <c r="I146" s="323"/>
      <c r="J146" s="325"/>
      <c r="K146" s="323"/>
      <c r="L146" s="326"/>
      <c r="M146" s="363"/>
      <c r="N146" s="328"/>
      <c r="O146" s="331"/>
    </row>
    <row r="147" spans="1:15" s="317" customFormat="1" ht="20.149999999999999" customHeight="1" x14ac:dyDescent="0.35">
      <c r="B147" s="391" t="s">
        <v>579</v>
      </c>
      <c r="C147" s="378"/>
      <c r="D147" s="378"/>
      <c r="E147" s="375"/>
      <c r="F147" s="375"/>
      <c r="G147" s="375"/>
      <c r="H147" s="375"/>
      <c r="I147" s="375"/>
      <c r="J147" s="376"/>
      <c r="K147" s="375"/>
      <c r="L147" s="378"/>
      <c r="M147" s="453"/>
      <c r="N147" s="377"/>
      <c r="O147" s="320"/>
    </row>
    <row r="148" spans="1:15" ht="20.149999999999999" customHeight="1" x14ac:dyDescent="0.35">
      <c r="A148" s="329">
        <v>1</v>
      </c>
      <c r="B148" s="321">
        <v>214</v>
      </c>
      <c r="C148" s="336" t="s">
        <v>580</v>
      </c>
      <c r="D148" s="336"/>
      <c r="E148" s="323">
        <f>'[1]road inventory 2018'!C318</f>
        <v>4.5</v>
      </c>
      <c r="F148" s="337">
        <v>0.7</v>
      </c>
      <c r="G148" s="337">
        <v>0</v>
      </c>
      <c r="H148" s="337">
        <v>0</v>
      </c>
      <c r="I148" s="323">
        <v>3.8</v>
      </c>
      <c r="J148" s="325" t="s">
        <v>12</v>
      </c>
      <c r="K148" s="323">
        <f>SUM(F148:I148)</f>
        <v>4.5</v>
      </c>
      <c r="L148" s="326" t="s">
        <v>581</v>
      </c>
      <c r="M148" s="363"/>
      <c r="N148" s="328"/>
    </row>
    <row r="149" spans="1:15" ht="20.149999999999999" customHeight="1" x14ac:dyDescent="0.35">
      <c r="A149" s="329">
        <v>2</v>
      </c>
      <c r="B149" s="321">
        <v>212</v>
      </c>
      <c r="C149" s="336" t="s">
        <v>582</v>
      </c>
      <c r="D149" s="336"/>
      <c r="E149" s="323">
        <f>'[1]road inventory 2018'!C319</f>
        <v>2.75</v>
      </c>
      <c r="F149" s="337">
        <v>2.6</v>
      </c>
      <c r="G149" s="337">
        <v>0</v>
      </c>
      <c r="H149" s="337">
        <v>0</v>
      </c>
      <c r="I149" s="323">
        <v>0.15</v>
      </c>
      <c r="J149" s="325" t="s">
        <v>12</v>
      </c>
      <c r="K149" s="323">
        <f>SUM(F149:I149)</f>
        <v>2.75</v>
      </c>
      <c r="L149" s="326" t="s">
        <v>528</v>
      </c>
      <c r="M149" s="363"/>
      <c r="N149" s="328"/>
    </row>
    <row r="150" spans="1:15" s="317" customFormat="1" ht="20.149999999999999" customHeight="1" x14ac:dyDescent="0.35">
      <c r="B150" s="357"/>
      <c r="C150" s="322" t="s">
        <v>341</v>
      </c>
      <c r="D150" s="322"/>
      <c r="E150" s="324">
        <f>SUM(E148:E149)</f>
        <v>7.25</v>
      </c>
      <c r="F150" s="324">
        <f>SUM(F148:F149)</f>
        <v>3.3</v>
      </c>
      <c r="G150" s="324">
        <f>SUM(G148:G149)</f>
        <v>0</v>
      </c>
      <c r="H150" s="324">
        <f>SUM(H148:H149)</f>
        <v>0</v>
      </c>
      <c r="I150" s="324">
        <f>SUM(I148:I149)</f>
        <v>3.9499999999999997</v>
      </c>
      <c r="J150" s="358"/>
      <c r="K150" s="324"/>
      <c r="L150" s="359"/>
      <c r="M150" s="456"/>
      <c r="N150" s="334"/>
      <c r="O150" s="320"/>
    </row>
    <row r="151" spans="1:15" ht="15" customHeight="1" x14ac:dyDescent="0.35">
      <c r="B151" s="321"/>
      <c r="C151" s="330"/>
      <c r="D151" s="330"/>
      <c r="E151" s="323"/>
      <c r="F151" s="323"/>
      <c r="G151" s="323"/>
      <c r="H151" s="323"/>
      <c r="I151" s="323"/>
      <c r="J151" s="325"/>
      <c r="K151" s="323"/>
      <c r="L151" s="326"/>
      <c r="M151" s="363"/>
      <c r="N151" s="328"/>
      <c r="O151" s="331"/>
    </row>
    <row r="152" spans="1:15" s="317" customFormat="1" ht="20.149999999999999" customHeight="1" x14ac:dyDescent="0.35">
      <c r="B152" s="390" t="s">
        <v>526</v>
      </c>
      <c r="C152" s="378"/>
      <c r="D152" s="378"/>
      <c r="E152" s="375"/>
      <c r="F152" s="392"/>
      <c r="G152" s="392"/>
      <c r="H152" s="392"/>
      <c r="I152" s="375"/>
      <c r="J152" s="376"/>
      <c r="K152" s="375"/>
      <c r="L152" s="378"/>
      <c r="M152" s="453"/>
      <c r="N152" s="377"/>
    </row>
    <row r="153" spans="1:15" ht="20.149999999999999" customHeight="1" x14ac:dyDescent="0.35">
      <c r="A153" s="329">
        <v>1</v>
      </c>
      <c r="B153" s="321">
        <v>160</v>
      </c>
      <c r="C153" s="336" t="s">
        <v>527</v>
      </c>
      <c r="D153" s="336"/>
      <c r="E153" s="323">
        <f>'[1]road inventory 2018'!C266</f>
        <v>28</v>
      </c>
      <c r="F153" s="323">
        <f>7.25+2.494</f>
        <v>9.7439999999999998</v>
      </c>
      <c r="G153" s="323">
        <v>0</v>
      </c>
      <c r="H153" s="323">
        <v>0</v>
      </c>
      <c r="I153" s="323">
        <v>18.256</v>
      </c>
      <c r="J153" s="325" t="s">
        <v>33</v>
      </c>
      <c r="K153" s="323">
        <f t="shared" ref="K153:K163" si="6">SUM(F153:I153)</f>
        <v>28</v>
      </c>
      <c r="L153" s="326" t="s">
        <v>528</v>
      </c>
      <c r="M153" s="363"/>
      <c r="N153" s="328">
        <v>9.7439999999999998</v>
      </c>
    </row>
    <row r="154" spans="1:15" ht="20.149999999999999" customHeight="1" x14ac:dyDescent="0.35">
      <c r="A154" s="329">
        <v>2</v>
      </c>
      <c r="B154" s="321">
        <v>161</v>
      </c>
      <c r="C154" s="336" t="s">
        <v>529</v>
      </c>
      <c r="D154" s="336"/>
      <c r="E154" s="323">
        <f>'[1]road inventory 2018'!C267</f>
        <v>1.8</v>
      </c>
      <c r="F154" s="323">
        <v>1.8</v>
      </c>
      <c r="G154" s="323">
        <v>0</v>
      </c>
      <c r="H154" s="323">
        <v>0</v>
      </c>
      <c r="I154" s="323">
        <v>0</v>
      </c>
      <c r="J154" s="325" t="s">
        <v>12</v>
      </c>
      <c r="K154" s="323">
        <f t="shared" si="6"/>
        <v>1.8</v>
      </c>
      <c r="L154" s="326" t="s">
        <v>528</v>
      </c>
      <c r="M154" s="363"/>
      <c r="N154" s="328"/>
    </row>
    <row r="155" spans="1:15" ht="20.149999999999999" customHeight="1" x14ac:dyDescent="0.35">
      <c r="A155" s="329">
        <v>3</v>
      </c>
      <c r="B155" s="321">
        <v>162</v>
      </c>
      <c r="C155" s="336" t="s">
        <v>530</v>
      </c>
      <c r="D155" s="336"/>
      <c r="E155" s="323">
        <f>'[1]road inventory 2018'!C268</f>
        <v>1.9</v>
      </c>
      <c r="F155" s="323">
        <v>0</v>
      </c>
      <c r="G155" s="323">
        <v>0</v>
      </c>
      <c r="H155" s="323">
        <v>0</v>
      </c>
      <c r="I155" s="323">
        <v>1.9</v>
      </c>
      <c r="J155" s="325" t="s">
        <v>33</v>
      </c>
      <c r="K155" s="323">
        <f t="shared" si="6"/>
        <v>1.9</v>
      </c>
      <c r="L155" s="326" t="s">
        <v>531</v>
      </c>
      <c r="M155" s="363"/>
      <c r="N155" s="328"/>
    </row>
    <row r="156" spans="1:15" ht="20.149999999999999" customHeight="1" x14ac:dyDescent="0.35">
      <c r="A156" s="329">
        <v>4</v>
      </c>
      <c r="B156" s="321">
        <v>163</v>
      </c>
      <c r="C156" s="336" t="s">
        <v>532</v>
      </c>
      <c r="D156" s="336"/>
      <c r="E156" s="323">
        <f>'[1]road inventory 2018'!C269</f>
        <v>9</v>
      </c>
      <c r="F156" s="323">
        <v>0.65</v>
      </c>
      <c r="G156" s="323">
        <v>0</v>
      </c>
      <c r="H156" s="323">
        <v>0</v>
      </c>
      <c r="I156" s="323">
        <v>8.35</v>
      </c>
      <c r="J156" s="325" t="s">
        <v>33</v>
      </c>
      <c r="K156" s="323">
        <f t="shared" si="6"/>
        <v>9</v>
      </c>
      <c r="L156" s="326" t="s">
        <v>533</v>
      </c>
      <c r="M156" s="363"/>
      <c r="N156" s="328"/>
    </row>
    <row r="157" spans="1:15" ht="20.149999999999999" customHeight="1" x14ac:dyDescent="0.35">
      <c r="A157" s="329">
        <v>5</v>
      </c>
      <c r="B157" s="321">
        <v>164</v>
      </c>
      <c r="C157" s="336" t="s">
        <v>534</v>
      </c>
      <c r="D157" s="336"/>
      <c r="E157" s="323">
        <f>'[1]road inventory 2018'!C270</f>
        <v>2.2000000000000002</v>
      </c>
      <c r="F157" s="323">
        <v>0</v>
      </c>
      <c r="G157" s="323">
        <v>0</v>
      </c>
      <c r="H157" s="323">
        <v>0</v>
      </c>
      <c r="I157" s="323">
        <v>2.2000000000000002</v>
      </c>
      <c r="J157" s="325" t="s">
        <v>33</v>
      </c>
      <c r="K157" s="323">
        <f t="shared" si="6"/>
        <v>2.2000000000000002</v>
      </c>
      <c r="L157" s="326" t="s">
        <v>535</v>
      </c>
      <c r="M157" s="363"/>
      <c r="N157" s="328"/>
    </row>
    <row r="158" spans="1:15" ht="20.149999999999999" customHeight="1" x14ac:dyDescent="0.35">
      <c r="A158" s="329">
        <v>6</v>
      </c>
      <c r="B158" s="321">
        <v>165</v>
      </c>
      <c r="C158" s="336" t="s">
        <v>536</v>
      </c>
      <c r="D158" s="336"/>
      <c r="E158" s="323">
        <f>'[1]road inventory 2018'!C271</f>
        <v>3.5</v>
      </c>
      <c r="F158" s="323">
        <v>0</v>
      </c>
      <c r="G158" s="323">
        <v>0</v>
      </c>
      <c r="H158" s="323">
        <v>0</v>
      </c>
      <c r="I158" s="323">
        <v>3.5</v>
      </c>
      <c r="J158" s="325" t="s">
        <v>33</v>
      </c>
      <c r="K158" s="323">
        <f t="shared" si="6"/>
        <v>3.5</v>
      </c>
      <c r="L158" s="326" t="s">
        <v>537</v>
      </c>
      <c r="M158" s="363"/>
      <c r="N158" s="328"/>
    </row>
    <row r="159" spans="1:15" ht="20.149999999999999" customHeight="1" x14ac:dyDescent="0.35">
      <c r="A159" s="329">
        <v>7</v>
      </c>
      <c r="B159" s="321">
        <v>166</v>
      </c>
      <c r="C159" s="336" t="s">
        <v>538</v>
      </c>
      <c r="D159" s="336"/>
      <c r="E159" s="323">
        <f>'[1]road inventory 2018'!C272</f>
        <v>2.8</v>
      </c>
      <c r="F159" s="323">
        <v>0</v>
      </c>
      <c r="G159" s="323">
        <v>0</v>
      </c>
      <c r="H159" s="323">
        <v>0</v>
      </c>
      <c r="I159" s="323">
        <v>2.8</v>
      </c>
      <c r="J159" s="325" t="s">
        <v>12</v>
      </c>
      <c r="K159" s="323">
        <f t="shared" si="6"/>
        <v>2.8</v>
      </c>
      <c r="L159" s="326" t="s">
        <v>539</v>
      </c>
      <c r="M159" s="363"/>
      <c r="N159" s="328"/>
    </row>
    <row r="160" spans="1:15" ht="20.149999999999999" customHeight="1" x14ac:dyDescent="0.35">
      <c r="A160" s="329">
        <v>8</v>
      </c>
      <c r="B160" s="321">
        <v>167</v>
      </c>
      <c r="C160" s="336" t="s">
        <v>540</v>
      </c>
      <c r="D160" s="336"/>
      <c r="E160" s="323">
        <f>'[1]road inventory 2018'!C273</f>
        <v>5.5</v>
      </c>
      <c r="F160" s="323">
        <v>0</v>
      </c>
      <c r="G160" s="323">
        <v>0</v>
      </c>
      <c r="H160" s="323">
        <v>0</v>
      </c>
      <c r="I160" s="323">
        <v>5.5</v>
      </c>
      <c r="J160" s="325" t="s">
        <v>12</v>
      </c>
      <c r="K160" s="323">
        <f t="shared" si="6"/>
        <v>5.5</v>
      </c>
      <c r="L160" s="326" t="s">
        <v>541</v>
      </c>
      <c r="M160" s="363"/>
      <c r="N160" s="328"/>
    </row>
    <row r="161" spans="1:15" ht="20.149999999999999" customHeight="1" x14ac:dyDescent="0.35">
      <c r="A161" s="329">
        <v>9</v>
      </c>
      <c r="B161" s="321">
        <v>168</v>
      </c>
      <c r="C161" s="336" t="s">
        <v>542</v>
      </c>
      <c r="D161" s="336"/>
      <c r="E161" s="323">
        <f>'[1]road inventory 2018'!C274</f>
        <v>2.8</v>
      </c>
      <c r="F161" s="323">
        <v>0</v>
      </c>
      <c r="G161" s="323">
        <v>0</v>
      </c>
      <c r="H161" s="323">
        <v>0</v>
      </c>
      <c r="I161" s="323">
        <v>2.8</v>
      </c>
      <c r="J161" s="325" t="s">
        <v>33</v>
      </c>
      <c r="K161" s="323">
        <f t="shared" si="6"/>
        <v>2.8</v>
      </c>
      <c r="L161" s="326" t="s">
        <v>543</v>
      </c>
      <c r="M161" s="363"/>
      <c r="N161" s="328"/>
    </row>
    <row r="162" spans="1:15" ht="20.149999999999999" customHeight="1" x14ac:dyDescent="0.35">
      <c r="A162" s="329">
        <v>10</v>
      </c>
      <c r="B162" s="321">
        <v>170</v>
      </c>
      <c r="C162" s="336" t="s">
        <v>544</v>
      </c>
      <c r="D162" s="336"/>
      <c r="E162" s="323">
        <f>'[1]road inventory 2018'!C275</f>
        <v>1.3</v>
      </c>
      <c r="F162" s="323">
        <v>0</v>
      </c>
      <c r="G162" s="323">
        <v>0</v>
      </c>
      <c r="H162" s="323">
        <v>0</v>
      </c>
      <c r="I162" s="323">
        <v>1.3</v>
      </c>
      <c r="J162" s="325" t="s">
        <v>33</v>
      </c>
      <c r="K162" s="323">
        <f t="shared" si="6"/>
        <v>1.3</v>
      </c>
      <c r="L162" s="326" t="s">
        <v>533</v>
      </c>
      <c r="M162" s="363"/>
      <c r="N162" s="328"/>
    </row>
    <row r="163" spans="1:15" ht="20.149999999999999" customHeight="1" x14ac:dyDescent="0.35">
      <c r="A163" s="329">
        <v>11</v>
      </c>
      <c r="B163" s="321">
        <v>169</v>
      </c>
      <c r="C163" s="336" t="s">
        <v>545</v>
      </c>
      <c r="D163" s="336"/>
      <c r="E163" s="323">
        <f>'[1]road inventory 2018'!C276</f>
        <v>3.2</v>
      </c>
      <c r="F163" s="323">
        <v>0</v>
      </c>
      <c r="G163" s="323">
        <v>0</v>
      </c>
      <c r="H163" s="323">
        <v>0</v>
      </c>
      <c r="I163" s="323">
        <v>3.2</v>
      </c>
      <c r="J163" s="325" t="s">
        <v>41</v>
      </c>
      <c r="K163" s="323">
        <f t="shared" si="6"/>
        <v>3.2</v>
      </c>
      <c r="L163" s="326" t="s">
        <v>546</v>
      </c>
      <c r="M163" s="363"/>
      <c r="N163" s="328"/>
    </row>
    <row r="164" spans="1:15" s="317" customFormat="1" ht="20.149999999999999" customHeight="1" x14ac:dyDescent="0.35">
      <c r="B164" s="373"/>
      <c r="C164" s="374" t="s">
        <v>341</v>
      </c>
      <c r="D164" s="374"/>
      <c r="E164" s="375">
        <f>SUM(E153:E163)</f>
        <v>62</v>
      </c>
      <c r="F164" s="375">
        <f>SUM(F153:F163)</f>
        <v>12.194000000000001</v>
      </c>
      <c r="G164" s="375">
        <f>SUM(G153:G163)</f>
        <v>0</v>
      </c>
      <c r="H164" s="375">
        <f>SUM(H153:H163)</f>
        <v>0</v>
      </c>
      <c r="I164" s="375">
        <f>SUM(I153:I163)</f>
        <v>49.805999999999997</v>
      </c>
      <c r="J164" s="376"/>
      <c r="K164" s="375"/>
      <c r="L164" s="372"/>
      <c r="M164" s="453"/>
      <c r="N164" s="377"/>
      <c r="O164" s="320"/>
    </row>
    <row r="165" spans="1:15" ht="20.149999999999999" customHeight="1" x14ac:dyDescent="0.35">
      <c r="B165" s="321"/>
      <c r="C165" s="330"/>
      <c r="D165" s="330"/>
      <c r="E165" s="323"/>
      <c r="F165" s="323"/>
      <c r="G165" s="323"/>
      <c r="H165" s="323"/>
      <c r="I165" s="323"/>
      <c r="J165" s="325"/>
      <c r="K165" s="323"/>
      <c r="L165" s="326"/>
      <c r="M165" s="363"/>
      <c r="N165" s="328"/>
      <c r="O165" s="331"/>
    </row>
    <row r="166" spans="1:15" s="317" customFormat="1" ht="20.149999999999999" customHeight="1" x14ac:dyDescent="0.35">
      <c r="B166" s="390" t="s">
        <v>596</v>
      </c>
      <c r="C166" s="378"/>
      <c r="D166" s="378"/>
      <c r="E166" s="375"/>
      <c r="F166" s="375"/>
      <c r="G166" s="375"/>
      <c r="H166" s="375"/>
      <c r="I166" s="375"/>
      <c r="J166" s="376"/>
      <c r="K166" s="375"/>
      <c r="L166" s="378"/>
      <c r="M166" s="453"/>
      <c r="N166" s="377"/>
    </row>
    <row r="167" spans="1:15" ht="20.149999999999999" customHeight="1" x14ac:dyDescent="0.35">
      <c r="A167" s="329">
        <v>1</v>
      </c>
      <c r="B167" s="321">
        <v>187</v>
      </c>
      <c r="C167" s="336" t="s">
        <v>597</v>
      </c>
      <c r="D167" s="336"/>
      <c r="E167" s="325">
        <f>'[1]road inventory 2018'!C345</f>
        <v>0.504</v>
      </c>
      <c r="F167" s="323">
        <v>0.504</v>
      </c>
      <c r="G167" s="323">
        <v>0</v>
      </c>
      <c r="H167" s="323">
        <v>0</v>
      </c>
      <c r="I167" s="323">
        <v>0</v>
      </c>
      <c r="J167" s="326" t="s">
        <v>12</v>
      </c>
      <c r="K167" s="323">
        <f t="shared" ref="K167:K174" si="7">SUM(F167:I167)</f>
        <v>0.504</v>
      </c>
      <c r="L167" s="326"/>
      <c r="M167" s="452" t="s">
        <v>745</v>
      </c>
    </row>
    <row r="168" spans="1:15" ht="20.149999999999999" customHeight="1" x14ac:dyDescent="0.35">
      <c r="A168" s="329">
        <v>2</v>
      </c>
      <c r="B168" s="321">
        <v>188</v>
      </c>
      <c r="C168" s="336" t="s">
        <v>598</v>
      </c>
      <c r="D168" s="336"/>
      <c r="E168" s="325">
        <f>'[1]road inventory 2018'!C346</f>
        <v>0.158</v>
      </c>
      <c r="F168" s="323">
        <v>0.158</v>
      </c>
      <c r="G168" s="323">
        <v>0</v>
      </c>
      <c r="H168" s="323">
        <v>0</v>
      </c>
      <c r="I168" s="323">
        <v>0</v>
      </c>
      <c r="J168" s="326" t="s">
        <v>12</v>
      </c>
      <c r="K168" s="323">
        <f t="shared" si="7"/>
        <v>0.158</v>
      </c>
      <c r="L168" s="326"/>
    </row>
    <row r="169" spans="1:15" ht="20.149999999999999" customHeight="1" x14ac:dyDescent="0.35">
      <c r="A169" s="329">
        <v>3</v>
      </c>
      <c r="B169" s="321">
        <v>189</v>
      </c>
      <c r="C169" s="336" t="s">
        <v>599</v>
      </c>
      <c r="D169" s="336"/>
      <c r="E169" s="325">
        <f>'[1]road inventory 2018'!C347</f>
        <v>0.74199999999999999</v>
      </c>
      <c r="F169" s="323">
        <v>0.74199999999999999</v>
      </c>
      <c r="G169" s="323">
        <v>0</v>
      </c>
      <c r="H169" s="323">
        <v>0</v>
      </c>
      <c r="I169" s="323">
        <v>0</v>
      </c>
      <c r="J169" s="326" t="s">
        <v>12</v>
      </c>
      <c r="K169" s="323">
        <f t="shared" si="7"/>
        <v>0.74199999999999999</v>
      </c>
      <c r="L169" s="326"/>
    </row>
    <row r="170" spans="1:15" ht="20.149999999999999" customHeight="1" x14ac:dyDescent="0.35">
      <c r="A170" s="329">
        <v>4</v>
      </c>
      <c r="B170" s="321">
        <v>185</v>
      </c>
      <c r="C170" s="336" t="s">
        <v>600</v>
      </c>
      <c r="D170" s="336"/>
      <c r="E170" s="325">
        <v>7.6</v>
      </c>
      <c r="F170" s="323">
        <v>0</v>
      </c>
      <c r="G170" s="323">
        <v>0</v>
      </c>
      <c r="H170" s="323">
        <v>0</v>
      </c>
      <c r="I170" s="323">
        <v>7.6</v>
      </c>
      <c r="J170" s="326" t="s">
        <v>10</v>
      </c>
      <c r="K170" s="323">
        <f t="shared" si="7"/>
        <v>7.6</v>
      </c>
      <c r="L170" s="326"/>
    </row>
    <row r="171" spans="1:15" ht="20.149999999999999" customHeight="1" x14ac:dyDescent="0.35">
      <c r="A171" s="329">
        <v>5</v>
      </c>
      <c r="B171" s="321">
        <v>186</v>
      </c>
      <c r="C171" s="336" t="s">
        <v>601</v>
      </c>
      <c r="D171" s="336"/>
      <c r="E171" s="325">
        <f>'[1]road inventory 2018'!C349</f>
        <v>10.5</v>
      </c>
      <c r="F171" s="323">
        <v>0</v>
      </c>
      <c r="G171" s="323">
        <v>0</v>
      </c>
      <c r="H171" s="323">
        <v>0</v>
      </c>
      <c r="I171" s="323">
        <v>10.5</v>
      </c>
      <c r="J171" s="326" t="s">
        <v>12</v>
      </c>
      <c r="K171" s="323">
        <f t="shared" si="7"/>
        <v>10.5</v>
      </c>
      <c r="L171" s="326"/>
    </row>
    <row r="172" spans="1:15" ht="20.149999999999999" customHeight="1" x14ac:dyDescent="0.35">
      <c r="A172" s="329">
        <v>6</v>
      </c>
      <c r="B172" s="321">
        <v>190</v>
      </c>
      <c r="C172" s="336" t="s">
        <v>602</v>
      </c>
      <c r="D172" s="336"/>
      <c r="E172" s="325">
        <f>'[1]road inventory 2018'!C350</f>
        <v>17.5</v>
      </c>
      <c r="F172" s="323">
        <v>0</v>
      </c>
      <c r="G172" s="323">
        <v>0</v>
      </c>
      <c r="H172" s="323">
        <v>0</v>
      </c>
      <c r="I172" s="323">
        <v>17.5</v>
      </c>
      <c r="J172" s="326" t="s">
        <v>12</v>
      </c>
      <c r="K172" s="323">
        <f t="shared" si="7"/>
        <v>17.5</v>
      </c>
      <c r="L172" s="326"/>
    </row>
    <row r="173" spans="1:15" ht="20.149999999999999" customHeight="1" x14ac:dyDescent="0.35">
      <c r="A173" s="329">
        <v>7</v>
      </c>
      <c r="B173" s="321">
        <v>191</v>
      </c>
      <c r="C173" s="336" t="s">
        <v>603</v>
      </c>
      <c r="D173" s="336"/>
      <c r="E173" s="325">
        <f>'[1]road inventory 2018'!C351</f>
        <v>3.5</v>
      </c>
      <c r="F173" s="323">
        <v>0</v>
      </c>
      <c r="G173" s="323">
        <v>0</v>
      </c>
      <c r="H173" s="323">
        <v>0</v>
      </c>
      <c r="I173" s="323">
        <v>3.5</v>
      </c>
      <c r="J173" s="326" t="s">
        <v>12</v>
      </c>
      <c r="K173" s="323">
        <f t="shared" si="7"/>
        <v>3.5</v>
      </c>
      <c r="L173" s="326"/>
    </row>
    <row r="174" spans="1:15" ht="20.149999999999999" customHeight="1" x14ac:dyDescent="0.35">
      <c r="A174" s="329">
        <v>8</v>
      </c>
      <c r="B174" s="321">
        <v>230</v>
      </c>
      <c r="C174" s="336" t="s">
        <v>604</v>
      </c>
      <c r="D174" s="336"/>
      <c r="E174" s="325">
        <f>'[1]road inventory 2018'!C352</f>
        <v>1.58</v>
      </c>
      <c r="F174" s="323">
        <v>0</v>
      </c>
      <c r="G174" s="323">
        <v>0</v>
      </c>
      <c r="H174" s="323">
        <v>0</v>
      </c>
      <c r="I174" s="323">
        <v>1.58</v>
      </c>
      <c r="J174" s="326" t="s">
        <v>41</v>
      </c>
      <c r="K174" s="323">
        <f t="shared" si="7"/>
        <v>1.58</v>
      </c>
      <c r="L174" s="326"/>
    </row>
    <row r="175" spans="1:15" s="317" customFormat="1" ht="20.149999999999999" customHeight="1" x14ac:dyDescent="0.35">
      <c r="B175" s="373"/>
      <c r="C175" s="374" t="s">
        <v>341</v>
      </c>
      <c r="D175" s="374"/>
      <c r="E175" s="375">
        <f>SUM(E167:E174)</f>
        <v>42.083999999999996</v>
      </c>
      <c r="F175" s="375">
        <f>SUM(F167:F174)</f>
        <v>1.4039999999999999</v>
      </c>
      <c r="G175" s="375">
        <f>SUM(G167:G174)</f>
        <v>0</v>
      </c>
      <c r="H175" s="375">
        <f>SUM(H167:H174)</f>
        <v>0</v>
      </c>
      <c r="I175" s="375">
        <f>SUM(I167:I174)</f>
        <v>40.68</v>
      </c>
      <c r="J175" s="376"/>
      <c r="K175" s="375"/>
      <c r="L175" s="372"/>
      <c r="M175" s="453"/>
      <c r="N175" s="377"/>
      <c r="O175" s="320"/>
    </row>
    <row r="176" spans="1:15" ht="20.149999999999999" customHeight="1" x14ac:dyDescent="0.35">
      <c r="B176" s="321"/>
      <c r="C176" s="330"/>
      <c r="D176" s="330"/>
      <c r="E176" s="323"/>
      <c r="F176" s="323"/>
      <c r="G176" s="323"/>
      <c r="H176" s="323"/>
      <c r="I176" s="323"/>
      <c r="J176" s="325"/>
      <c r="K176" s="323"/>
      <c r="L176" s="326"/>
      <c r="M176" s="363"/>
      <c r="N176" s="328"/>
      <c r="O176" s="331"/>
    </row>
    <row r="177" spans="1:19" s="317" customFormat="1" ht="20.149999999999999" customHeight="1" x14ac:dyDescent="0.35">
      <c r="B177" s="390" t="s">
        <v>734</v>
      </c>
      <c r="C177" s="378"/>
      <c r="D177" s="378"/>
      <c r="E177" s="376"/>
      <c r="F177" s="375"/>
      <c r="G177" s="375"/>
      <c r="H177" s="375"/>
      <c r="I177" s="375"/>
      <c r="J177" s="372"/>
      <c r="K177" s="375"/>
      <c r="L177" s="400"/>
      <c r="M177" s="457"/>
      <c r="N177" s="401"/>
    </row>
    <row r="178" spans="1:19" ht="20.149999999999999" customHeight="1" x14ac:dyDescent="0.35">
      <c r="A178" s="329">
        <v>1</v>
      </c>
      <c r="B178" s="321">
        <v>171</v>
      </c>
      <c r="C178" s="336" t="s">
        <v>611</v>
      </c>
      <c r="D178" s="336"/>
      <c r="E178" s="323">
        <v>8.7409999999999997</v>
      </c>
      <c r="F178" s="323">
        <v>1.18</v>
      </c>
      <c r="G178" s="323">
        <v>0</v>
      </c>
      <c r="H178" s="323">
        <v>0</v>
      </c>
      <c r="I178" s="323">
        <v>7.5609999999999999</v>
      </c>
      <c r="J178" s="325" t="s">
        <v>12</v>
      </c>
      <c r="K178" s="323">
        <f>SUM(F178:I178)</f>
        <v>8.7409999999999997</v>
      </c>
      <c r="L178" s="326"/>
      <c r="M178" s="363"/>
      <c r="N178" s="328"/>
    </row>
    <row r="179" spans="1:19" s="317" customFormat="1" ht="20.149999999999999" customHeight="1" x14ac:dyDescent="0.35">
      <c r="B179" s="373"/>
      <c r="C179" s="374" t="s">
        <v>341</v>
      </c>
      <c r="D179" s="374"/>
      <c r="E179" s="375">
        <f>SUM(E178)</f>
        <v>8.7409999999999997</v>
      </c>
      <c r="F179" s="375">
        <f>SUM(F178)</f>
        <v>1.18</v>
      </c>
      <c r="G179" s="375">
        <f>SUM(G178)</f>
        <v>0</v>
      </c>
      <c r="H179" s="375">
        <f>SUM(H178)</f>
        <v>0</v>
      </c>
      <c r="I179" s="375">
        <f>SUM(I178)</f>
        <v>7.5609999999999999</v>
      </c>
      <c r="J179" s="376"/>
      <c r="K179" s="375"/>
      <c r="L179" s="372"/>
      <c r="M179" s="453"/>
      <c r="N179" s="377"/>
      <c r="O179" s="320"/>
    </row>
    <row r="180" spans="1:19" ht="20.149999999999999" customHeight="1" x14ac:dyDescent="0.35">
      <c r="B180" s="321"/>
      <c r="C180" s="330"/>
      <c r="D180" s="330"/>
      <c r="E180" s="323"/>
      <c r="F180" s="323"/>
      <c r="G180" s="323"/>
      <c r="H180" s="323"/>
      <c r="I180" s="323"/>
      <c r="J180" s="325"/>
      <c r="K180" s="323"/>
      <c r="L180" s="326"/>
      <c r="M180" s="363"/>
      <c r="N180" s="328"/>
      <c r="O180" s="331"/>
    </row>
    <row r="181" spans="1:19" s="317" customFormat="1" ht="20.149999999999999" customHeight="1" x14ac:dyDescent="0.35">
      <c r="B181" s="390" t="s">
        <v>583</v>
      </c>
      <c r="C181" s="378"/>
      <c r="D181" s="378"/>
      <c r="E181" s="375"/>
      <c r="F181" s="375"/>
      <c r="G181" s="375"/>
      <c r="H181" s="375"/>
      <c r="I181" s="375"/>
      <c r="J181" s="376"/>
      <c r="K181" s="375"/>
      <c r="L181" s="400"/>
      <c r="M181" s="453"/>
      <c r="N181" s="377"/>
    </row>
    <row r="182" spans="1:19" ht="20.149999999999999" customHeight="1" x14ac:dyDescent="0.35">
      <c r="A182" s="329">
        <v>1</v>
      </c>
      <c r="B182" s="321">
        <v>173</v>
      </c>
      <c r="C182" s="336" t="s">
        <v>584</v>
      </c>
      <c r="D182" s="336"/>
      <c r="E182" s="323">
        <f>'[1]road inventory 2018'!C326</f>
        <v>1.5</v>
      </c>
      <c r="F182" s="323">
        <v>1.5</v>
      </c>
      <c r="G182" s="323">
        <v>0</v>
      </c>
      <c r="H182" s="323">
        <v>0</v>
      </c>
      <c r="I182" s="323">
        <v>0</v>
      </c>
      <c r="J182" s="325" t="s">
        <v>10</v>
      </c>
      <c r="K182" s="323">
        <f t="shared" ref="K182:K194" si="8">SUM(F182:I182)</f>
        <v>1.5</v>
      </c>
      <c r="L182" s="326"/>
      <c r="M182" s="363"/>
      <c r="N182" s="328"/>
    </row>
    <row r="183" spans="1:19" ht="20.149999999999999" customHeight="1" x14ac:dyDescent="0.35">
      <c r="A183" s="329">
        <v>2</v>
      </c>
      <c r="B183" s="321">
        <v>174</v>
      </c>
      <c r="C183" s="336" t="s">
        <v>585</v>
      </c>
      <c r="D183" s="336"/>
      <c r="E183" s="323">
        <f>'[1]road inventory 2018'!C327</f>
        <v>0.2</v>
      </c>
      <c r="F183" s="323">
        <v>0.2</v>
      </c>
      <c r="G183" s="323">
        <v>0</v>
      </c>
      <c r="H183" s="323">
        <v>0</v>
      </c>
      <c r="I183" s="323">
        <v>0</v>
      </c>
      <c r="J183" s="326" t="s">
        <v>33</v>
      </c>
      <c r="K183" s="323">
        <f t="shared" si="8"/>
        <v>0.2</v>
      </c>
      <c r="L183" s="326"/>
      <c r="M183" s="363"/>
      <c r="N183" s="328"/>
    </row>
    <row r="184" spans="1:19" ht="20.149999999999999" customHeight="1" x14ac:dyDescent="0.35">
      <c r="A184" s="329">
        <v>3</v>
      </c>
      <c r="B184" s="321">
        <v>175</v>
      </c>
      <c r="C184" s="336" t="s">
        <v>586</v>
      </c>
      <c r="D184" s="336"/>
      <c r="E184" s="323">
        <f>'[1]road inventory 2018'!C328</f>
        <v>3.6</v>
      </c>
      <c r="F184" s="323">
        <v>3.31</v>
      </c>
      <c r="G184" s="323">
        <v>0</v>
      </c>
      <c r="H184" s="323">
        <v>0</v>
      </c>
      <c r="I184" s="323">
        <v>0.28999999999999998</v>
      </c>
      <c r="J184" s="326" t="s">
        <v>12</v>
      </c>
      <c r="K184" s="323">
        <f t="shared" si="8"/>
        <v>3.6</v>
      </c>
      <c r="L184" s="326"/>
      <c r="M184" s="363"/>
      <c r="N184" s="328"/>
    </row>
    <row r="185" spans="1:19" ht="20.149999999999999" customHeight="1" x14ac:dyDescent="0.35">
      <c r="A185" s="329">
        <v>4</v>
      </c>
      <c r="B185" s="321">
        <v>176</v>
      </c>
      <c r="C185" s="336" t="s">
        <v>587</v>
      </c>
      <c r="D185" s="336"/>
      <c r="E185" s="323">
        <f>'[1]road inventory 2018'!C329</f>
        <v>20.5</v>
      </c>
      <c r="F185" s="323">
        <v>5.21</v>
      </c>
      <c r="G185" s="323">
        <v>0</v>
      </c>
      <c r="H185" s="323">
        <v>0</v>
      </c>
      <c r="I185" s="323">
        <v>15.29</v>
      </c>
      <c r="J185" s="326" t="s">
        <v>12</v>
      </c>
      <c r="K185" s="323">
        <f t="shared" si="8"/>
        <v>20.5</v>
      </c>
      <c r="L185" s="326"/>
      <c r="M185" s="363"/>
      <c r="N185" s="328"/>
    </row>
    <row r="186" spans="1:19" ht="20.149999999999999" customHeight="1" x14ac:dyDescent="0.35">
      <c r="A186" s="329">
        <v>5</v>
      </c>
      <c r="B186" s="321">
        <v>177</v>
      </c>
      <c r="C186" s="336" t="s">
        <v>588</v>
      </c>
      <c r="D186" s="336"/>
      <c r="E186" s="323">
        <f>'[1]road inventory 2018'!C330</f>
        <v>13.5</v>
      </c>
      <c r="F186" s="323">
        <v>13.5</v>
      </c>
      <c r="G186" s="323">
        <v>0</v>
      </c>
      <c r="H186" s="323">
        <v>0</v>
      </c>
      <c r="I186" s="323">
        <v>0</v>
      </c>
      <c r="J186" s="325" t="s">
        <v>10</v>
      </c>
      <c r="K186" s="323">
        <f t="shared" si="8"/>
        <v>13.5</v>
      </c>
      <c r="L186" s="326"/>
      <c r="M186" s="363"/>
      <c r="N186" s="328"/>
    </row>
    <row r="187" spans="1:19" ht="20.149999999999999" customHeight="1" x14ac:dyDescent="0.35">
      <c r="A187" s="329">
        <v>6</v>
      </c>
      <c r="B187" s="321">
        <v>172</v>
      </c>
      <c r="C187" s="336" t="s">
        <v>589</v>
      </c>
      <c r="D187" s="336"/>
      <c r="E187" s="323">
        <f>'[1]road inventory 2018'!C331</f>
        <v>5.7</v>
      </c>
      <c r="F187" s="323">
        <v>1.02</v>
      </c>
      <c r="G187" s="323">
        <v>0</v>
      </c>
      <c r="H187" s="323">
        <v>3.42</v>
      </c>
      <c r="I187" s="323">
        <v>1.26</v>
      </c>
      <c r="J187" s="325" t="s">
        <v>10</v>
      </c>
      <c r="K187" s="323">
        <f t="shared" si="8"/>
        <v>5.6999999999999993</v>
      </c>
      <c r="L187" s="326"/>
      <c r="M187" s="363"/>
      <c r="N187" s="328"/>
      <c r="S187" s="331"/>
    </row>
    <row r="188" spans="1:19" ht="20.149999999999999" customHeight="1" x14ac:dyDescent="0.35">
      <c r="A188" s="329">
        <v>7</v>
      </c>
      <c r="B188" s="321">
        <v>178</v>
      </c>
      <c r="C188" s="336" t="s">
        <v>296</v>
      </c>
      <c r="D188" s="336"/>
      <c r="E188" s="323">
        <f>'[1]road inventory 2018'!C332</f>
        <v>25.54</v>
      </c>
      <c r="F188" s="323">
        <v>1.23</v>
      </c>
      <c r="G188" s="323">
        <v>0</v>
      </c>
      <c r="H188" s="323">
        <v>0</v>
      </c>
      <c r="I188" s="323">
        <v>24.31</v>
      </c>
      <c r="J188" s="326" t="s">
        <v>12</v>
      </c>
      <c r="K188" s="323">
        <f t="shared" si="8"/>
        <v>25.54</v>
      </c>
      <c r="L188" s="326"/>
      <c r="M188" s="363"/>
      <c r="N188" s="328"/>
    </row>
    <row r="189" spans="1:19" ht="20.149999999999999" customHeight="1" x14ac:dyDescent="0.35">
      <c r="A189" s="329">
        <v>8</v>
      </c>
      <c r="B189" s="321">
        <v>179</v>
      </c>
      <c r="C189" s="336" t="s">
        <v>590</v>
      </c>
      <c r="D189" s="336"/>
      <c r="E189" s="323">
        <f>'[1]road inventory 2018'!C333</f>
        <v>9.4</v>
      </c>
      <c r="F189" s="323">
        <v>0.43</v>
      </c>
      <c r="G189" s="323">
        <v>0</v>
      </c>
      <c r="H189" s="323">
        <v>0</v>
      </c>
      <c r="I189" s="323">
        <v>8.9700000000000006</v>
      </c>
      <c r="J189" s="325" t="s">
        <v>12</v>
      </c>
      <c r="K189" s="323">
        <f t="shared" si="8"/>
        <v>9.4</v>
      </c>
      <c r="L189" s="326"/>
      <c r="M189" s="363"/>
      <c r="N189" s="328"/>
    </row>
    <row r="190" spans="1:19" ht="20.149999999999999" customHeight="1" x14ac:dyDescent="0.35">
      <c r="A190" s="329">
        <v>9</v>
      </c>
      <c r="B190" s="321">
        <v>180</v>
      </c>
      <c r="C190" s="336" t="s">
        <v>591</v>
      </c>
      <c r="D190" s="336"/>
      <c r="E190" s="323">
        <f>'[1]road inventory 2018'!C334</f>
        <v>2.42</v>
      </c>
      <c r="F190" s="323">
        <v>0</v>
      </c>
      <c r="G190" s="323">
        <v>0</v>
      </c>
      <c r="H190" s="323">
        <v>0</v>
      </c>
      <c r="I190" s="323">
        <v>2.42</v>
      </c>
      <c r="J190" s="326" t="s">
        <v>12</v>
      </c>
      <c r="K190" s="323">
        <f t="shared" si="8"/>
        <v>2.42</v>
      </c>
      <c r="L190" s="326"/>
      <c r="M190" s="363"/>
      <c r="N190" s="328"/>
    </row>
    <row r="191" spans="1:19" ht="20.149999999999999" customHeight="1" x14ac:dyDescent="0.35">
      <c r="A191" s="329">
        <v>10</v>
      </c>
      <c r="B191" s="321">
        <v>181</v>
      </c>
      <c r="C191" s="336" t="s">
        <v>592</v>
      </c>
      <c r="D191" s="336"/>
      <c r="E191" s="323">
        <f>'[1]road inventory 2018'!C335</f>
        <v>4.9000000000000004</v>
      </c>
      <c r="F191" s="323">
        <v>4.9000000000000004</v>
      </c>
      <c r="G191" s="323">
        <v>0</v>
      </c>
      <c r="H191" s="323">
        <v>0</v>
      </c>
      <c r="I191" s="323">
        <v>0</v>
      </c>
      <c r="J191" s="325" t="s">
        <v>10</v>
      </c>
      <c r="K191" s="323">
        <f t="shared" si="8"/>
        <v>4.9000000000000004</v>
      </c>
      <c r="L191" s="326"/>
      <c r="M191" s="363"/>
      <c r="N191" s="328"/>
    </row>
    <row r="192" spans="1:19" ht="20.149999999999999" customHeight="1" x14ac:dyDescent="0.35">
      <c r="A192" s="329">
        <v>11</v>
      </c>
      <c r="B192" s="321">
        <v>182</v>
      </c>
      <c r="C192" s="336" t="s">
        <v>593</v>
      </c>
      <c r="D192" s="336"/>
      <c r="E192" s="323">
        <f>'[1]road inventory 2018'!C336</f>
        <v>16</v>
      </c>
      <c r="F192" s="323">
        <v>16</v>
      </c>
      <c r="G192" s="323">
        <v>0</v>
      </c>
      <c r="H192" s="323">
        <v>0</v>
      </c>
      <c r="I192" s="323">
        <v>0</v>
      </c>
      <c r="J192" s="326" t="s">
        <v>10</v>
      </c>
      <c r="K192" s="323">
        <f t="shared" si="8"/>
        <v>16</v>
      </c>
      <c r="L192" s="326"/>
      <c r="M192" s="363"/>
      <c r="N192" s="328"/>
    </row>
    <row r="193" spans="1:16" ht="20.149999999999999" customHeight="1" x14ac:dyDescent="0.35">
      <c r="A193" s="329">
        <v>12</v>
      </c>
      <c r="B193" s="321">
        <v>183</v>
      </c>
      <c r="C193" s="336" t="s">
        <v>594</v>
      </c>
      <c r="D193" s="336"/>
      <c r="E193" s="323">
        <f>'[1]road inventory 2018'!C337</f>
        <v>1.7</v>
      </c>
      <c r="F193" s="323">
        <v>0</v>
      </c>
      <c r="G193" s="323">
        <v>0</v>
      </c>
      <c r="H193" s="323">
        <v>0</v>
      </c>
      <c r="I193" s="323">
        <v>1.7</v>
      </c>
      <c r="J193" s="326" t="s">
        <v>12</v>
      </c>
      <c r="K193" s="323">
        <f t="shared" si="8"/>
        <v>1.7</v>
      </c>
      <c r="L193" s="326"/>
      <c r="M193" s="363"/>
      <c r="N193" s="328"/>
    </row>
    <row r="194" spans="1:16" ht="20.149999999999999" customHeight="1" x14ac:dyDescent="0.35">
      <c r="A194" s="329">
        <v>13</v>
      </c>
      <c r="B194" s="321">
        <v>184</v>
      </c>
      <c r="C194" s="336" t="s">
        <v>595</v>
      </c>
      <c r="D194" s="336"/>
      <c r="E194" s="323">
        <f>'[1]road inventory 2018'!C338</f>
        <v>12</v>
      </c>
      <c r="F194" s="323">
        <v>10.01</v>
      </c>
      <c r="G194" s="323">
        <v>0</v>
      </c>
      <c r="H194" s="323">
        <v>0</v>
      </c>
      <c r="I194" s="323">
        <v>1.99</v>
      </c>
      <c r="J194" s="326" t="s">
        <v>10</v>
      </c>
      <c r="K194" s="323">
        <f t="shared" si="8"/>
        <v>12</v>
      </c>
      <c r="L194" s="326"/>
      <c r="M194" s="363"/>
      <c r="N194" s="328"/>
    </row>
    <row r="195" spans="1:16" s="317" customFormat="1" ht="20.149999999999999" customHeight="1" x14ac:dyDescent="0.35">
      <c r="B195" s="373"/>
      <c r="C195" s="374" t="s">
        <v>341</v>
      </c>
      <c r="D195" s="374"/>
      <c r="E195" s="375">
        <f>SUM(E182:E194)</f>
        <v>116.96000000000001</v>
      </c>
      <c r="F195" s="375">
        <f>SUM(F182:F194)</f>
        <v>57.309999999999995</v>
      </c>
      <c r="G195" s="375">
        <f>SUM(G182:G194)</f>
        <v>0</v>
      </c>
      <c r="H195" s="375">
        <f>SUM(H182:H194)</f>
        <v>3.42</v>
      </c>
      <c r="I195" s="375">
        <f>SUM(I182:I194)</f>
        <v>56.230000000000004</v>
      </c>
      <c r="J195" s="376"/>
      <c r="K195" s="375"/>
      <c r="L195" s="372"/>
      <c r="M195" s="453"/>
      <c r="N195" s="377"/>
      <c r="O195" s="320"/>
    </row>
    <row r="196" spans="1:16" ht="20.149999999999999" customHeight="1" x14ac:dyDescent="0.35">
      <c r="B196" s="321"/>
      <c r="C196" s="330"/>
      <c r="D196" s="330"/>
      <c r="E196" s="323"/>
      <c r="F196" s="323"/>
      <c r="G196" s="323"/>
      <c r="H196" s="323"/>
      <c r="I196" s="323"/>
      <c r="J196" s="325"/>
      <c r="K196" s="323"/>
      <c r="L196" s="326"/>
      <c r="M196" s="363"/>
      <c r="N196" s="328"/>
      <c r="O196" s="331"/>
    </row>
    <row r="197" spans="1:16" s="317" customFormat="1" ht="20.149999999999999" customHeight="1" x14ac:dyDescent="0.35">
      <c r="B197" s="390" t="s">
        <v>605</v>
      </c>
      <c r="C197" s="378"/>
      <c r="D197" s="378"/>
      <c r="E197" s="375"/>
      <c r="F197" s="375"/>
      <c r="G197" s="375"/>
      <c r="H197" s="375"/>
      <c r="I197" s="375"/>
      <c r="J197" s="372"/>
      <c r="K197" s="375"/>
      <c r="L197" s="400"/>
      <c r="M197" s="453"/>
      <c r="N197" s="377"/>
    </row>
    <row r="198" spans="1:16" ht="20.149999999999999" customHeight="1" x14ac:dyDescent="0.35">
      <c r="A198" s="329">
        <v>1</v>
      </c>
      <c r="B198" s="321">
        <v>192</v>
      </c>
      <c r="C198" s="336" t="s">
        <v>606</v>
      </c>
      <c r="D198" s="336"/>
      <c r="E198" s="342">
        <f>'[1]road inventory 2018'!C359</f>
        <v>17</v>
      </c>
      <c r="F198" s="323">
        <f>10.754-(153.8/1000)</f>
        <v>10.600199999999999</v>
      </c>
      <c r="G198" s="323">
        <v>0</v>
      </c>
      <c r="H198" s="323">
        <v>0</v>
      </c>
      <c r="I198" s="323">
        <v>6.4</v>
      </c>
      <c r="J198" s="326" t="s">
        <v>10</v>
      </c>
      <c r="K198" s="323">
        <f>SUM(F198:I198)</f>
        <v>17.0002</v>
      </c>
      <c r="L198" s="326"/>
      <c r="M198" s="458"/>
      <c r="N198" s="343">
        <v>10.6</v>
      </c>
    </row>
    <row r="199" spans="1:16" ht="20.149999999999999" customHeight="1" x14ac:dyDescent="0.35">
      <c r="A199" s="329">
        <v>2</v>
      </c>
      <c r="B199" s="321">
        <v>193</v>
      </c>
      <c r="C199" s="336" t="s">
        <v>607</v>
      </c>
      <c r="D199" s="336"/>
      <c r="E199" s="342">
        <f>'[1]road inventory 2018'!C360</f>
        <v>1.8</v>
      </c>
      <c r="F199" s="323">
        <v>1.8</v>
      </c>
      <c r="G199" s="323">
        <v>0</v>
      </c>
      <c r="H199" s="323">
        <v>0</v>
      </c>
      <c r="I199" s="323">
        <v>0</v>
      </c>
      <c r="J199" s="326" t="s">
        <v>12</v>
      </c>
      <c r="K199" s="323">
        <f>SUM(F199:I199)</f>
        <v>1.8</v>
      </c>
      <c r="L199" s="326"/>
      <c r="M199" s="458"/>
      <c r="N199" s="343"/>
    </row>
    <row r="200" spans="1:16" ht="20.149999999999999" customHeight="1" x14ac:dyDescent="0.35">
      <c r="A200" s="329">
        <v>3</v>
      </c>
      <c r="B200" s="321">
        <v>194</v>
      </c>
      <c r="C200" s="336" t="s">
        <v>608</v>
      </c>
      <c r="D200" s="336"/>
      <c r="E200" s="342">
        <f>'[1]road inventory 2018'!C361</f>
        <v>5.3</v>
      </c>
      <c r="F200" s="323">
        <v>3.5409999999999999</v>
      </c>
      <c r="G200" s="323">
        <v>0</v>
      </c>
      <c r="H200" s="323">
        <v>0</v>
      </c>
      <c r="I200" s="323">
        <v>1.7589999999999999</v>
      </c>
      <c r="J200" s="326" t="s">
        <v>12</v>
      </c>
      <c r="K200" s="323">
        <f>SUM(F200:I200)</f>
        <v>5.3</v>
      </c>
      <c r="L200" s="326"/>
      <c r="M200" s="458"/>
      <c r="N200" s="343"/>
    </row>
    <row r="201" spans="1:16" ht="20.149999999999999" customHeight="1" x14ac:dyDescent="0.35">
      <c r="A201" s="329">
        <v>4</v>
      </c>
      <c r="B201" s="321">
        <v>195</v>
      </c>
      <c r="C201" s="336" t="s">
        <v>609</v>
      </c>
      <c r="D201" s="336"/>
      <c r="E201" s="342">
        <v>3.9000000000000004</v>
      </c>
      <c r="F201" s="323">
        <v>1.2</v>
      </c>
      <c r="G201" s="323">
        <v>0</v>
      </c>
      <c r="H201" s="323">
        <v>0</v>
      </c>
      <c r="I201" s="323">
        <v>2.7</v>
      </c>
      <c r="J201" s="326" t="s">
        <v>12</v>
      </c>
      <c r="K201" s="323">
        <f>SUM(F201:I201)</f>
        <v>3.9000000000000004</v>
      </c>
      <c r="L201" s="326"/>
      <c r="M201" s="458" t="s">
        <v>746</v>
      </c>
      <c r="N201" s="343"/>
    </row>
    <row r="202" spans="1:16" s="317" customFormat="1" ht="20.149999999999999" customHeight="1" x14ac:dyDescent="0.35">
      <c r="B202" s="373"/>
      <c r="C202" s="374" t="s">
        <v>341</v>
      </c>
      <c r="D202" s="374"/>
      <c r="E202" s="375">
        <f>SUM(E198:E201)</f>
        <v>28</v>
      </c>
      <c r="F202" s="375">
        <f>SUM(F198:F201)</f>
        <v>17.141200000000001</v>
      </c>
      <c r="G202" s="375">
        <f>SUM(G198:G201)</f>
        <v>0</v>
      </c>
      <c r="H202" s="375">
        <f>SUM(H198:H201)</f>
        <v>0</v>
      </c>
      <c r="I202" s="375">
        <f>SUM(I198:I201)</f>
        <v>10.859000000000002</v>
      </c>
      <c r="J202" s="376"/>
      <c r="K202" s="375"/>
      <c r="L202" s="372"/>
      <c r="M202" s="453"/>
      <c r="N202" s="377"/>
      <c r="O202" s="320"/>
    </row>
    <row r="203" spans="1:16" ht="20.149999999999999" customHeight="1" x14ac:dyDescent="0.35">
      <c r="B203" s="321"/>
      <c r="C203" s="330"/>
      <c r="D203" s="330"/>
      <c r="E203" s="323"/>
      <c r="F203" s="323"/>
      <c r="G203" s="323"/>
      <c r="H203" s="323"/>
      <c r="I203" s="323"/>
      <c r="J203" s="325"/>
      <c r="K203" s="323"/>
      <c r="L203" s="326"/>
      <c r="M203" s="363"/>
      <c r="N203" s="328"/>
      <c r="O203" s="331"/>
      <c r="P203" s="317" t="s">
        <v>845</v>
      </c>
    </row>
    <row r="204" spans="1:16" s="317" customFormat="1" ht="20.149999999999999" customHeight="1" x14ac:dyDescent="0.35">
      <c r="B204" s="403" t="s">
        <v>547</v>
      </c>
      <c r="C204" s="378"/>
      <c r="D204" s="378"/>
      <c r="E204" s="404"/>
      <c r="F204" s="404"/>
      <c r="G204" s="404"/>
      <c r="H204" s="404"/>
      <c r="I204" s="404"/>
      <c r="J204" s="405"/>
      <c r="K204" s="375"/>
      <c r="L204" s="402"/>
      <c r="M204" s="453"/>
      <c r="N204" s="377"/>
      <c r="P204" s="320">
        <f>E252+E213+E202+E195+E179+E175+E164+E150</f>
        <v>349.815</v>
      </c>
    </row>
    <row r="205" spans="1:16" ht="20.149999999999999" customHeight="1" x14ac:dyDescent="0.35">
      <c r="A205" s="329">
        <v>1</v>
      </c>
      <c r="B205" s="344">
        <v>196</v>
      </c>
      <c r="C205" s="348" t="s">
        <v>548</v>
      </c>
      <c r="D205" s="348"/>
      <c r="E205" s="345">
        <f>'[1]road inventory 2018'!C283</f>
        <v>12.700000000000001</v>
      </c>
      <c r="F205" s="345">
        <v>8.2100000000000009</v>
      </c>
      <c r="G205" s="345">
        <v>0</v>
      </c>
      <c r="H205" s="345">
        <v>0</v>
      </c>
      <c r="I205" s="345">
        <v>4.49</v>
      </c>
      <c r="J205" s="346" t="s">
        <v>12</v>
      </c>
      <c r="K205" s="323">
        <f t="shared" ref="K205:K212" si="9">SUM(F205:I205)</f>
        <v>12.700000000000001</v>
      </c>
      <c r="L205" s="347" t="s">
        <v>549</v>
      </c>
      <c r="M205" s="363"/>
      <c r="N205" s="328"/>
    </row>
    <row r="206" spans="1:16" ht="20.149999999999999" customHeight="1" x14ac:dyDescent="0.35">
      <c r="A206" s="329">
        <v>2</v>
      </c>
      <c r="B206" s="344">
        <v>197</v>
      </c>
      <c r="C206" s="348" t="s">
        <v>550</v>
      </c>
      <c r="D206" s="348"/>
      <c r="E206" s="345">
        <f>'[1]road inventory 2018'!C284</f>
        <v>6.6</v>
      </c>
      <c r="F206" s="345">
        <v>3.0939999999999999</v>
      </c>
      <c r="G206" s="345">
        <v>1.833</v>
      </c>
      <c r="H206" s="345">
        <v>0</v>
      </c>
      <c r="I206" s="345">
        <v>1.673</v>
      </c>
      <c r="J206" s="346" t="s">
        <v>10</v>
      </c>
      <c r="K206" s="323">
        <f t="shared" si="9"/>
        <v>6.6</v>
      </c>
      <c r="L206" s="347" t="s">
        <v>551</v>
      </c>
      <c r="M206" s="363"/>
      <c r="N206" s="328"/>
    </row>
    <row r="207" spans="1:16" ht="20.149999999999999" customHeight="1" x14ac:dyDescent="0.35">
      <c r="A207" s="329">
        <v>3</v>
      </c>
      <c r="B207" s="344">
        <v>199</v>
      </c>
      <c r="C207" s="348" t="s">
        <v>552</v>
      </c>
      <c r="D207" s="348"/>
      <c r="E207" s="345">
        <f>'[1]road inventory 2018'!C285</f>
        <v>5</v>
      </c>
      <c r="F207" s="345">
        <v>0.161</v>
      </c>
      <c r="G207" s="345">
        <v>3.31</v>
      </c>
      <c r="H207" s="345">
        <v>0.1</v>
      </c>
      <c r="I207" s="345">
        <v>1.429</v>
      </c>
      <c r="J207" s="346" t="s">
        <v>41</v>
      </c>
      <c r="K207" s="323">
        <f t="shared" si="9"/>
        <v>5</v>
      </c>
      <c r="L207" s="347" t="s">
        <v>553</v>
      </c>
      <c r="M207" s="363"/>
      <c r="N207" s="328"/>
    </row>
    <row r="208" spans="1:16" ht="20.149999999999999" customHeight="1" x14ac:dyDescent="0.35">
      <c r="A208" s="329">
        <v>4</v>
      </c>
      <c r="B208" s="344">
        <v>200</v>
      </c>
      <c r="C208" s="348" t="s">
        <v>291</v>
      </c>
      <c r="D208" s="348"/>
      <c r="E208" s="345">
        <f>'[1]road inventory 2018'!C286</f>
        <v>1.1000000000000001</v>
      </c>
      <c r="F208" s="345">
        <v>1.1000000000000001</v>
      </c>
      <c r="G208" s="345">
        <v>0</v>
      </c>
      <c r="H208" s="345">
        <v>0</v>
      </c>
      <c r="I208" s="345">
        <v>0</v>
      </c>
      <c r="J208" s="346" t="s">
        <v>10</v>
      </c>
      <c r="K208" s="323">
        <f t="shared" si="9"/>
        <v>1.1000000000000001</v>
      </c>
      <c r="L208" s="347" t="s">
        <v>554</v>
      </c>
      <c r="M208" s="363"/>
      <c r="N208" s="328"/>
    </row>
    <row r="209" spans="1:15" ht="20.149999999999999" customHeight="1" x14ac:dyDescent="0.35">
      <c r="A209" s="329">
        <v>5</v>
      </c>
      <c r="B209" s="344">
        <v>201</v>
      </c>
      <c r="C209" s="348" t="s">
        <v>555</v>
      </c>
      <c r="D209" s="348"/>
      <c r="E209" s="345">
        <f>'[1]road inventory 2018'!C287</f>
        <v>5.2</v>
      </c>
      <c r="F209" s="345">
        <v>2.7</v>
      </c>
      <c r="G209" s="345">
        <v>0</v>
      </c>
      <c r="H209" s="345">
        <v>0</v>
      </c>
      <c r="I209" s="345">
        <v>2.5</v>
      </c>
      <c r="J209" s="346" t="s">
        <v>10</v>
      </c>
      <c r="K209" s="323">
        <f t="shared" si="9"/>
        <v>5.2</v>
      </c>
      <c r="L209" s="347" t="s">
        <v>556</v>
      </c>
      <c r="M209" s="363"/>
      <c r="N209" s="328"/>
    </row>
    <row r="210" spans="1:15" ht="20.149999999999999" customHeight="1" x14ac:dyDescent="0.35">
      <c r="A210" s="329">
        <v>6</v>
      </c>
      <c r="B210" s="344">
        <v>202</v>
      </c>
      <c r="C210" s="348" t="s">
        <v>557</v>
      </c>
      <c r="D210" s="348"/>
      <c r="E210" s="345">
        <f>'[1]road inventory 2018'!C288</f>
        <v>5.3000000000000007</v>
      </c>
      <c r="F210" s="345">
        <v>1.37</v>
      </c>
      <c r="G210" s="345">
        <v>0</v>
      </c>
      <c r="H210" s="345">
        <v>0</v>
      </c>
      <c r="I210" s="345">
        <v>3.93</v>
      </c>
      <c r="J210" s="346" t="s">
        <v>10</v>
      </c>
      <c r="K210" s="323">
        <f t="shared" si="9"/>
        <v>5.3000000000000007</v>
      </c>
      <c r="L210" s="347" t="s">
        <v>556</v>
      </c>
      <c r="M210" s="363"/>
      <c r="N210" s="328">
        <v>1.37</v>
      </c>
    </row>
    <row r="211" spans="1:15" ht="20.149999999999999" customHeight="1" x14ac:dyDescent="0.35">
      <c r="A211" s="329">
        <v>7</v>
      </c>
      <c r="B211" s="344">
        <v>203</v>
      </c>
      <c r="C211" s="348" t="s">
        <v>558</v>
      </c>
      <c r="D211" s="348"/>
      <c r="E211" s="345">
        <f>'[1]road inventory 2018'!C289</f>
        <v>3.8</v>
      </c>
      <c r="F211" s="345">
        <v>2.5350000000000001</v>
      </c>
      <c r="G211" s="345">
        <v>0</v>
      </c>
      <c r="H211" s="345">
        <v>0</v>
      </c>
      <c r="I211" s="345">
        <v>1.2649999999999999</v>
      </c>
      <c r="J211" s="346" t="s">
        <v>10</v>
      </c>
      <c r="K211" s="323">
        <f t="shared" si="9"/>
        <v>3.8</v>
      </c>
      <c r="L211" s="347" t="s">
        <v>559</v>
      </c>
      <c r="M211" s="363"/>
      <c r="N211" s="328"/>
    </row>
    <row r="212" spans="1:15" ht="20.149999999999999" customHeight="1" x14ac:dyDescent="0.35">
      <c r="A212" s="329">
        <v>8</v>
      </c>
      <c r="B212" s="344">
        <v>228</v>
      </c>
      <c r="C212" s="348" t="s">
        <v>141</v>
      </c>
      <c r="D212" s="348"/>
      <c r="E212" s="345">
        <f>'[1]road inventory 2018'!C290</f>
        <v>9.3000000000000007</v>
      </c>
      <c r="F212" s="345">
        <v>7.22</v>
      </c>
      <c r="G212" s="345">
        <v>0</v>
      </c>
      <c r="H212" s="345">
        <v>0</v>
      </c>
      <c r="I212" s="345">
        <f>0.83+1.25</f>
        <v>2.08</v>
      </c>
      <c r="J212" s="346" t="s">
        <v>10</v>
      </c>
      <c r="K212" s="323">
        <f t="shared" si="9"/>
        <v>9.3000000000000007</v>
      </c>
      <c r="L212" s="347"/>
      <c r="M212" s="363"/>
      <c r="N212" s="328"/>
    </row>
    <row r="213" spans="1:15" s="317" customFormat="1" ht="20.149999999999999" customHeight="1" x14ac:dyDescent="0.35">
      <c r="B213" s="373"/>
      <c r="C213" s="374" t="s">
        <v>341</v>
      </c>
      <c r="D213" s="374"/>
      <c r="E213" s="375">
        <f>SUM(E205:E212)</f>
        <v>49</v>
      </c>
      <c r="F213" s="375">
        <f>SUM(F205:F212)</f>
        <v>26.39</v>
      </c>
      <c r="G213" s="375">
        <f>SUM(G205:G212)</f>
        <v>5.1429999999999998</v>
      </c>
      <c r="H213" s="375">
        <f>SUM(H205:H212)</f>
        <v>0.1</v>
      </c>
      <c r="I213" s="375">
        <f>SUM(I205:I212)</f>
        <v>17.367000000000001</v>
      </c>
      <c r="J213" s="376"/>
      <c r="K213" s="375"/>
      <c r="L213" s="372"/>
      <c r="M213" s="453"/>
      <c r="N213" s="377"/>
      <c r="O213" s="320"/>
    </row>
    <row r="214" spans="1:15" ht="20.149999999999999" customHeight="1" x14ac:dyDescent="0.35">
      <c r="B214" s="321"/>
      <c r="C214" s="330"/>
      <c r="D214" s="330"/>
      <c r="E214" s="323"/>
      <c r="F214" s="323"/>
      <c r="G214" s="323"/>
      <c r="H214" s="323"/>
      <c r="I214" s="323"/>
      <c r="J214" s="325"/>
      <c r="K214" s="323"/>
      <c r="L214" s="326"/>
      <c r="M214" s="363"/>
      <c r="N214" s="328"/>
      <c r="O214" s="331"/>
    </row>
    <row r="215" spans="1:15" s="317" customFormat="1" ht="20.149999999999999" customHeight="1" x14ac:dyDescent="0.35">
      <c r="B215" s="403" t="s">
        <v>501</v>
      </c>
      <c r="C215" s="378"/>
      <c r="D215" s="378"/>
      <c r="E215" s="404"/>
      <c r="F215" s="404"/>
      <c r="G215" s="404"/>
      <c r="H215" s="404"/>
      <c r="I215" s="404"/>
      <c r="J215" s="405"/>
      <c r="K215" s="375"/>
      <c r="L215" s="402"/>
      <c r="M215" s="453"/>
      <c r="N215" s="377"/>
    </row>
    <row r="216" spans="1:15" ht="20.149999999999999" customHeight="1" x14ac:dyDescent="0.35">
      <c r="A216" s="329">
        <v>1</v>
      </c>
      <c r="B216" s="321">
        <v>153</v>
      </c>
      <c r="C216" s="336" t="s">
        <v>121</v>
      </c>
      <c r="D216" s="336">
        <f>[2]CARRIAGEWAY!$D$13:$L$13</f>
        <v>11.456999999999999</v>
      </c>
      <c r="E216" s="323">
        <f>'[1]road inventory 2018'!C243</f>
        <v>11</v>
      </c>
      <c r="F216" s="323">
        <f>[2]CARRIAGEWAY!$V$360</f>
        <v>4.8800000000000008</v>
      </c>
      <c r="G216" s="323">
        <f>[3]CARRIAGEWAY!$X$360</f>
        <v>0</v>
      </c>
      <c r="H216" s="323">
        <v>0</v>
      </c>
      <c r="I216" s="349">
        <f>D216-F216</f>
        <v>6.5769999999999982</v>
      </c>
      <c r="J216" s="325" t="s">
        <v>12</v>
      </c>
      <c r="K216" s="323">
        <f t="shared" ref="K216:K229" si="10">SUM(F216:I216)</f>
        <v>11.456999999999999</v>
      </c>
      <c r="L216" s="326" t="s">
        <v>502</v>
      </c>
      <c r="M216" s="350" t="s">
        <v>747</v>
      </c>
      <c r="N216" s="328"/>
    </row>
    <row r="217" spans="1:15" ht="20.149999999999999" customHeight="1" x14ac:dyDescent="0.35">
      <c r="A217" s="329">
        <v>2</v>
      </c>
      <c r="B217" s="321">
        <v>125</v>
      </c>
      <c r="C217" s="336" t="s">
        <v>125</v>
      </c>
      <c r="D217" s="336">
        <f>[4]CARRIAGEWAY!$D$13:$L$13</f>
        <v>2.9</v>
      </c>
      <c r="E217" s="323">
        <f>'[1]road inventory 2018'!C244</f>
        <v>2.9</v>
      </c>
      <c r="F217" s="323">
        <v>0</v>
      </c>
      <c r="G217" s="323">
        <v>0</v>
      </c>
      <c r="H217" s="323">
        <v>0</v>
      </c>
      <c r="I217" s="349">
        <v>2.9</v>
      </c>
      <c r="J217" s="325" t="s">
        <v>12</v>
      </c>
      <c r="K217" s="323">
        <f t="shared" si="10"/>
        <v>2.9</v>
      </c>
      <c r="L217" s="326" t="s">
        <v>502</v>
      </c>
      <c r="M217" s="363"/>
      <c r="N217" s="328"/>
    </row>
    <row r="218" spans="1:15" ht="20.149999999999999" customHeight="1" x14ac:dyDescent="0.35">
      <c r="A218" s="329">
        <v>3</v>
      </c>
      <c r="B218" s="321">
        <v>154</v>
      </c>
      <c r="C218" s="336" t="s">
        <v>127</v>
      </c>
      <c r="D218" s="336">
        <f>[5]CARRIAGEWAY!$D$13:$L$13</f>
        <v>7.016</v>
      </c>
      <c r="E218" s="323">
        <f>'[1]road inventory 2018'!C245</f>
        <v>7</v>
      </c>
      <c r="F218" s="323">
        <f>[5]CARRIAGEWAY!$V$360</f>
        <v>0.27400000000000002</v>
      </c>
      <c r="G218" s="323">
        <v>0</v>
      </c>
      <c r="H218" s="323">
        <v>0</v>
      </c>
      <c r="I218" s="349">
        <f>D218-F218</f>
        <v>6.742</v>
      </c>
      <c r="J218" s="325" t="s">
        <v>12</v>
      </c>
      <c r="K218" s="323">
        <f t="shared" si="10"/>
        <v>7.016</v>
      </c>
      <c r="L218" s="326" t="s">
        <v>503</v>
      </c>
      <c r="M218" s="363"/>
      <c r="N218" s="328"/>
    </row>
    <row r="219" spans="1:15" ht="20.149999999999999" customHeight="1" x14ac:dyDescent="0.35">
      <c r="A219" s="329">
        <v>4</v>
      </c>
      <c r="B219" s="321">
        <v>127</v>
      </c>
      <c r="C219" s="336" t="s">
        <v>504</v>
      </c>
      <c r="D219" s="336">
        <f>[6]CARRIAGEWAY!$D$13:$L$13</f>
        <v>3.1</v>
      </c>
      <c r="E219" s="323">
        <f>'[1]road inventory 2018'!C249</f>
        <v>2.7</v>
      </c>
      <c r="F219" s="323">
        <f>[6]CARRIAGEWAY!$V$360</f>
        <v>1.5590000000000002</v>
      </c>
      <c r="G219" s="323">
        <v>0</v>
      </c>
      <c r="H219" s="323">
        <v>0</v>
      </c>
      <c r="I219" s="349">
        <f>D219-F219</f>
        <v>1.5409999999999999</v>
      </c>
      <c r="J219" s="325" t="s">
        <v>10</v>
      </c>
      <c r="K219" s="323">
        <f t="shared" si="10"/>
        <v>3.1</v>
      </c>
      <c r="L219" s="326" t="s">
        <v>505</v>
      </c>
      <c r="M219" s="363"/>
      <c r="N219" s="328"/>
    </row>
    <row r="220" spans="1:15" ht="20.149999999999999" customHeight="1" x14ac:dyDescent="0.35">
      <c r="A220" s="329">
        <v>5</v>
      </c>
      <c r="B220" s="321">
        <v>128</v>
      </c>
      <c r="C220" s="336" t="s">
        <v>507</v>
      </c>
      <c r="D220" s="336">
        <f>[7]CARRIAGEWAY!$D$13:$L$13</f>
        <v>2.323</v>
      </c>
      <c r="E220" s="323">
        <f>'[1]road inventory 2018'!C250</f>
        <v>2.3000000000000003</v>
      </c>
      <c r="F220" s="323">
        <f>[7]CARRIAGEWAY!$V$360</f>
        <v>2.1819999999999999</v>
      </c>
      <c r="G220" s="323">
        <v>0</v>
      </c>
      <c r="H220" s="323">
        <v>0</v>
      </c>
      <c r="I220" s="349">
        <f>D220-F220</f>
        <v>0.14100000000000001</v>
      </c>
      <c r="J220" s="325" t="s">
        <v>10</v>
      </c>
      <c r="K220" s="323">
        <f t="shared" si="10"/>
        <v>2.323</v>
      </c>
      <c r="L220" s="326" t="s">
        <v>508</v>
      </c>
      <c r="M220" s="363"/>
      <c r="N220" s="328"/>
    </row>
    <row r="221" spans="1:15" ht="20.149999999999999" customHeight="1" x14ac:dyDescent="0.35">
      <c r="A221" s="329">
        <v>6</v>
      </c>
      <c r="B221" s="321">
        <v>155</v>
      </c>
      <c r="C221" s="336" t="s">
        <v>509</v>
      </c>
      <c r="D221" s="336">
        <f>[8]CARRIAGEWAY!$D$13:$L$13</f>
        <v>3.7970000000000002</v>
      </c>
      <c r="E221" s="323">
        <f>'[1]road inventory 2018'!C251</f>
        <v>3.7</v>
      </c>
      <c r="F221" s="323">
        <v>1.99</v>
      </c>
      <c r="G221" s="323">
        <v>0</v>
      </c>
      <c r="H221" s="323">
        <v>0</v>
      </c>
      <c r="I221" s="349">
        <f>D221-F221</f>
        <v>1.8070000000000002</v>
      </c>
      <c r="J221" s="325" t="s">
        <v>41</v>
      </c>
      <c r="K221" s="323">
        <f t="shared" si="10"/>
        <v>3.7970000000000002</v>
      </c>
      <c r="L221" s="326" t="s">
        <v>510</v>
      </c>
      <c r="M221" s="363"/>
      <c r="N221" s="328"/>
    </row>
    <row r="222" spans="1:15" ht="20.149999999999999" customHeight="1" x14ac:dyDescent="0.35">
      <c r="A222" s="329">
        <v>7</v>
      </c>
      <c r="B222" s="321">
        <v>129</v>
      </c>
      <c r="C222" s="336" t="s">
        <v>512</v>
      </c>
      <c r="D222" s="336">
        <f>[9]CARRIAGEWAY!$D$13:$L$13</f>
        <v>2.7849999999999997</v>
      </c>
      <c r="E222" s="323">
        <f>'[1]road inventory 2018'!C252</f>
        <v>2.7</v>
      </c>
      <c r="F222" s="323">
        <v>0</v>
      </c>
      <c r="G222" s="323">
        <v>0</v>
      </c>
      <c r="H222" s="323">
        <v>0</v>
      </c>
      <c r="I222" s="349">
        <f>D222</f>
        <v>2.7849999999999997</v>
      </c>
      <c r="J222" s="325" t="s">
        <v>12</v>
      </c>
      <c r="K222" s="323">
        <f t="shared" si="10"/>
        <v>2.7849999999999997</v>
      </c>
      <c r="L222" s="326" t="s">
        <v>513</v>
      </c>
      <c r="M222" s="363"/>
      <c r="N222" s="328"/>
    </row>
    <row r="223" spans="1:15" ht="20.149999999999999" customHeight="1" x14ac:dyDescent="0.35">
      <c r="A223" s="329">
        <v>8</v>
      </c>
      <c r="B223" s="321">
        <v>156</v>
      </c>
      <c r="C223" s="336" t="s">
        <v>130</v>
      </c>
      <c r="D223" s="336">
        <v>20.45</v>
      </c>
      <c r="E223" s="323">
        <f>'[1]road inventory 2018'!C253</f>
        <v>20</v>
      </c>
      <c r="F223" s="323">
        <f>5.49+2.715</f>
        <v>8.2050000000000001</v>
      </c>
      <c r="G223" s="323">
        <v>0</v>
      </c>
      <c r="H223" s="323">
        <v>0</v>
      </c>
      <c r="I223" s="349">
        <f>D223-F223</f>
        <v>12.244999999999999</v>
      </c>
      <c r="J223" s="325" t="s">
        <v>12</v>
      </c>
      <c r="K223" s="323">
        <f t="shared" si="10"/>
        <v>20.45</v>
      </c>
      <c r="L223" s="326" t="s">
        <v>514</v>
      </c>
      <c r="M223" s="363"/>
      <c r="N223" s="328">
        <f>5.49+2.715</f>
        <v>8.2050000000000001</v>
      </c>
    </row>
    <row r="224" spans="1:15" ht="20.149999999999999" customHeight="1" x14ac:dyDescent="0.35">
      <c r="A224" s="329">
        <v>9</v>
      </c>
      <c r="B224" s="321">
        <v>157</v>
      </c>
      <c r="C224" s="336" t="s">
        <v>515</v>
      </c>
      <c r="D224" s="931"/>
      <c r="E224" s="323">
        <f>'[1]road inventory 2018'!C254</f>
        <v>8.6999999999999993</v>
      </c>
      <c r="F224" s="323">
        <v>0</v>
      </c>
      <c r="G224" s="323">
        <v>0</v>
      </c>
      <c r="H224" s="323">
        <v>0</v>
      </c>
      <c r="I224" s="349">
        <v>0</v>
      </c>
      <c r="J224" s="325" t="s">
        <v>12</v>
      </c>
      <c r="K224" s="323">
        <f t="shared" si="10"/>
        <v>0</v>
      </c>
      <c r="L224" s="326"/>
      <c r="M224" s="363"/>
      <c r="N224" s="328"/>
    </row>
    <row r="225" spans="1:16" ht="20.149999999999999" customHeight="1" x14ac:dyDescent="0.35">
      <c r="A225" s="329">
        <v>10</v>
      </c>
      <c r="B225" s="321">
        <v>158</v>
      </c>
      <c r="C225" s="336" t="s">
        <v>517</v>
      </c>
      <c r="D225" s="931"/>
      <c r="E225" s="323">
        <f>'[1]road inventory 2018'!C255</f>
        <v>7.1999999999999993</v>
      </c>
      <c r="F225" s="323">
        <v>0</v>
      </c>
      <c r="G225" s="323">
        <v>0</v>
      </c>
      <c r="H225" s="323">
        <v>0</v>
      </c>
      <c r="I225" s="349">
        <v>0</v>
      </c>
      <c r="J225" s="325" t="s">
        <v>33</v>
      </c>
      <c r="K225" s="323">
        <f t="shared" si="10"/>
        <v>0</v>
      </c>
      <c r="L225" s="326"/>
      <c r="M225" s="363"/>
      <c r="N225" s="328">
        <v>4.08</v>
      </c>
    </row>
    <row r="226" spans="1:16" ht="20.149999999999999" customHeight="1" x14ac:dyDescent="0.35">
      <c r="A226" s="329">
        <v>11</v>
      </c>
      <c r="B226" s="321">
        <v>159</v>
      </c>
      <c r="C226" s="336" t="s">
        <v>518</v>
      </c>
      <c r="D226" s="931"/>
      <c r="E226" s="323">
        <f>'[1]road inventory 2018'!C256</f>
        <v>4.8</v>
      </c>
      <c r="F226" s="323">
        <v>0</v>
      </c>
      <c r="G226" s="323">
        <v>0</v>
      </c>
      <c r="H226" s="323">
        <v>0</v>
      </c>
      <c r="I226" s="349">
        <v>0</v>
      </c>
      <c r="J226" s="325" t="s">
        <v>33</v>
      </c>
      <c r="K226" s="323">
        <f t="shared" si="10"/>
        <v>0</v>
      </c>
      <c r="L226" s="326"/>
      <c r="M226" s="363"/>
      <c r="N226" s="328"/>
    </row>
    <row r="227" spans="1:16" ht="20.149999999999999" customHeight="1" x14ac:dyDescent="0.35">
      <c r="A227" s="329">
        <v>12</v>
      </c>
      <c r="B227" s="321">
        <v>130</v>
      </c>
      <c r="C227" s="336" t="s">
        <v>519</v>
      </c>
      <c r="D227" s="336">
        <v>10.55</v>
      </c>
      <c r="E227" s="323">
        <f>'[1]road inventory 2018'!C257</f>
        <v>6</v>
      </c>
      <c r="F227" s="323">
        <v>2.2000000000000002</v>
      </c>
      <c r="G227" s="323">
        <f>[10]CARRIAGEWAY!$X$360</f>
        <v>0</v>
      </c>
      <c r="H227" s="323">
        <v>0</v>
      </c>
      <c r="I227" s="349">
        <f>D227-F227</f>
        <v>8.3500000000000014</v>
      </c>
      <c r="J227" s="325" t="s">
        <v>41</v>
      </c>
      <c r="K227" s="323">
        <f t="shared" si="10"/>
        <v>10.55</v>
      </c>
      <c r="L227" s="326" t="s">
        <v>520</v>
      </c>
      <c r="M227" s="363"/>
      <c r="N227" s="328"/>
      <c r="O227" s="351"/>
      <c r="P227" s="352"/>
    </row>
    <row r="228" spans="1:16" ht="20.149999999999999" customHeight="1" x14ac:dyDescent="0.35">
      <c r="A228" s="329">
        <v>13</v>
      </c>
      <c r="B228" s="321">
        <v>131</v>
      </c>
      <c r="C228" s="336" t="s">
        <v>523</v>
      </c>
      <c r="D228" s="336">
        <f>[11]CARRIAGEWAY!$D$13:$L$13</f>
        <v>5.3309999999999995</v>
      </c>
      <c r="E228" s="323">
        <f>'[1]road inventory 2018'!C258</f>
        <v>5.2</v>
      </c>
      <c r="F228" s="323">
        <v>4.8499999999999996</v>
      </c>
      <c r="G228" s="323">
        <v>0</v>
      </c>
      <c r="H228" s="323">
        <v>0</v>
      </c>
      <c r="I228" s="349">
        <f>D228-F228</f>
        <v>0.48099999999999987</v>
      </c>
      <c r="J228" s="325" t="s">
        <v>12</v>
      </c>
      <c r="K228" s="323">
        <f t="shared" si="10"/>
        <v>5.3309999999999995</v>
      </c>
      <c r="L228" s="326"/>
      <c r="M228" s="363"/>
      <c r="N228" s="328"/>
    </row>
    <row r="229" spans="1:16" ht="20.149999999999999" customHeight="1" x14ac:dyDescent="0.35">
      <c r="A229" s="329">
        <v>14</v>
      </c>
      <c r="B229" s="321">
        <v>135</v>
      </c>
      <c r="C229" s="336" t="s">
        <v>139</v>
      </c>
      <c r="D229" s="336">
        <f>[12]CARRIAGEWAY!$D$13:$L$13</f>
        <v>4.4809999999999999</v>
      </c>
      <c r="E229" s="323">
        <f>'[1]road inventory 2018'!C259</f>
        <v>4.4000000000000004</v>
      </c>
      <c r="F229" s="323">
        <v>0</v>
      </c>
      <c r="G229" s="323">
        <v>0</v>
      </c>
      <c r="H229" s="323">
        <v>0</v>
      </c>
      <c r="I229" s="349">
        <f>D229</f>
        <v>4.4809999999999999</v>
      </c>
      <c r="J229" s="325" t="s">
        <v>12</v>
      </c>
      <c r="K229" s="323">
        <f t="shared" si="10"/>
        <v>4.4809999999999999</v>
      </c>
      <c r="L229" s="326" t="s">
        <v>525</v>
      </c>
      <c r="M229" s="363"/>
      <c r="N229" s="328"/>
    </row>
    <row r="230" spans="1:16" s="317" customFormat="1" ht="20.149999999999999" customHeight="1" x14ac:dyDescent="0.35">
      <c r="B230" s="373"/>
      <c r="C230" s="374" t="s">
        <v>341</v>
      </c>
      <c r="D230" s="374">
        <f t="shared" ref="D230:I230" si="11">SUM(D216:D229)</f>
        <v>74.19</v>
      </c>
      <c r="E230" s="375">
        <f t="shared" si="11"/>
        <v>88.600000000000009</v>
      </c>
      <c r="F230" s="375">
        <f t="shared" si="11"/>
        <v>26.14</v>
      </c>
      <c r="G230" s="375">
        <f t="shared" si="11"/>
        <v>0</v>
      </c>
      <c r="H230" s="375">
        <f t="shared" si="11"/>
        <v>0</v>
      </c>
      <c r="I230" s="375">
        <f t="shared" si="11"/>
        <v>48.05</v>
      </c>
      <c r="J230" s="376"/>
      <c r="K230" s="375"/>
      <c r="L230" s="372"/>
      <c r="M230" s="453">
        <f>F230+I230</f>
        <v>74.19</v>
      </c>
      <c r="N230" s="377"/>
      <c r="O230" s="320"/>
    </row>
    <row r="231" spans="1:16" ht="20.149999999999999" customHeight="1" x14ac:dyDescent="0.35">
      <c r="B231" s="321"/>
      <c r="C231" s="330"/>
      <c r="D231" s="330"/>
      <c r="E231" s="323">
        <f>E216+E217+E218+E219+E220+E221+E222+E223+E227+E228+E229</f>
        <v>67.900000000000006</v>
      </c>
      <c r="F231" s="323"/>
      <c r="G231" s="323"/>
      <c r="H231" s="323"/>
      <c r="I231" s="323"/>
      <c r="J231" s="325"/>
      <c r="K231" s="323"/>
      <c r="L231" s="326"/>
      <c r="M231" s="363"/>
      <c r="N231" s="328"/>
      <c r="O231" s="320" t="s">
        <v>300</v>
      </c>
    </row>
    <row r="232" spans="1:16" s="317" customFormat="1" ht="20.149999999999999" customHeight="1" x14ac:dyDescent="0.35">
      <c r="B232" s="390" t="s">
        <v>494</v>
      </c>
      <c r="C232" s="378"/>
      <c r="D232" s="378"/>
      <c r="E232" s="375"/>
      <c r="F232" s="375"/>
      <c r="G232" s="375"/>
      <c r="H232" s="375"/>
      <c r="I232" s="406"/>
      <c r="J232" s="376"/>
      <c r="K232" s="375"/>
      <c r="L232" s="400"/>
      <c r="M232" s="453"/>
      <c r="N232" s="377"/>
      <c r="O232" s="320">
        <f>E230+E238+E272+E283+E294</f>
        <v>417.84999999999997</v>
      </c>
    </row>
    <row r="233" spans="1:16" ht="20.149999999999999" customHeight="1" x14ac:dyDescent="0.35">
      <c r="A233" s="329">
        <v>1</v>
      </c>
      <c r="B233" s="321">
        <v>148</v>
      </c>
      <c r="C233" s="336" t="s">
        <v>290</v>
      </c>
      <c r="D233" s="336">
        <f>[13]CARRIAGEWAY!$D$13:$L$13</f>
        <v>3.0760000000000005</v>
      </c>
      <c r="E233" s="323">
        <f>'[1]road inventory 2018'!C232</f>
        <v>3</v>
      </c>
      <c r="F233" s="323">
        <v>0.32500000000000001</v>
      </c>
      <c r="G233" s="323">
        <v>0</v>
      </c>
      <c r="H233" s="323">
        <v>0</v>
      </c>
      <c r="I233" s="323">
        <f>D233-F233</f>
        <v>2.7510000000000003</v>
      </c>
      <c r="J233" s="325" t="s">
        <v>41</v>
      </c>
      <c r="K233" s="323">
        <f>SUM(F233:I233)</f>
        <v>3.0760000000000005</v>
      </c>
      <c r="L233" s="325" t="s">
        <v>735</v>
      </c>
      <c r="M233" s="363"/>
      <c r="N233" s="328"/>
    </row>
    <row r="234" spans="1:16" ht="20.149999999999999" customHeight="1" x14ac:dyDescent="0.35">
      <c r="A234" s="329">
        <v>2</v>
      </c>
      <c r="B234" s="321">
        <v>149</v>
      </c>
      <c r="C234" s="336" t="s">
        <v>496</v>
      </c>
      <c r="D234" s="336">
        <f>[14]CARRIAGEWAY!$D$13:$L$13</f>
        <v>5.0560000000000009</v>
      </c>
      <c r="E234" s="323">
        <f>'[1]road inventory 2018'!C233</f>
        <v>5</v>
      </c>
      <c r="F234" s="323">
        <v>3.55</v>
      </c>
      <c r="G234" s="323">
        <v>0</v>
      </c>
      <c r="H234" s="323">
        <v>0</v>
      </c>
      <c r="I234" s="323">
        <f>D234-F234</f>
        <v>1.5060000000000011</v>
      </c>
      <c r="J234" s="325" t="s">
        <v>12</v>
      </c>
      <c r="K234" s="323">
        <f>SUM(F234:I234)</f>
        <v>5.0560000000000009</v>
      </c>
      <c r="L234" s="325" t="s">
        <v>736</v>
      </c>
      <c r="M234" s="363"/>
      <c r="N234" s="328"/>
    </row>
    <row r="235" spans="1:16" ht="20.149999999999999" customHeight="1" x14ac:dyDescent="0.35">
      <c r="A235" s="329">
        <v>3</v>
      </c>
      <c r="B235" s="321">
        <v>150</v>
      </c>
      <c r="C235" s="336" t="s">
        <v>116</v>
      </c>
      <c r="D235" s="336">
        <f>[15]CARRIAGEWAY!$D$13:$L$13</f>
        <v>11.209</v>
      </c>
      <c r="E235" s="323">
        <f>'[1]road inventory 2018'!C234</f>
        <v>11</v>
      </c>
      <c r="F235" s="323">
        <v>7.01</v>
      </c>
      <c r="G235" s="323">
        <v>0</v>
      </c>
      <c r="H235" s="323">
        <v>0</v>
      </c>
      <c r="I235" s="323">
        <f>D235-F235</f>
        <v>4.1989999999999998</v>
      </c>
      <c r="J235" s="325" t="s">
        <v>10</v>
      </c>
      <c r="K235" s="323">
        <f>SUM(F235:I235)</f>
        <v>11.209</v>
      </c>
      <c r="L235" s="325" t="s">
        <v>737</v>
      </c>
      <c r="M235" s="363"/>
      <c r="N235" s="328"/>
    </row>
    <row r="236" spans="1:16" ht="20.149999999999999" customHeight="1" x14ac:dyDescent="0.35">
      <c r="A236" s="329">
        <v>4</v>
      </c>
      <c r="B236" s="321">
        <v>151</v>
      </c>
      <c r="C236" s="336" t="s">
        <v>499</v>
      </c>
      <c r="D236" s="336">
        <f>[16]CARRIAGEWAY!$D$13:$L$13</f>
        <v>4.0670000000000002</v>
      </c>
      <c r="E236" s="323">
        <f>'[1]road inventory 2018'!C235</f>
        <v>4</v>
      </c>
      <c r="F236" s="323">
        <v>1.85</v>
      </c>
      <c r="G236" s="323">
        <v>0</v>
      </c>
      <c r="H236" s="323">
        <v>0</v>
      </c>
      <c r="I236" s="323">
        <f>D236-F236</f>
        <v>2.2170000000000001</v>
      </c>
      <c r="J236" s="325" t="s">
        <v>12</v>
      </c>
      <c r="K236" s="323">
        <f>SUM(F236:I236)</f>
        <v>4.0670000000000002</v>
      </c>
      <c r="L236" s="325" t="s">
        <v>738</v>
      </c>
      <c r="M236" s="363"/>
      <c r="N236" s="328"/>
    </row>
    <row r="237" spans="1:16" ht="20.149999999999999" customHeight="1" x14ac:dyDescent="0.35">
      <c r="A237" s="329">
        <v>5</v>
      </c>
      <c r="B237" s="321">
        <v>152</v>
      </c>
      <c r="C237" s="336" t="s">
        <v>120</v>
      </c>
      <c r="D237" s="336">
        <f>[17]CARRIAGEWAY!$D$13:$L$13</f>
        <v>4.7160000000000002</v>
      </c>
      <c r="E237" s="323">
        <f>'[1]road inventory 2018'!C236</f>
        <v>4.5999999999999996</v>
      </c>
      <c r="F237" s="323">
        <v>0.3</v>
      </c>
      <c r="G237" s="323">
        <v>0</v>
      </c>
      <c r="H237" s="323">
        <v>0</v>
      </c>
      <c r="I237" s="323">
        <f>D237-F237</f>
        <v>4.4160000000000004</v>
      </c>
      <c r="J237" s="325" t="s">
        <v>12</v>
      </c>
      <c r="K237" s="323">
        <f>SUM(F237:I237)</f>
        <v>4.7160000000000002</v>
      </c>
      <c r="L237" s="326"/>
      <c r="M237" s="363"/>
      <c r="N237" s="328"/>
      <c r="O237" s="329" t="e">
        <f>#REF!</f>
        <v>#REF!</v>
      </c>
    </row>
    <row r="238" spans="1:16" s="317" customFormat="1" ht="20.149999999999999" customHeight="1" x14ac:dyDescent="0.35">
      <c r="B238" s="373"/>
      <c r="C238" s="374" t="s">
        <v>341</v>
      </c>
      <c r="D238" s="374">
        <f t="shared" ref="D238:I238" si="12">SUM(D233:D237)</f>
        <v>28.124000000000002</v>
      </c>
      <c r="E238" s="375">
        <f t="shared" si="12"/>
        <v>27.6</v>
      </c>
      <c r="F238" s="375">
        <f t="shared" si="12"/>
        <v>13.035</v>
      </c>
      <c r="G238" s="375">
        <f t="shared" si="12"/>
        <v>0</v>
      </c>
      <c r="H238" s="375">
        <f t="shared" si="12"/>
        <v>0</v>
      </c>
      <c r="I238" s="375">
        <f t="shared" si="12"/>
        <v>15.089000000000002</v>
      </c>
      <c r="J238" s="376"/>
      <c r="K238" s="375"/>
      <c r="L238" s="372"/>
      <c r="M238" s="453">
        <f>F238+I238</f>
        <v>28.124000000000002</v>
      </c>
      <c r="N238" s="377"/>
      <c r="O238" s="320">
        <f>O232+P204+P15</f>
        <v>1244.0149999999999</v>
      </c>
    </row>
    <row r="239" spans="1:16" ht="20.149999999999999" customHeight="1" x14ac:dyDescent="0.35">
      <c r="B239" s="321"/>
      <c r="C239" s="330"/>
      <c r="D239" s="330"/>
      <c r="E239" s="323"/>
      <c r="F239" s="323"/>
      <c r="G239" s="323"/>
      <c r="H239" s="323"/>
      <c r="I239" s="323"/>
      <c r="J239" s="325"/>
      <c r="K239" s="323"/>
      <c r="L239" s="326"/>
      <c r="M239" s="363"/>
      <c r="N239" s="328"/>
      <c r="O239" s="331"/>
    </row>
    <row r="240" spans="1:16" ht="20.149999999999999" customHeight="1" x14ac:dyDescent="0.35">
      <c r="B240" s="390" t="s">
        <v>560</v>
      </c>
      <c r="C240" s="388"/>
      <c r="D240" s="388"/>
      <c r="E240" s="385"/>
      <c r="F240" s="385"/>
      <c r="G240" s="385"/>
      <c r="H240" s="385"/>
      <c r="I240" s="385"/>
      <c r="J240" s="386"/>
      <c r="K240" s="385"/>
      <c r="L240" s="399"/>
      <c r="M240" s="454"/>
      <c r="N240" s="387"/>
      <c r="O240" s="754" t="e">
        <f>O238-O237</f>
        <v>#REF!</v>
      </c>
    </row>
    <row r="241" spans="1:15" ht="20.149999999999999" customHeight="1" x14ac:dyDescent="0.35">
      <c r="A241" s="329">
        <v>1</v>
      </c>
      <c r="B241" s="321">
        <v>204</v>
      </c>
      <c r="C241" s="336" t="s">
        <v>561</v>
      </c>
      <c r="D241" s="336"/>
      <c r="E241" s="323">
        <f>'[1]road inventory 2018'!C298</f>
        <v>15.87</v>
      </c>
      <c r="F241" s="323">
        <v>6.92</v>
      </c>
      <c r="G241" s="323">
        <v>2.5499999999999998</v>
      </c>
      <c r="H241" s="323">
        <v>0</v>
      </c>
      <c r="I241" s="323">
        <v>6.4</v>
      </c>
      <c r="J241" s="325" t="s">
        <v>33</v>
      </c>
      <c r="K241" s="323">
        <f t="shared" ref="K241:K251" si="13">SUM(F241:I241)</f>
        <v>15.87</v>
      </c>
      <c r="L241" s="326" t="s">
        <v>562</v>
      </c>
      <c r="M241" s="363"/>
      <c r="N241" s="328"/>
    </row>
    <row r="242" spans="1:15" ht="20.149999999999999" customHeight="1" x14ac:dyDescent="0.35">
      <c r="A242" s="329">
        <v>2</v>
      </c>
      <c r="B242" s="321">
        <v>205</v>
      </c>
      <c r="C242" s="336" t="s">
        <v>563</v>
      </c>
      <c r="D242" s="336"/>
      <c r="E242" s="323">
        <f>'[1]road inventory 2018'!C299</f>
        <v>0.37</v>
      </c>
      <c r="F242" s="323">
        <v>0.37</v>
      </c>
      <c r="G242" s="323">
        <v>0</v>
      </c>
      <c r="H242" s="323">
        <v>0</v>
      </c>
      <c r="I242" s="323">
        <v>0</v>
      </c>
      <c r="J242" s="325" t="s">
        <v>10</v>
      </c>
      <c r="K242" s="323">
        <f t="shared" si="13"/>
        <v>0.37</v>
      </c>
      <c r="L242" s="326" t="s">
        <v>564</v>
      </c>
      <c r="M242" s="363"/>
      <c r="N242" s="328"/>
    </row>
    <row r="243" spans="1:15" ht="20.149999999999999" customHeight="1" x14ac:dyDescent="0.35">
      <c r="A243" s="329">
        <v>3</v>
      </c>
      <c r="B243" s="321">
        <v>213</v>
      </c>
      <c r="C243" s="336" t="s">
        <v>293</v>
      </c>
      <c r="D243" s="336"/>
      <c r="E243" s="323">
        <f>'[1]road inventory 2018'!C300</f>
        <v>1.8599999999999999</v>
      </c>
      <c r="F243" s="323">
        <v>1.86</v>
      </c>
      <c r="G243" s="323">
        <v>0</v>
      </c>
      <c r="H243" s="323">
        <v>0</v>
      </c>
      <c r="I243" s="323">
        <v>0</v>
      </c>
      <c r="J243" s="325" t="s">
        <v>12</v>
      </c>
      <c r="K243" s="323">
        <f t="shared" si="13"/>
        <v>1.86</v>
      </c>
      <c r="L243" s="326" t="s">
        <v>565</v>
      </c>
      <c r="M243" s="363"/>
      <c r="N243" s="328"/>
    </row>
    <row r="244" spans="1:15" ht="20.149999999999999" customHeight="1" x14ac:dyDescent="0.35">
      <c r="A244" s="329">
        <v>4</v>
      </c>
      <c r="B244" s="321">
        <v>206</v>
      </c>
      <c r="C244" s="336" t="s">
        <v>295</v>
      </c>
      <c r="D244" s="336"/>
      <c r="E244" s="323">
        <f>'[1]road inventory 2018'!C301</f>
        <v>2</v>
      </c>
      <c r="F244" s="323">
        <v>2</v>
      </c>
      <c r="G244" s="323">
        <v>0</v>
      </c>
      <c r="H244" s="323">
        <v>0</v>
      </c>
      <c r="I244" s="323">
        <v>0</v>
      </c>
      <c r="J244" s="325" t="s">
        <v>12</v>
      </c>
      <c r="K244" s="323">
        <f t="shared" si="13"/>
        <v>2</v>
      </c>
      <c r="L244" s="326" t="s">
        <v>566</v>
      </c>
      <c r="M244" s="363"/>
      <c r="N244" s="328"/>
    </row>
    <row r="245" spans="1:15" ht="20.149999999999999" customHeight="1" x14ac:dyDescent="0.35">
      <c r="A245" s="329">
        <v>5</v>
      </c>
      <c r="B245" s="321">
        <v>207</v>
      </c>
      <c r="C245" s="336" t="s">
        <v>292</v>
      </c>
      <c r="D245" s="336"/>
      <c r="E245" s="323">
        <f>'[1]road inventory 2018'!C302</f>
        <v>3.38</v>
      </c>
      <c r="F245" s="323">
        <v>2.4660000000000002</v>
      </c>
      <c r="G245" s="323">
        <v>0</v>
      </c>
      <c r="H245" s="323">
        <v>0.91400000000000003</v>
      </c>
      <c r="I245" s="323">
        <v>0</v>
      </c>
      <c r="J245" s="325" t="s">
        <v>41</v>
      </c>
      <c r="K245" s="323">
        <f t="shared" si="13"/>
        <v>3.3800000000000003</v>
      </c>
      <c r="L245" s="326" t="s">
        <v>567</v>
      </c>
      <c r="M245" s="363"/>
      <c r="N245" s="328"/>
    </row>
    <row r="246" spans="1:15" ht="20.149999999999999" customHeight="1" x14ac:dyDescent="0.35">
      <c r="A246" s="329">
        <v>6</v>
      </c>
      <c r="B246" s="321">
        <v>229</v>
      </c>
      <c r="C246" s="336" t="s">
        <v>568</v>
      </c>
      <c r="D246" s="336"/>
      <c r="E246" s="323">
        <f>'[1]road inventory 2018'!C303</f>
        <v>0.1</v>
      </c>
      <c r="F246" s="323">
        <v>0</v>
      </c>
      <c r="G246" s="323">
        <v>0</v>
      </c>
      <c r="H246" s="323">
        <v>0</v>
      </c>
      <c r="I246" s="323">
        <v>0.1</v>
      </c>
      <c r="J246" s="325" t="s">
        <v>33</v>
      </c>
      <c r="K246" s="323">
        <f t="shared" si="13"/>
        <v>0.1</v>
      </c>
      <c r="L246" s="326" t="s">
        <v>569</v>
      </c>
      <c r="M246" s="363"/>
      <c r="N246" s="328"/>
    </row>
    <row r="247" spans="1:15" ht="20.149999999999999" customHeight="1" x14ac:dyDescent="0.35">
      <c r="A247" s="329">
        <v>7</v>
      </c>
      <c r="B247" s="321">
        <v>215</v>
      </c>
      <c r="C247" s="336" t="s">
        <v>570</v>
      </c>
      <c r="D247" s="336"/>
      <c r="E247" s="323">
        <f>'[1]road inventory 2018'!C307</f>
        <v>3.8</v>
      </c>
      <c r="F247" s="323">
        <v>1</v>
      </c>
      <c r="G247" s="323">
        <v>2.8</v>
      </c>
      <c r="H247" s="323">
        <v>0</v>
      </c>
      <c r="I247" s="323">
        <v>0</v>
      </c>
      <c r="J247" s="325" t="s">
        <v>41</v>
      </c>
      <c r="K247" s="323">
        <f t="shared" si="13"/>
        <v>3.8</v>
      </c>
      <c r="L247" s="326" t="s">
        <v>571</v>
      </c>
      <c r="M247" s="363"/>
      <c r="N247" s="328">
        <v>1</v>
      </c>
    </row>
    <row r="248" spans="1:15" ht="20.149999999999999" customHeight="1" x14ac:dyDescent="0.35">
      <c r="A248" s="329">
        <v>8</v>
      </c>
      <c r="B248" s="321">
        <v>208</v>
      </c>
      <c r="C248" s="336" t="s">
        <v>572</v>
      </c>
      <c r="D248" s="336"/>
      <c r="E248" s="323">
        <f>'[1]road inventory 2018'!C308</f>
        <v>4.3</v>
      </c>
      <c r="F248" s="323">
        <v>1</v>
      </c>
      <c r="G248" s="323">
        <v>0.25</v>
      </c>
      <c r="H248" s="323">
        <v>0</v>
      </c>
      <c r="I248" s="323">
        <v>3.05</v>
      </c>
      <c r="J248" s="325" t="s">
        <v>10</v>
      </c>
      <c r="K248" s="323">
        <f t="shared" si="13"/>
        <v>4.3</v>
      </c>
      <c r="L248" s="326" t="s">
        <v>573</v>
      </c>
      <c r="M248" s="363"/>
      <c r="N248" s="328">
        <v>1</v>
      </c>
    </row>
    <row r="249" spans="1:15" ht="20.149999999999999" customHeight="1" x14ac:dyDescent="0.35">
      <c r="A249" s="329">
        <v>9</v>
      </c>
      <c r="B249" s="321">
        <v>209</v>
      </c>
      <c r="C249" s="336" t="s">
        <v>294</v>
      </c>
      <c r="D249" s="336"/>
      <c r="E249" s="323">
        <f>'[1]road inventory 2018'!C309</f>
        <v>2.6</v>
      </c>
      <c r="F249" s="323">
        <f>0.866+1.334</f>
        <v>2.2000000000000002</v>
      </c>
      <c r="G249" s="323">
        <v>0</v>
      </c>
      <c r="H249" s="323">
        <v>0</v>
      </c>
      <c r="I249" s="323">
        <v>0.4</v>
      </c>
      <c r="J249" s="325" t="s">
        <v>12</v>
      </c>
      <c r="K249" s="323">
        <f t="shared" si="13"/>
        <v>2.6</v>
      </c>
      <c r="L249" s="326" t="s">
        <v>574</v>
      </c>
      <c r="M249" s="363"/>
      <c r="N249" s="328"/>
    </row>
    <row r="250" spans="1:15" ht="20.149999999999999" customHeight="1" x14ac:dyDescent="0.35">
      <c r="A250" s="329">
        <v>10</v>
      </c>
      <c r="B250" s="321">
        <v>210</v>
      </c>
      <c r="C250" s="336" t="s">
        <v>575</v>
      </c>
      <c r="D250" s="336"/>
      <c r="E250" s="323">
        <f>'[1]road inventory 2018'!C310</f>
        <v>0.8</v>
      </c>
      <c r="F250" s="323">
        <v>0.8</v>
      </c>
      <c r="G250" s="323">
        <v>0</v>
      </c>
      <c r="H250" s="323">
        <v>0</v>
      </c>
      <c r="I250" s="323">
        <v>0</v>
      </c>
      <c r="J250" s="325" t="s">
        <v>12</v>
      </c>
      <c r="K250" s="323">
        <f t="shared" si="13"/>
        <v>0.8</v>
      </c>
      <c r="L250" s="326" t="s">
        <v>576</v>
      </c>
      <c r="M250" s="363"/>
      <c r="N250" s="328"/>
    </row>
    <row r="251" spans="1:15" ht="20.149999999999999" customHeight="1" x14ac:dyDescent="0.35">
      <c r="A251" s="329">
        <v>11</v>
      </c>
      <c r="B251" s="321">
        <v>211</v>
      </c>
      <c r="C251" s="336" t="s">
        <v>577</v>
      </c>
      <c r="D251" s="336"/>
      <c r="E251" s="323">
        <f>'[1]road inventory 2018'!C311</f>
        <v>0.7</v>
      </c>
      <c r="F251" s="323">
        <v>0.7</v>
      </c>
      <c r="G251" s="323">
        <v>0</v>
      </c>
      <c r="H251" s="323">
        <v>0</v>
      </c>
      <c r="I251" s="323">
        <v>0</v>
      </c>
      <c r="J251" s="325" t="s">
        <v>12</v>
      </c>
      <c r="K251" s="323">
        <f t="shared" si="13"/>
        <v>0.7</v>
      </c>
      <c r="L251" s="326" t="s">
        <v>578</v>
      </c>
      <c r="M251" s="363"/>
      <c r="N251" s="328"/>
    </row>
    <row r="252" spans="1:15" s="317" customFormat="1" ht="20.149999999999999" customHeight="1" x14ac:dyDescent="0.35">
      <c r="B252" s="373"/>
      <c r="C252" s="374" t="s">
        <v>341</v>
      </c>
      <c r="D252" s="374"/>
      <c r="E252" s="375">
        <f>SUM(E241:E251)</f>
        <v>35.78</v>
      </c>
      <c r="F252" s="375">
        <f>SUM(F241:F251)</f>
        <v>19.315999999999999</v>
      </c>
      <c r="G252" s="375">
        <f>SUM(G241:G251)</f>
        <v>5.6</v>
      </c>
      <c r="H252" s="375">
        <f>SUM(H241:H251)</f>
        <v>0.91400000000000003</v>
      </c>
      <c r="I252" s="375">
        <f>SUM(I241:I251)</f>
        <v>9.9500000000000011</v>
      </c>
      <c r="J252" s="376"/>
      <c r="K252" s="375"/>
      <c r="L252" s="372"/>
      <c r="M252" s="453"/>
      <c r="N252" s="377"/>
      <c r="O252" s="320"/>
    </row>
    <row r="253" spans="1:15" ht="20.149999999999999" customHeight="1" x14ac:dyDescent="0.35">
      <c r="B253" s="321"/>
      <c r="C253" s="330"/>
      <c r="D253" s="330"/>
      <c r="E253" s="323"/>
      <c r="F253" s="323"/>
      <c r="G253" s="323"/>
      <c r="H253" s="323"/>
      <c r="I253" s="323"/>
      <c r="J253" s="325"/>
      <c r="K253" s="323"/>
      <c r="L253" s="326"/>
      <c r="M253" s="363"/>
      <c r="N253" s="328"/>
      <c r="O253" s="331"/>
    </row>
    <row r="254" spans="1:15" s="319" customFormat="1" ht="20.149999999999999" customHeight="1" x14ac:dyDescent="0.35">
      <c r="B254" s="390" t="s">
        <v>461</v>
      </c>
      <c r="C254" s="401"/>
      <c r="D254" s="401"/>
      <c r="E254" s="407"/>
      <c r="F254" s="408"/>
      <c r="G254" s="408"/>
      <c r="H254" s="408"/>
      <c r="I254" s="407"/>
      <c r="J254" s="372"/>
      <c r="K254" s="375"/>
      <c r="L254" s="400"/>
      <c r="M254" s="459"/>
      <c r="N254" s="409"/>
    </row>
    <row r="255" spans="1:15" ht="20.149999999999999" customHeight="1" x14ac:dyDescent="0.35">
      <c r="A255" s="329">
        <v>1</v>
      </c>
      <c r="B255" s="321">
        <v>89</v>
      </c>
      <c r="C255" s="336" t="s">
        <v>462</v>
      </c>
      <c r="D255" s="330">
        <v>0.63</v>
      </c>
      <c r="E255" s="323">
        <f>'[1]road inventory 2018'!C179</f>
        <v>0.63</v>
      </c>
      <c r="F255" s="323">
        <v>0.28000000000000003</v>
      </c>
      <c r="G255" s="323">
        <v>0</v>
      </c>
      <c r="H255" s="323">
        <v>0</v>
      </c>
      <c r="I255" s="323">
        <f t="shared" ref="I255:I260" si="14">D255-F255</f>
        <v>0.35</v>
      </c>
      <c r="J255" s="326" t="s">
        <v>10</v>
      </c>
      <c r="K255" s="323">
        <f t="shared" ref="K255:K271" si="15">SUM(F255:I255)</f>
        <v>0.63</v>
      </c>
      <c r="L255" s="326" t="s">
        <v>360</v>
      </c>
      <c r="M255" s="363"/>
      <c r="N255" s="328"/>
    </row>
    <row r="256" spans="1:15" ht="20.149999999999999" customHeight="1" x14ac:dyDescent="0.35">
      <c r="A256" s="329">
        <v>2</v>
      </c>
      <c r="B256" s="321">
        <v>109</v>
      </c>
      <c r="C256" s="336" t="s">
        <v>285</v>
      </c>
      <c r="D256" s="336">
        <v>2.6</v>
      </c>
      <c r="E256" s="323">
        <f>'[1]road inventory 2018'!C180</f>
        <v>2.5</v>
      </c>
      <c r="F256" s="323">
        <v>0.22</v>
      </c>
      <c r="G256" s="323">
        <v>0</v>
      </c>
      <c r="H256" s="323">
        <v>0</v>
      </c>
      <c r="I256" s="323">
        <f t="shared" si="14"/>
        <v>2.38</v>
      </c>
      <c r="J256" s="326" t="s">
        <v>10</v>
      </c>
      <c r="K256" s="323">
        <f t="shared" si="15"/>
        <v>2.6</v>
      </c>
      <c r="L256" s="326" t="s">
        <v>463</v>
      </c>
      <c r="M256" s="363"/>
      <c r="N256" s="328"/>
    </row>
    <row r="257" spans="1:15" ht="20.149999999999999" customHeight="1" x14ac:dyDescent="0.35">
      <c r="A257" s="329">
        <v>3</v>
      </c>
      <c r="B257" s="321">
        <v>110</v>
      </c>
      <c r="C257" s="336" t="s">
        <v>65</v>
      </c>
      <c r="D257" s="336">
        <f>[27]CARRIAGEWAY!$D$13:$L$13</f>
        <v>7.04</v>
      </c>
      <c r="E257" s="323">
        <f>'[1]road inventory 2018'!C181</f>
        <v>7.3</v>
      </c>
      <c r="F257" s="323">
        <v>0.84</v>
      </c>
      <c r="G257" s="323">
        <v>0</v>
      </c>
      <c r="H257" s="323">
        <v>0</v>
      </c>
      <c r="I257" s="323">
        <f t="shared" si="14"/>
        <v>6.2</v>
      </c>
      <c r="J257" s="326" t="s">
        <v>12</v>
      </c>
      <c r="K257" s="323">
        <f t="shared" si="15"/>
        <v>7.04</v>
      </c>
      <c r="L257" s="326" t="s">
        <v>464</v>
      </c>
      <c r="M257" s="363"/>
      <c r="N257" s="328"/>
    </row>
    <row r="258" spans="1:15" ht="20.149999999999999" customHeight="1" x14ac:dyDescent="0.35">
      <c r="A258" s="329">
        <v>4</v>
      </c>
      <c r="B258" s="321">
        <v>111</v>
      </c>
      <c r="C258" s="336" t="s">
        <v>66</v>
      </c>
      <c r="D258" s="336">
        <f>[28]CARRIAGEWAY!$D$13:$L$13</f>
        <v>15.472</v>
      </c>
      <c r="E258" s="323">
        <f>'[1]road inventory 2018'!C182</f>
        <v>15.4</v>
      </c>
      <c r="F258" s="323">
        <v>1.0900000000000001</v>
      </c>
      <c r="G258" s="323">
        <v>0</v>
      </c>
      <c r="H258" s="323">
        <v>0</v>
      </c>
      <c r="I258" s="323">
        <f t="shared" si="14"/>
        <v>14.382</v>
      </c>
      <c r="J258" s="326" t="s">
        <v>12</v>
      </c>
      <c r="K258" s="323">
        <f t="shared" si="15"/>
        <v>15.472</v>
      </c>
      <c r="L258" s="326" t="s">
        <v>465</v>
      </c>
      <c r="M258" s="363"/>
      <c r="N258" s="328"/>
    </row>
    <row r="259" spans="1:15" ht="20.149999999999999" customHeight="1" x14ac:dyDescent="0.35">
      <c r="A259" s="329">
        <v>5</v>
      </c>
      <c r="B259" s="321">
        <v>112</v>
      </c>
      <c r="C259" s="336" t="s">
        <v>73</v>
      </c>
      <c r="D259" s="336">
        <f>[29]CARRIAGEWAY!$D$13:$L$13</f>
        <v>8.3879999999999999</v>
      </c>
      <c r="E259" s="323">
        <f>'[1]road inventory 2018'!C183</f>
        <v>8.4</v>
      </c>
      <c r="F259" s="323">
        <v>0.21</v>
      </c>
      <c r="G259" s="323">
        <v>0</v>
      </c>
      <c r="H259" s="323">
        <v>0</v>
      </c>
      <c r="I259" s="323">
        <f t="shared" si="14"/>
        <v>8.177999999999999</v>
      </c>
      <c r="J259" s="326" t="s">
        <v>12</v>
      </c>
      <c r="K259" s="323">
        <f t="shared" si="15"/>
        <v>8.3879999999999999</v>
      </c>
      <c r="L259" s="326" t="s">
        <v>466</v>
      </c>
      <c r="M259" s="363"/>
      <c r="N259" s="328"/>
    </row>
    <row r="260" spans="1:15" ht="20.149999999999999" customHeight="1" x14ac:dyDescent="0.35">
      <c r="A260" s="329">
        <v>6</v>
      </c>
      <c r="B260" s="321">
        <v>113</v>
      </c>
      <c r="C260" s="336" t="s">
        <v>75</v>
      </c>
      <c r="D260" s="336">
        <f>[18]CARRIAGEWAY!$D$13:$L$13</f>
        <v>1.59</v>
      </c>
      <c r="E260" s="323">
        <f>'[1]road inventory 2018'!C184</f>
        <v>1.5</v>
      </c>
      <c r="F260" s="323">
        <v>0.1</v>
      </c>
      <c r="G260" s="323">
        <v>0</v>
      </c>
      <c r="H260" s="323">
        <v>0</v>
      </c>
      <c r="I260" s="323">
        <f t="shared" si="14"/>
        <v>1.49</v>
      </c>
      <c r="J260" s="326" t="s">
        <v>12</v>
      </c>
      <c r="K260" s="323">
        <f t="shared" si="15"/>
        <v>1.59</v>
      </c>
      <c r="L260" s="326" t="s">
        <v>467</v>
      </c>
      <c r="M260" s="363"/>
      <c r="N260" s="328"/>
    </row>
    <row r="261" spans="1:15" ht="20.149999999999999" customHeight="1" x14ac:dyDescent="0.35">
      <c r="A261" s="329">
        <v>7</v>
      </c>
      <c r="B261" s="321">
        <v>114</v>
      </c>
      <c r="C261" s="336" t="s">
        <v>468</v>
      </c>
      <c r="D261" s="336">
        <f>[30]CARRIAGEWAY!$D$13:$L$13</f>
        <v>9.5949999999999989</v>
      </c>
      <c r="E261" s="323">
        <f>'[1]road inventory 2018'!C185</f>
        <v>9.5</v>
      </c>
      <c r="F261" s="323">
        <v>0</v>
      </c>
      <c r="G261" s="323">
        <v>0</v>
      </c>
      <c r="H261" s="323">
        <v>0</v>
      </c>
      <c r="I261" s="323">
        <f>D261</f>
        <v>9.5949999999999989</v>
      </c>
      <c r="J261" s="325" t="s">
        <v>12</v>
      </c>
      <c r="K261" s="323">
        <f t="shared" si="15"/>
        <v>9.5949999999999989</v>
      </c>
      <c r="L261" s="326" t="s">
        <v>469</v>
      </c>
      <c r="M261" s="363"/>
      <c r="N261" s="328"/>
    </row>
    <row r="262" spans="1:15" ht="20.149999999999999" customHeight="1" x14ac:dyDescent="0.35">
      <c r="A262" s="329">
        <v>8</v>
      </c>
      <c r="B262" s="321">
        <v>115</v>
      </c>
      <c r="C262" s="336" t="s">
        <v>77</v>
      </c>
      <c r="D262" s="336">
        <f>[31]CARRIAGEWAY!$D$13:$L$13</f>
        <v>11.143000000000001</v>
      </c>
      <c r="E262" s="323">
        <f>'[1]road inventory 2018'!C186</f>
        <v>10.700000000000001</v>
      </c>
      <c r="F262" s="323">
        <f>D262</f>
        <v>11.143000000000001</v>
      </c>
      <c r="G262" s="323">
        <v>0</v>
      </c>
      <c r="H262" s="323">
        <v>0</v>
      </c>
      <c r="I262" s="323">
        <v>0</v>
      </c>
      <c r="J262" s="326" t="s">
        <v>10</v>
      </c>
      <c r="K262" s="323">
        <f t="shared" si="15"/>
        <v>11.143000000000001</v>
      </c>
      <c r="L262" s="326" t="s">
        <v>470</v>
      </c>
      <c r="M262" s="363"/>
      <c r="N262" s="328"/>
    </row>
    <row r="263" spans="1:15" ht="20.149999999999999" customHeight="1" x14ac:dyDescent="0.35">
      <c r="A263" s="329">
        <v>9</v>
      </c>
      <c r="B263" s="321">
        <v>117</v>
      </c>
      <c r="C263" s="336" t="s">
        <v>79</v>
      </c>
      <c r="D263" s="336">
        <f>[32]CARRIAGEWAY!$D$13:$L$13</f>
        <v>8.0359999999999996</v>
      </c>
      <c r="E263" s="323">
        <f>'[1]road inventory 2018'!C187</f>
        <v>8.6</v>
      </c>
      <c r="F263" s="323">
        <v>2.1800000000000002</v>
      </c>
      <c r="G263" s="323">
        <v>0</v>
      </c>
      <c r="H263" s="323">
        <v>0</v>
      </c>
      <c r="I263" s="323">
        <f>D263-F263</f>
        <v>5.8559999999999999</v>
      </c>
      <c r="J263" s="325" t="s">
        <v>12</v>
      </c>
      <c r="K263" s="323">
        <f t="shared" si="15"/>
        <v>8.0359999999999996</v>
      </c>
      <c r="L263" s="326" t="s">
        <v>471</v>
      </c>
      <c r="M263" s="363"/>
      <c r="N263" s="328"/>
    </row>
    <row r="264" spans="1:15" ht="20.149999999999999" customHeight="1" x14ac:dyDescent="0.35">
      <c r="A264" s="329">
        <v>10</v>
      </c>
      <c r="B264" s="321">
        <v>118</v>
      </c>
      <c r="C264" s="336" t="s">
        <v>83</v>
      </c>
      <c r="D264" s="336">
        <v>0.9</v>
      </c>
      <c r="E264" s="323">
        <f>'[1]road inventory 2018'!C188</f>
        <v>3.4</v>
      </c>
      <c r="F264" s="323">
        <v>0</v>
      </c>
      <c r="G264" s="323">
        <v>0</v>
      </c>
      <c r="H264" s="323">
        <v>0</v>
      </c>
      <c r="I264" s="323">
        <f>D264</f>
        <v>0.9</v>
      </c>
      <c r="J264" s="325" t="s">
        <v>41</v>
      </c>
      <c r="K264" s="323">
        <f t="shared" si="15"/>
        <v>0.9</v>
      </c>
      <c r="L264" s="326" t="s">
        <v>472</v>
      </c>
      <c r="M264" s="363" t="s">
        <v>848</v>
      </c>
      <c r="N264" s="328"/>
    </row>
    <row r="265" spans="1:15" ht="20.149999999999999" customHeight="1" x14ac:dyDescent="0.35">
      <c r="A265" s="329">
        <v>11</v>
      </c>
      <c r="B265" s="321">
        <v>132</v>
      </c>
      <c r="C265" s="336" t="s">
        <v>85</v>
      </c>
      <c r="D265" s="336">
        <f>[33]CARRIAGEWAY!$D$13:$L$13</f>
        <v>13.338000000000001</v>
      </c>
      <c r="E265" s="323">
        <f>'[1]road inventory 2018'!C189</f>
        <v>13.5</v>
      </c>
      <c r="F265" s="323">
        <v>9.7330000000000005</v>
      </c>
      <c r="G265" s="323">
        <v>0</v>
      </c>
      <c r="H265" s="323">
        <v>0</v>
      </c>
      <c r="I265" s="323">
        <f>D265-F265</f>
        <v>3.6050000000000004</v>
      </c>
      <c r="J265" s="325" t="s">
        <v>10</v>
      </c>
      <c r="K265" s="323">
        <f t="shared" si="15"/>
        <v>13.338000000000001</v>
      </c>
      <c r="L265" s="326" t="s">
        <v>473</v>
      </c>
      <c r="M265" s="363"/>
      <c r="N265" s="328">
        <f>1.895+2.42</f>
        <v>4.3149999999999995</v>
      </c>
    </row>
    <row r="266" spans="1:15" ht="20.149999999999999" customHeight="1" x14ac:dyDescent="0.35">
      <c r="A266" s="329">
        <v>12</v>
      </c>
      <c r="B266" s="321">
        <v>139</v>
      </c>
      <c r="C266" s="336" t="s">
        <v>474</v>
      </c>
      <c r="D266" s="336">
        <f>[34]CARRIAGEWAY!$D$13:$L$13</f>
        <v>9.1479999999999997</v>
      </c>
      <c r="E266" s="323">
        <f>'[1]road inventory 2018'!C190</f>
        <v>8.9</v>
      </c>
      <c r="F266" s="323">
        <v>0</v>
      </c>
      <c r="G266" s="323">
        <v>0</v>
      </c>
      <c r="H266" s="323">
        <v>0</v>
      </c>
      <c r="I266" s="323">
        <f>D266</f>
        <v>9.1479999999999997</v>
      </c>
      <c r="J266" s="325" t="s">
        <v>12</v>
      </c>
      <c r="K266" s="323">
        <f t="shared" si="15"/>
        <v>9.1479999999999997</v>
      </c>
      <c r="L266" s="326" t="s">
        <v>475</v>
      </c>
      <c r="M266" s="363"/>
      <c r="N266" s="328"/>
    </row>
    <row r="267" spans="1:15" ht="20.149999999999999" customHeight="1" x14ac:dyDescent="0.35">
      <c r="A267" s="329">
        <v>13</v>
      </c>
      <c r="B267" s="321">
        <v>122</v>
      </c>
      <c r="C267" s="336" t="s">
        <v>476</v>
      </c>
      <c r="D267" s="336">
        <f>[35]CARRIAGEWAY!$D$13:$L$13</f>
        <v>3.8559999999999999</v>
      </c>
      <c r="E267" s="323">
        <f>'[1]road inventory 2018'!C193</f>
        <v>3.25</v>
      </c>
      <c r="F267" s="323">
        <v>2.0139999999999998</v>
      </c>
      <c r="G267" s="323">
        <v>0</v>
      </c>
      <c r="H267" s="323">
        <v>0</v>
      </c>
      <c r="I267" s="323">
        <f>D267-F267</f>
        <v>1.8420000000000001</v>
      </c>
      <c r="J267" s="325" t="s">
        <v>12</v>
      </c>
      <c r="K267" s="323">
        <f t="shared" si="15"/>
        <v>3.8559999999999999</v>
      </c>
      <c r="L267" s="326" t="s">
        <v>477</v>
      </c>
      <c r="M267" s="350" t="s">
        <v>748</v>
      </c>
      <c r="N267" s="328">
        <v>2.0920000000000001</v>
      </c>
    </row>
    <row r="268" spans="1:15" ht="20.149999999999999" customHeight="1" x14ac:dyDescent="0.35">
      <c r="A268" s="329">
        <v>14</v>
      </c>
      <c r="B268" s="321">
        <v>216</v>
      </c>
      <c r="C268" s="336" t="s">
        <v>87</v>
      </c>
      <c r="D268" s="929">
        <f>[19]CARRIAGEWAY!$D$13:$L$13</f>
        <v>6.319</v>
      </c>
      <c r="E268" s="323">
        <f>'[1]road inventory 2018'!C194</f>
        <v>6.1</v>
      </c>
      <c r="F268" s="323">
        <v>0</v>
      </c>
      <c r="G268" s="323">
        <v>0</v>
      </c>
      <c r="H268" s="323">
        <v>0</v>
      </c>
      <c r="I268" s="323">
        <f>D268</f>
        <v>6.319</v>
      </c>
      <c r="J268" s="325" t="s">
        <v>12</v>
      </c>
      <c r="K268" s="323">
        <f t="shared" si="15"/>
        <v>6.319</v>
      </c>
      <c r="L268" s="326" t="s">
        <v>478</v>
      </c>
      <c r="M268" s="363"/>
      <c r="N268" s="328"/>
    </row>
    <row r="269" spans="1:15" ht="20.149999999999999" customHeight="1" x14ac:dyDescent="0.35">
      <c r="A269" s="329">
        <v>15</v>
      </c>
      <c r="B269" s="321">
        <v>133</v>
      </c>
      <c r="C269" s="336" t="s">
        <v>90</v>
      </c>
      <c r="D269" s="929">
        <f>[36]CARRIAGEWAY!$D$13:$L$13</f>
        <v>5.2159999999999993</v>
      </c>
      <c r="E269" s="323">
        <f>'[1]road inventory 2018'!C195</f>
        <v>4.4000000000000004</v>
      </c>
      <c r="F269" s="323">
        <v>0</v>
      </c>
      <c r="G269" s="323">
        <v>0</v>
      </c>
      <c r="H269" s="323">
        <v>0</v>
      </c>
      <c r="I269" s="323">
        <f>D269</f>
        <v>5.2159999999999993</v>
      </c>
      <c r="J269" s="325" t="s">
        <v>12</v>
      </c>
      <c r="K269" s="323">
        <f t="shared" si="15"/>
        <v>5.2159999999999993</v>
      </c>
      <c r="L269" s="326" t="s">
        <v>478</v>
      </c>
      <c r="M269" s="363"/>
      <c r="N269" s="328"/>
    </row>
    <row r="270" spans="1:15" ht="20.149999999999999" customHeight="1" x14ac:dyDescent="0.35">
      <c r="A270" s="329">
        <v>16</v>
      </c>
      <c r="B270" s="321">
        <v>123</v>
      </c>
      <c r="C270" s="336" t="s">
        <v>91</v>
      </c>
      <c r="D270" s="336">
        <f>[37]CARRIAGEWAY!$D$13:$L$13</f>
        <v>17.454000000000001</v>
      </c>
      <c r="E270" s="323">
        <f>'[1]road inventory 2018'!C196</f>
        <v>17</v>
      </c>
      <c r="F270" s="323">
        <v>9.9120000000000008</v>
      </c>
      <c r="G270" s="323">
        <v>0</v>
      </c>
      <c r="H270" s="323">
        <v>0</v>
      </c>
      <c r="I270" s="323">
        <f>D270-F270</f>
        <v>7.5419999999999998</v>
      </c>
      <c r="J270" s="325" t="s">
        <v>12</v>
      </c>
      <c r="K270" s="323">
        <f t="shared" si="15"/>
        <v>17.454000000000001</v>
      </c>
      <c r="L270" s="326" t="s">
        <v>475</v>
      </c>
      <c r="M270" s="363"/>
      <c r="N270" s="328">
        <v>12.19</v>
      </c>
    </row>
    <row r="271" spans="1:15" ht="20.149999999999999" customHeight="1" x14ac:dyDescent="0.35">
      <c r="A271" s="329">
        <v>17</v>
      </c>
      <c r="B271" s="321">
        <v>134</v>
      </c>
      <c r="C271" s="335" t="s">
        <v>284</v>
      </c>
      <c r="D271" s="928">
        <f>[20]CARRIAGEWAY!$D$13:$L$13</f>
        <v>8.4459999999999997</v>
      </c>
      <c r="E271" s="323">
        <f>'[1]road inventory 2018'!C197</f>
        <v>8.3000000000000007</v>
      </c>
      <c r="F271" s="323">
        <v>0</v>
      </c>
      <c r="G271" s="323">
        <v>0</v>
      </c>
      <c r="H271" s="323">
        <v>0</v>
      </c>
      <c r="I271" s="323">
        <f>D271</f>
        <v>8.4459999999999997</v>
      </c>
      <c r="J271" s="325" t="s">
        <v>12</v>
      </c>
      <c r="K271" s="323">
        <f t="shared" si="15"/>
        <v>8.4459999999999997</v>
      </c>
      <c r="L271" s="326"/>
      <c r="M271" s="363"/>
      <c r="N271" s="328"/>
    </row>
    <row r="272" spans="1:15" s="317" customFormat="1" ht="20.149999999999999" customHeight="1" x14ac:dyDescent="0.35">
      <c r="B272" s="373"/>
      <c r="C272" s="374" t="s">
        <v>341</v>
      </c>
      <c r="D272" s="374">
        <f t="shared" ref="D272:I272" si="16">SUM(D255:D271)</f>
        <v>129.17099999999999</v>
      </c>
      <c r="E272" s="375">
        <f t="shared" si="16"/>
        <v>129.38000000000002</v>
      </c>
      <c r="F272" s="375">
        <f t="shared" si="16"/>
        <v>37.722000000000001</v>
      </c>
      <c r="G272" s="375">
        <f t="shared" si="16"/>
        <v>0</v>
      </c>
      <c r="H272" s="375">
        <f t="shared" si="16"/>
        <v>0</v>
      </c>
      <c r="I272" s="375">
        <f t="shared" si="16"/>
        <v>91.448999999999984</v>
      </c>
      <c r="J272" s="376"/>
      <c r="K272" s="375"/>
      <c r="L272" s="372"/>
      <c r="M272" s="453">
        <f>F272+I272</f>
        <v>129.17099999999999</v>
      </c>
      <c r="N272" s="377"/>
      <c r="O272" s="320"/>
    </row>
    <row r="273" spans="1:15" ht="20.149999999999999" customHeight="1" x14ac:dyDescent="0.35">
      <c r="B273" s="321"/>
      <c r="C273" s="330"/>
      <c r="D273" s="330"/>
      <c r="E273" s="323"/>
      <c r="F273" s="323"/>
      <c r="G273" s="323"/>
      <c r="H273" s="323"/>
      <c r="I273" s="323"/>
      <c r="J273" s="325"/>
      <c r="K273" s="323"/>
      <c r="L273" s="326"/>
      <c r="M273" s="363"/>
      <c r="N273" s="328"/>
      <c r="O273" s="331"/>
    </row>
    <row r="274" spans="1:15" s="317" customFormat="1" ht="20.149999999999999" customHeight="1" x14ac:dyDescent="0.35">
      <c r="B274" s="389" t="s">
        <v>479</v>
      </c>
      <c r="C274" s="378"/>
      <c r="D274" s="378"/>
      <c r="E274" s="375"/>
      <c r="F274" s="375"/>
      <c r="G274" s="375"/>
      <c r="H274" s="375"/>
      <c r="I274" s="375"/>
      <c r="J274" s="376"/>
      <c r="K274" s="375"/>
      <c r="L274" s="400"/>
      <c r="M274" s="453"/>
      <c r="N274" s="377"/>
    </row>
    <row r="275" spans="1:15" ht="20.149999999999999" customHeight="1" x14ac:dyDescent="0.35">
      <c r="A275" s="329">
        <v>1</v>
      </c>
      <c r="B275" s="321">
        <v>136</v>
      </c>
      <c r="C275" s="336" t="s">
        <v>93</v>
      </c>
      <c r="D275" s="336">
        <f>[38]CARRIAGEWAY!$D$13:$L$13</f>
        <v>11.460999999999999</v>
      </c>
      <c r="E275" s="323">
        <f>'[1]road inventory 2018'!C204</f>
        <v>11.3</v>
      </c>
      <c r="F275" s="323">
        <v>10.11</v>
      </c>
      <c r="G275" s="323">
        <v>0</v>
      </c>
      <c r="H275" s="323">
        <v>0</v>
      </c>
      <c r="I275" s="323">
        <f>D275-F275</f>
        <v>1.3509999999999991</v>
      </c>
      <c r="J275" s="326" t="s">
        <v>10</v>
      </c>
      <c r="K275" s="323">
        <f t="shared" ref="K275:K282" si="17">SUM(F275:I275)</f>
        <v>11.460999999999999</v>
      </c>
      <c r="L275" s="326" t="s">
        <v>480</v>
      </c>
      <c r="M275" s="363"/>
      <c r="N275" s="328"/>
    </row>
    <row r="276" spans="1:15" ht="20.149999999999999" customHeight="1" x14ac:dyDescent="0.35">
      <c r="A276" s="329">
        <v>2</v>
      </c>
      <c r="B276" s="321">
        <v>137</v>
      </c>
      <c r="C276" s="336" t="s">
        <v>95</v>
      </c>
      <c r="D276" s="336">
        <f>[39]CARRIAGEWAY!$D$13:$L$13</f>
        <v>14.598999999999998</v>
      </c>
      <c r="E276" s="323">
        <f>'[1]road inventory 2018'!C205</f>
        <v>12.5</v>
      </c>
      <c r="F276" s="323">
        <v>9.9</v>
      </c>
      <c r="G276" s="323">
        <v>0</v>
      </c>
      <c r="H276" s="323">
        <v>0</v>
      </c>
      <c r="I276" s="323">
        <f>D276-F276</f>
        <v>4.6989999999999981</v>
      </c>
      <c r="J276" s="326" t="s">
        <v>10</v>
      </c>
      <c r="K276" s="323">
        <f t="shared" si="17"/>
        <v>14.598999999999998</v>
      </c>
      <c r="L276" s="326" t="s">
        <v>481</v>
      </c>
      <c r="M276" s="363"/>
      <c r="N276" s="328"/>
    </row>
    <row r="277" spans="1:15" ht="20.149999999999999" customHeight="1" x14ac:dyDescent="0.35">
      <c r="A277" s="329">
        <v>3</v>
      </c>
      <c r="B277" s="321">
        <v>119</v>
      </c>
      <c r="C277" s="336" t="s">
        <v>97</v>
      </c>
      <c r="D277" s="336">
        <f>[40]CARRIAGEWAY!$D$13:$L$13</f>
        <v>5.5349999999999993</v>
      </c>
      <c r="E277" s="323">
        <f>'[1]road inventory 2018'!C206</f>
        <v>5.5</v>
      </c>
      <c r="F277" s="323">
        <v>0</v>
      </c>
      <c r="G277" s="323">
        <v>0</v>
      </c>
      <c r="H277" s="323">
        <v>0</v>
      </c>
      <c r="I277" s="323">
        <f>D277</f>
        <v>5.5349999999999993</v>
      </c>
      <c r="J277" s="326" t="s">
        <v>33</v>
      </c>
      <c r="K277" s="323">
        <f t="shared" si="17"/>
        <v>5.5349999999999993</v>
      </c>
      <c r="L277" s="326" t="s">
        <v>482</v>
      </c>
      <c r="M277" s="363"/>
      <c r="N277" s="328"/>
    </row>
    <row r="278" spans="1:15" ht="20.149999999999999" customHeight="1" x14ac:dyDescent="0.35">
      <c r="A278" s="329">
        <v>4</v>
      </c>
      <c r="B278" s="321">
        <v>120</v>
      </c>
      <c r="C278" s="353" t="s">
        <v>99</v>
      </c>
      <c r="D278" s="353">
        <f>[22]CARRIAGEWAY!$D$13:$L$13</f>
        <v>10.984</v>
      </c>
      <c r="E278" s="323">
        <f>'[1]road inventory 2018'!C207</f>
        <v>10.75</v>
      </c>
      <c r="F278" s="323">
        <f>D278</f>
        <v>10.984</v>
      </c>
      <c r="G278" s="323">
        <v>0</v>
      </c>
      <c r="H278" s="323">
        <v>0</v>
      </c>
      <c r="I278" s="323">
        <v>0</v>
      </c>
      <c r="J278" s="326" t="s">
        <v>10</v>
      </c>
      <c r="K278" s="323">
        <f t="shared" si="17"/>
        <v>10.984</v>
      </c>
      <c r="L278" s="326" t="s">
        <v>483</v>
      </c>
      <c r="M278" s="363"/>
      <c r="N278" s="328"/>
    </row>
    <row r="279" spans="1:15" ht="20.149999999999999" customHeight="1" x14ac:dyDescent="0.35">
      <c r="A279" s="329">
        <v>5</v>
      </c>
      <c r="B279" s="321">
        <v>140</v>
      </c>
      <c r="C279" s="336" t="s">
        <v>101</v>
      </c>
      <c r="D279" s="336">
        <f>[41]CARRIAGEWAY!$D$13:$L$13</f>
        <v>20.084</v>
      </c>
      <c r="E279" s="323">
        <f>'[1]road inventory 2018'!C208</f>
        <v>19.52</v>
      </c>
      <c r="F279" s="323">
        <v>1.2909999999999999</v>
      </c>
      <c r="G279" s="323">
        <v>0</v>
      </c>
      <c r="H279" s="323">
        <v>0</v>
      </c>
      <c r="I279" s="323">
        <f>D279-F279</f>
        <v>18.792999999999999</v>
      </c>
      <c r="J279" s="326" t="s">
        <v>12</v>
      </c>
      <c r="K279" s="323">
        <f t="shared" si="17"/>
        <v>20.084</v>
      </c>
      <c r="L279" s="326"/>
      <c r="M279" s="363"/>
      <c r="N279" s="328"/>
    </row>
    <row r="280" spans="1:15" ht="20.149999999999999" customHeight="1" x14ac:dyDescent="0.35">
      <c r="A280" s="329">
        <v>6</v>
      </c>
      <c r="B280" s="321">
        <v>138</v>
      </c>
      <c r="C280" s="336" t="s">
        <v>103</v>
      </c>
      <c r="D280" s="336">
        <f>[42]CARRIAGEWAY!$D$13:$L$13</f>
        <v>5.6609999999999996</v>
      </c>
      <c r="E280" s="323">
        <f>'[1]road inventory 2018'!C209</f>
        <v>5.0999999999999996</v>
      </c>
      <c r="F280" s="323">
        <v>0</v>
      </c>
      <c r="G280" s="323">
        <v>0</v>
      </c>
      <c r="H280" s="323">
        <v>0</v>
      </c>
      <c r="I280" s="323">
        <f>D280</f>
        <v>5.6609999999999996</v>
      </c>
      <c r="J280" s="325" t="s">
        <v>12</v>
      </c>
      <c r="K280" s="323">
        <f t="shared" si="17"/>
        <v>5.6609999999999996</v>
      </c>
      <c r="L280" s="326" t="s">
        <v>484</v>
      </c>
      <c r="M280" s="363"/>
      <c r="N280" s="328"/>
    </row>
    <row r="281" spans="1:15" ht="20.149999999999999" customHeight="1" x14ac:dyDescent="0.35">
      <c r="A281" s="329">
        <v>7</v>
      </c>
      <c r="B281" s="321">
        <v>124</v>
      </c>
      <c r="C281" s="336" t="s">
        <v>485</v>
      </c>
      <c r="D281" s="336">
        <f>[43]CARRIAGEWAY!$D$13:$L$13</f>
        <v>17.052</v>
      </c>
      <c r="E281" s="323">
        <f>'[1]road inventory 2018'!C210</f>
        <v>17</v>
      </c>
      <c r="F281" s="323">
        <v>3.6110000000000002</v>
      </c>
      <c r="G281" s="323">
        <v>0</v>
      </c>
      <c r="H281" s="323">
        <v>0</v>
      </c>
      <c r="I281" s="323">
        <f>D281-F281</f>
        <v>13.440999999999999</v>
      </c>
      <c r="J281" s="325" t="s">
        <v>12</v>
      </c>
      <c r="K281" s="323">
        <f t="shared" si="17"/>
        <v>17.052</v>
      </c>
      <c r="L281" s="326"/>
      <c r="M281" s="363"/>
      <c r="N281" s="328"/>
    </row>
    <row r="282" spans="1:15" ht="20.149999999999999" customHeight="1" x14ac:dyDescent="0.35">
      <c r="A282" s="329">
        <v>8</v>
      </c>
      <c r="B282" s="321">
        <v>141</v>
      </c>
      <c r="C282" s="336" t="s">
        <v>486</v>
      </c>
      <c r="D282" s="336">
        <f>[44]CARRIAGEWAY!$D$13:$L$13</f>
        <v>1.925</v>
      </c>
      <c r="E282" s="323">
        <f>'[1]road inventory 2018'!C211</f>
        <v>6</v>
      </c>
      <c r="F282" s="323">
        <v>0</v>
      </c>
      <c r="G282" s="323">
        <v>0</v>
      </c>
      <c r="H282" s="323">
        <v>0</v>
      </c>
      <c r="I282" s="323">
        <f>D282</f>
        <v>1.925</v>
      </c>
      <c r="J282" s="325" t="s">
        <v>12</v>
      </c>
      <c r="K282" s="323">
        <f t="shared" si="17"/>
        <v>1.925</v>
      </c>
      <c r="L282" s="326" t="s">
        <v>487</v>
      </c>
      <c r="M282" s="363"/>
      <c r="N282" s="328"/>
    </row>
    <row r="283" spans="1:15" s="317" customFormat="1" ht="20.149999999999999" customHeight="1" x14ac:dyDescent="0.35">
      <c r="B283" s="373"/>
      <c r="C283" s="374" t="s">
        <v>341</v>
      </c>
      <c r="D283" s="374">
        <f t="shared" ref="D283:I283" si="18">SUM(D275:D282)</f>
        <v>87.301000000000002</v>
      </c>
      <c r="E283" s="375">
        <f t="shared" si="18"/>
        <v>87.669999999999987</v>
      </c>
      <c r="F283" s="375">
        <f t="shared" si="18"/>
        <v>35.895999999999994</v>
      </c>
      <c r="G283" s="375">
        <f t="shared" si="18"/>
        <v>0</v>
      </c>
      <c r="H283" s="375">
        <f t="shared" si="18"/>
        <v>0</v>
      </c>
      <c r="I283" s="375">
        <f t="shared" si="18"/>
        <v>51.404999999999987</v>
      </c>
      <c r="J283" s="376"/>
      <c r="K283" s="375"/>
      <c r="L283" s="372"/>
      <c r="M283" s="453">
        <f>F283+I283</f>
        <v>87.300999999999988</v>
      </c>
      <c r="N283" s="377"/>
      <c r="O283" s="320"/>
    </row>
    <row r="284" spans="1:15" ht="20.149999999999999" customHeight="1" x14ac:dyDescent="0.35">
      <c r="B284" s="321"/>
      <c r="C284" s="330"/>
      <c r="D284" s="330"/>
      <c r="E284" s="323"/>
      <c r="F284" s="323"/>
      <c r="G284" s="323"/>
      <c r="H284" s="323"/>
      <c r="I284" s="323"/>
      <c r="J284" s="325"/>
      <c r="K284" s="323"/>
      <c r="L284" s="326"/>
      <c r="M284" s="363"/>
      <c r="N284" s="328"/>
      <c r="O284" s="331"/>
    </row>
    <row r="285" spans="1:15" s="317" customFormat="1" ht="20.149999999999999" customHeight="1" x14ac:dyDescent="0.35">
      <c r="B285" s="390" t="s">
        <v>488</v>
      </c>
      <c r="C285" s="378"/>
      <c r="D285" s="378"/>
      <c r="E285" s="375"/>
      <c r="F285" s="375"/>
      <c r="G285" s="375"/>
      <c r="H285" s="375"/>
      <c r="I285" s="375"/>
      <c r="J285" s="376"/>
      <c r="K285" s="375"/>
      <c r="L285" s="400"/>
      <c r="M285" s="453"/>
      <c r="N285" s="377"/>
    </row>
    <row r="286" spans="1:15" ht="20.149999999999999" customHeight="1" x14ac:dyDescent="0.35">
      <c r="A286" s="329">
        <v>1</v>
      </c>
      <c r="B286" s="321">
        <v>142</v>
      </c>
      <c r="C286" s="336" t="s">
        <v>286</v>
      </c>
      <c r="D286" s="336"/>
      <c r="E286" s="323">
        <f>'[1]road inventory 2018'!C218</f>
        <v>19.299999999999997</v>
      </c>
      <c r="F286" s="323">
        <v>3</v>
      </c>
      <c r="G286" s="323">
        <v>0</v>
      </c>
      <c r="H286" s="323">
        <v>0</v>
      </c>
      <c r="I286" s="323">
        <v>16.3</v>
      </c>
      <c r="J286" s="325" t="s">
        <v>12</v>
      </c>
      <c r="K286" s="323">
        <f t="shared" ref="K286:K293" si="19">SUM(F286:I286)</f>
        <v>19.3</v>
      </c>
      <c r="L286" s="326" t="s">
        <v>489</v>
      </c>
      <c r="M286" s="363"/>
      <c r="N286" s="328">
        <v>3</v>
      </c>
    </row>
    <row r="287" spans="1:15" ht="20.149999999999999" customHeight="1" x14ac:dyDescent="0.35">
      <c r="A287" s="329">
        <v>2</v>
      </c>
      <c r="B287" s="321">
        <v>143</v>
      </c>
      <c r="C287" s="336" t="s">
        <v>287</v>
      </c>
      <c r="D287" s="336"/>
      <c r="E287" s="323">
        <f>'[1]road inventory 2018'!C219</f>
        <v>8.7999999999999989</v>
      </c>
      <c r="F287" s="323">
        <v>0.2</v>
      </c>
      <c r="G287" s="323">
        <v>0</v>
      </c>
      <c r="H287" s="323">
        <v>0</v>
      </c>
      <c r="I287" s="323">
        <v>8.6</v>
      </c>
      <c r="J287" s="325" t="s">
        <v>12</v>
      </c>
      <c r="K287" s="323">
        <f t="shared" si="19"/>
        <v>8.7999999999999989</v>
      </c>
      <c r="L287" s="326" t="s">
        <v>490</v>
      </c>
      <c r="M287" s="363"/>
      <c r="N287" s="328"/>
    </row>
    <row r="288" spans="1:15" ht="20.149999999999999" customHeight="1" x14ac:dyDescent="0.35">
      <c r="A288" s="329">
        <v>3</v>
      </c>
      <c r="B288" s="321">
        <v>144</v>
      </c>
      <c r="C288" s="336" t="s">
        <v>288</v>
      </c>
      <c r="D288" s="336"/>
      <c r="E288" s="323">
        <f>'[1]road inventory 2018'!C220</f>
        <v>7.8999999999999995</v>
      </c>
      <c r="F288" s="323">
        <v>1.75</v>
      </c>
      <c r="G288" s="323">
        <v>0</v>
      </c>
      <c r="H288" s="323">
        <v>0</v>
      </c>
      <c r="I288" s="323">
        <v>6.15</v>
      </c>
      <c r="J288" s="325" t="s">
        <v>12</v>
      </c>
      <c r="K288" s="323">
        <f t="shared" si="19"/>
        <v>7.9</v>
      </c>
      <c r="L288" s="326" t="s">
        <v>491</v>
      </c>
      <c r="M288" s="363"/>
      <c r="N288" s="328"/>
    </row>
    <row r="289" spans="1:14" ht="20.149999999999999" customHeight="1" x14ac:dyDescent="0.35">
      <c r="A289" s="329">
        <v>4</v>
      </c>
      <c r="B289" s="321">
        <v>121</v>
      </c>
      <c r="C289" s="336" t="s">
        <v>104</v>
      </c>
      <c r="D289" s="336"/>
      <c r="E289" s="323">
        <f>'[1]road inventory 2018'!C221</f>
        <v>23.2</v>
      </c>
      <c r="F289" s="323">
        <v>3.6030000000000002</v>
      </c>
      <c r="G289" s="323">
        <v>0</v>
      </c>
      <c r="H289" s="323">
        <v>1.72</v>
      </c>
      <c r="I289" s="323">
        <v>17.876999999999999</v>
      </c>
      <c r="J289" s="325" t="s">
        <v>12</v>
      </c>
      <c r="K289" s="323">
        <f t="shared" si="19"/>
        <v>23.2</v>
      </c>
      <c r="L289" s="326" t="s">
        <v>492</v>
      </c>
      <c r="M289" s="363"/>
      <c r="N289" s="328">
        <v>3.6030000000000002</v>
      </c>
    </row>
    <row r="290" spans="1:14" ht="20.149999999999999" customHeight="1" x14ac:dyDescent="0.35">
      <c r="A290" s="329">
        <v>5</v>
      </c>
      <c r="B290" s="321">
        <v>145</v>
      </c>
      <c r="C290" s="336" t="s">
        <v>109</v>
      </c>
      <c r="D290" s="336"/>
      <c r="E290" s="323">
        <f>'[1]road inventory 2018'!C222</f>
        <v>3.3</v>
      </c>
      <c r="F290" s="323">
        <v>0</v>
      </c>
      <c r="G290" s="323">
        <v>0</v>
      </c>
      <c r="H290" s="323">
        <v>0</v>
      </c>
      <c r="I290" s="323">
        <v>3.3</v>
      </c>
      <c r="J290" s="325" t="s">
        <v>41</v>
      </c>
      <c r="K290" s="323">
        <f t="shared" si="19"/>
        <v>3.3</v>
      </c>
      <c r="L290" s="326"/>
      <c r="M290" s="363"/>
      <c r="N290" s="328"/>
    </row>
    <row r="291" spans="1:14" ht="20.149999999999999" customHeight="1" x14ac:dyDescent="0.35">
      <c r="A291" s="329">
        <v>6</v>
      </c>
      <c r="B291" s="321">
        <v>126</v>
      </c>
      <c r="C291" s="336" t="s">
        <v>110</v>
      </c>
      <c r="D291" s="336"/>
      <c r="E291" s="323">
        <f>'[1]road inventory 2018'!C223</f>
        <v>9.6</v>
      </c>
      <c r="F291" s="323">
        <v>9.6</v>
      </c>
      <c r="G291" s="323">
        <v>0</v>
      </c>
      <c r="H291" s="323">
        <v>0</v>
      </c>
      <c r="I291" s="323">
        <v>0</v>
      </c>
      <c r="J291" s="325" t="s">
        <v>10</v>
      </c>
      <c r="K291" s="323">
        <f t="shared" si="19"/>
        <v>9.6</v>
      </c>
      <c r="L291" s="326" t="s">
        <v>493</v>
      </c>
      <c r="M291" s="363"/>
      <c r="N291" s="328">
        <v>9.9499999999999993</v>
      </c>
    </row>
    <row r="292" spans="1:14" ht="20.149999999999999" customHeight="1" x14ac:dyDescent="0.35">
      <c r="A292" s="329">
        <v>7</v>
      </c>
      <c r="B292" s="321">
        <v>146</v>
      </c>
      <c r="C292" s="336" t="s">
        <v>115</v>
      </c>
      <c r="D292" s="336"/>
      <c r="E292" s="323">
        <f>'[1]road inventory 2018'!C224</f>
        <v>8.3000000000000007</v>
      </c>
      <c r="F292" s="323">
        <v>0</v>
      </c>
      <c r="G292" s="323">
        <v>0</v>
      </c>
      <c r="H292" s="323">
        <v>0</v>
      </c>
      <c r="I292" s="323">
        <v>8.3000000000000007</v>
      </c>
      <c r="J292" s="325" t="s">
        <v>12</v>
      </c>
      <c r="K292" s="323">
        <f t="shared" si="19"/>
        <v>8.3000000000000007</v>
      </c>
      <c r="L292" s="326"/>
      <c r="M292" s="363"/>
      <c r="N292" s="328"/>
    </row>
    <row r="293" spans="1:14" ht="20.149999999999999" customHeight="1" x14ac:dyDescent="0.35">
      <c r="A293" s="329">
        <v>8</v>
      </c>
      <c r="B293" s="321">
        <v>147</v>
      </c>
      <c r="C293" s="336" t="s">
        <v>289</v>
      </c>
      <c r="D293" s="336"/>
      <c r="E293" s="323">
        <f>'[1]road inventory 2018'!C225</f>
        <v>4.2</v>
      </c>
      <c r="F293" s="323">
        <v>0.2</v>
      </c>
      <c r="G293" s="323">
        <v>0</v>
      </c>
      <c r="H293" s="323">
        <v>0</v>
      </c>
      <c r="I293" s="323">
        <v>4</v>
      </c>
      <c r="J293" s="325" t="s">
        <v>10</v>
      </c>
      <c r="K293" s="323">
        <f t="shared" si="19"/>
        <v>4.2</v>
      </c>
      <c r="L293" s="326"/>
      <c r="M293" s="363"/>
      <c r="N293" s="328"/>
    </row>
    <row r="294" spans="1:14" s="317" customFormat="1" ht="20.149999999999999" customHeight="1" x14ac:dyDescent="0.35">
      <c r="B294" s="373"/>
      <c r="C294" s="374" t="s">
        <v>341</v>
      </c>
      <c r="D294" s="374"/>
      <c r="E294" s="375">
        <f>SUM(E286:E293)</f>
        <v>84.59999999999998</v>
      </c>
      <c r="F294" s="375">
        <f>SUM(F286:F293)</f>
        <v>18.352999999999998</v>
      </c>
      <c r="G294" s="375">
        <f>SUM(G286:G293)</f>
        <v>0</v>
      </c>
      <c r="H294" s="375">
        <f>SUM(H286:H293)</f>
        <v>1.72</v>
      </c>
      <c r="I294" s="375">
        <f>SUM(I286:I293)</f>
        <v>64.526999999999987</v>
      </c>
      <c r="J294" s="376"/>
      <c r="K294" s="375"/>
      <c r="L294" s="372"/>
      <c r="M294" s="460"/>
      <c r="N294" s="410"/>
    </row>
    <row r="295" spans="1:14" s="317" customFormat="1" ht="20.149999999999999" customHeight="1" x14ac:dyDescent="0.35">
      <c r="B295" s="394"/>
      <c r="C295" s="395" t="s">
        <v>754</v>
      </c>
      <c r="D295" s="395">
        <f>D283+D272+D238+D230</f>
        <v>318.78599999999994</v>
      </c>
      <c r="E295" s="396">
        <f>E294+E283+E272+E252+E238+E230+E213+E202+E195+E179+E175+E164+E150+E145+E132+E128+E118+E88+E54+E37+E32</f>
        <v>1244.0149999999999</v>
      </c>
      <c r="F295" s="396"/>
      <c r="G295" s="396"/>
      <c r="H295" s="396"/>
      <c r="I295" s="396"/>
      <c r="J295" s="397"/>
      <c r="K295" s="396">
        <f>SUM(K6:K294)</f>
        <v>1229.5511999999994</v>
      </c>
      <c r="L295" s="393"/>
      <c r="M295" s="461"/>
      <c r="N295" s="398">
        <f>COUNT(N8:N292)</f>
        <v>26</v>
      </c>
    </row>
    <row r="296" spans="1:14" ht="18" customHeight="1" x14ac:dyDescent="0.35">
      <c r="E296" s="331"/>
      <c r="G296" s="331"/>
      <c r="K296" s="331"/>
      <c r="N296" s="327">
        <f>SUM(N6:N291)</f>
        <v>111.256</v>
      </c>
    </row>
    <row r="297" spans="1:14" ht="18" customHeight="1" x14ac:dyDescent="0.35"/>
    <row r="298" spans="1:14" ht="18" customHeight="1" x14ac:dyDescent="0.35">
      <c r="B298" s="329"/>
      <c r="C298" s="355" t="s">
        <v>755</v>
      </c>
      <c r="D298" s="355"/>
      <c r="G298" s="331" t="s">
        <v>757</v>
      </c>
      <c r="K298" s="331"/>
    </row>
    <row r="299" spans="1:14" ht="18" customHeight="1" x14ac:dyDescent="0.35">
      <c r="B299" s="329"/>
      <c r="C299" s="355"/>
      <c r="D299" s="355"/>
      <c r="G299" s="331"/>
      <c r="H299" s="331"/>
      <c r="I299" s="331"/>
      <c r="K299" s="331"/>
      <c r="L299" s="328"/>
      <c r="M299" s="363"/>
      <c r="N299" s="328"/>
    </row>
    <row r="300" spans="1:14" ht="18" customHeight="1" x14ac:dyDescent="0.35">
      <c r="B300" s="329"/>
      <c r="C300" s="355"/>
      <c r="D300" s="355"/>
      <c r="G300" s="331"/>
      <c r="I300" s="331"/>
      <c r="K300" s="331"/>
    </row>
    <row r="301" spans="1:14" ht="18" customHeight="1" x14ac:dyDescent="0.35">
      <c r="B301" s="329"/>
      <c r="C301" s="356" t="s">
        <v>147</v>
      </c>
      <c r="D301" s="356"/>
      <c r="G301" s="360" t="s">
        <v>154</v>
      </c>
    </row>
    <row r="302" spans="1:14" s="354" customFormat="1" ht="18" customHeight="1" x14ac:dyDescent="0.35">
      <c r="C302" s="355" t="s">
        <v>149</v>
      </c>
      <c r="D302" s="355"/>
      <c r="G302" s="350" t="s">
        <v>758</v>
      </c>
      <c r="H302" s="329"/>
      <c r="I302" s="329"/>
      <c r="J302" s="329"/>
      <c r="K302" s="331"/>
      <c r="L302" s="327"/>
      <c r="M302" s="452"/>
      <c r="N302" s="327"/>
    </row>
    <row r="303" spans="1:14" s="354" customFormat="1" ht="18" customHeight="1" x14ac:dyDescent="0.35">
      <c r="C303" s="355"/>
      <c r="D303" s="355"/>
      <c r="G303" s="332"/>
      <c r="H303" s="329"/>
      <c r="I303" s="329"/>
      <c r="J303" s="329"/>
      <c r="K303" s="329"/>
      <c r="L303" s="327"/>
      <c r="M303" s="452"/>
      <c r="N303" s="327"/>
    </row>
    <row r="304" spans="1:14" s="354" customFormat="1" ht="18" customHeight="1" x14ac:dyDescent="0.35">
      <c r="C304" s="355"/>
      <c r="D304" s="355"/>
      <c r="G304" s="332"/>
      <c r="H304" s="329"/>
      <c r="I304" s="329"/>
      <c r="J304" s="329"/>
      <c r="K304" s="329"/>
      <c r="L304" s="327"/>
      <c r="M304" s="452"/>
      <c r="N304" s="327"/>
    </row>
    <row r="305" spans="3:17" s="354" customFormat="1" ht="15" customHeight="1" x14ac:dyDescent="0.35">
      <c r="C305" s="355" t="s">
        <v>756</v>
      </c>
      <c r="D305" s="355"/>
      <c r="G305" s="350" t="s">
        <v>759</v>
      </c>
      <c r="H305" s="329"/>
      <c r="I305" s="329"/>
      <c r="J305" s="329"/>
      <c r="K305" s="329"/>
      <c r="L305" s="327"/>
      <c r="M305" s="452" t="s">
        <v>308</v>
      </c>
      <c r="N305" s="327" t="s">
        <v>309</v>
      </c>
      <c r="O305" s="354" t="s">
        <v>310</v>
      </c>
      <c r="P305" s="354" t="s">
        <v>311</v>
      </c>
    </row>
    <row r="306" spans="3:17" s="354" customFormat="1" ht="15" customHeight="1" x14ac:dyDescent="0.35">
      <c r="C306" s="355"/>
      <c r="D306" s="355"/>
      <c r="G306" s="332"/>
      <c r="H306" s="329"/>
      <c r="I306" s="329"/>
      <c r="J306" s="329"/>
      <c r="K306" s="329"/>
      <c r="L306" s="327"/>
      <c r="M306" s="363">
        <f>F32+F37+F54+F88+F118+F128+F132+F145+F150+F164+F175+F179+F195+F202+F213+F230+F238+F252+F272+F283+F294</f>
        <v>440.50819999999999</v>
      </c>
      <c r="N306" s="328">
        <f>G294+G283+G272+G252+G238+G230+G213+G202+G195+G179+G175+G164+G150+G145+G132+G128+G118+G88+G54+G37+G32</f>
        <v>10.742999999999999</v>
      </c>
      <c r="O306" s="755">
        <f>H294+H283+H272+H252+H238+H230+H213+H202+H195+H179+H175+H164+H150+H145+H132+H128+H118+H88+H54+H37+H32</f>
        <v>10.684000000000001</v>
      </c>
      <c r="P306" s="755">
        <f>I294+I283+I272+I252+I238+I230+I213+I202+I195+I179+I175+I164+I150+I145+I132+I128+I118+I88+I54+I37+I32</f>
        <v>767.61599999999999</v>
      </c>
      <c r="Q306" s="756">
        <f>SUM(M306:P306)</f>
        <v>1229.5511999999999</v>
      </c>
    </row>
    <row r="307" spans="3:17" s="354" customFormat="1" ht="15" customHeight="1" x14ac:dyDescent="0.35">
      <c r="C307" s="355"/>
      <c r="D307" s="355"/>
      <c r="G307" s="350"/>
      <c r="H307" s="329"/>
      <c r="I307" s="329"/>
      <c r="J307" s="329"/>
      <c r="K307" s="329"/>
      <c r="L307" s="327"/>
      <c r="M307" s="452"/>
      <c r="N307" s="327"/>
    </row>
    <row r="308" spans="3:17" s="354" customFormat="1" ht="15" customHeight="1" x14ac:dyDescent="0.35">
      <c r="C308" s="356" t="s">
        <v>153</v>
      </c>
      <c r="D308" s="356"/>
      <c r="G308" s="318" t="s">
        <v>157</v>
      </c>
      <c r="H308" s="329"/>
      <c r="I308" s="329"/>
      <c r="J308" s="329"/>
      <c r="K308" s="329"/>
      <c r="L308" s="327"/>
      <c r="M308" s="452"/>
      <c r="N308" s="327"/>
    </row>
    <row r="309" spans="3:17" s="354" customFormat="1" ht="15" customHeight="1" x14ac:dyDescent="0.35">
      <c r="C309" s="355" t="s">
        <v>155</v>
      </c>
      <c r="D309" s="355"/>
      <c r="G309" s="332" t="s">
        <v>760</v>
      </c>
      <c r="H309" s="329"/>
      <c r="I309" s="329"/>
      <c r="J309" s="329"/>
      <c r="K309" s="362"/>
      <c r="L309" s="327"/>
      <c r="M309" s="452"/>
      <c r="N309" s="327"/>
    </row>
    <row r="310" spans="3:17" s="354" customFormat="1" ht="15" customHeight="1" x14ac:dyDescent="0.35">
      <c r="C310" s="327"/>
      <c r="D310" s="327"/>
      <c r="G310" s="332" t="s">
        <v>761</v>
      </c>
      <c r="H310" s="329"/>
      <c r="I310" s="329"/>
      <c r="J310" s="329"/>
      <c r="K310" s="329"/>
      <c r="L310" s="327"/>
      <c r="M310" s="452"/>
      <c r="N310" s="327"/>
    </row>
    <row r="311" spans="3:17" s="354" customFormat="1" ht="15" customHeight="1" x14ac:dyDescent="0.35">
      <c r="C311" s="328"/>
      <c r="D311" s="328"/>
      <c r="E311" s="329"/>
      <c r="F311" s="329"/>
      <c r="G311" s="329"/>
      <c r="H311" s="329"/>
      <c r="I311" s="329"/>
      <c r="J311" s="329"/>
      <c r="K311" s="329"/>
      <c r="L311" s="327"/>
      <c r="M311" s="452"/>
      <c r="N311" s="327"/>
    </row>
    <row r="312" spans="3:17" s="354" customFormat="1" ht="15" customHeight="1" x14ac:dyDescent="0.35">
      <c r="C312" s="328"/>
      <c r="D312" s="328"/>
      <c r="E312" s="332" t="s">
        <v>152</v>
      </c>
      <c r="F312" s="329"/>
      <c r="G312" s="329"/>
      <c r="H312" s="329"/>
      <c r="I312" s="329"/>
      <c r="J312" s="329"/>
      <c r="K312" s="329"/>
      <c r="L312" s="327"/>
      <c r="M312" s="452"/>
      <c r="N312" s="327"/>
    </row>
    <row r="313" spans="3:17" s="354" customFormat="1" ht="15" customHeight="1" x14ac:dyDescent="0.35">
      <c r="C313" s="327"/>
      <c r="D313" s="327"/>
      <c r="E313" s="329"/>
      <c r="F313" s="329"/>
      <c r="G313" s="329"/>
      <c r="H313" s="329"/>
      <c r="I313" s="329"/>
      <c r="J313" s="329"/>
      <c r="K313" s="329"/>
      <c r="L313" s="327"/>
      <c r="M313" s="452"/>
      <c r="N313" s="327"/>
    </row>
    <row r="314" spans="3:17" s="354" customFormat="1" ht="15" customHeight="1" x14ac:dyDescent="0.35">
      <c r="C314" s="327"/>
      <c r="D314" s="327"/>
      <c r="E314" s="329"/>
      <c r="F314" s="329"/>
      <c r="G314" s="329"/>
      <c r="H314" s="329"/>
      <c r="I314" s="329"/>
      <c r="J314" s="329"/>
      <c r="K314" s="329"/>
      <c r="L314" s="327"/>
      <c r="M314" s="452"/>
      <c r="N314" s="327"/>
    </row>
    <row r="315" spans="3:17" s="354" customFormat="1" ht="18" customHeight="1" x14ac:dyDescent="0.35">
      <c r="C315" s="327"/>
      <c r="D315" s="327"/>
      <c r="E315" s="318" t="s">
        <v>762</v>
      </c>
      <c r="F315" s="329"/>
      <c r="G315" s="329"/>
      <c r="H315" s="329"/>
      <c r="I315" s="329"/>
      <c r="J315" s="329"/>
      <c r="K315" s="329"/>
      <c r="L315" s="327"/>
      <c r="M315" s="452"/>
      <c r="N315" s="327"/>
    </row>
    <row r="316" spans="3:17" s="354" customFormat="1" ht="18" customHeight="1" x14ac:dyDescent="0.35">
      <c r="C316" s="327"/>
      <c r="D316" s="327"/>
      <c r="E316" s="332" t="s">
        <v>763</v>
      </c>
      <c r="F316" s="329"/>
      <c r="G316" s="329"/>
      <c r="H316" s="329"/>
      <c r="I316" s="329"/>
      <c r="J316" s="329"/>
      <c r="K316" s="329"/>
      <c r="L316" s="327"/>
      <c r="M316" s="452"/>
      <c r="N316" s="327"/>
    </row>
    <row r="324" spans="3:4" x14ac:dyDescent="0.35">
      <c r="C324" s="327" t="s">
        <v>849</v>
      </c>
      <c r="D324" s="328">
        <f>D283+D272+D238+D230</f>
        <v>318.78599999999994</v>
      </c>
    </row>
  </sheetData>
  <autoFilter ref="J1:J316" xr:uid="{00000000-0009-0000-0000-00000B000000}"/>
  <mergeCells count="7">
    <mergeCell ref="B3:J3"/>
    <mergeCell ref="B2:J2"/>
    <mergeCell ref="B1:J1"/>
    <mergeCell ref="E5:E6"/>
    <mergeCell ref="F5:I5"/>
    <mergeCell ref="J5:J6"/>
    <mergeCell ref="D5:D6"/>
  </mergeCells>
  <printOptions horizontalCentered="1"/>
  <pageMargins left="0" right="0" top="1" bottom="0.54" header="0.41" footer="0"/>
  <pageSetup paperSize="9" scale="61" fitToWidth="0" fitToHeight="0" orientation="portrait" useFirstPageNumber="1" horizontalDpi="300" verticalDpi="300" r:id="rId1"/>
  <headerFooter scaleWithDoc="0" alignWithMargins="0">
    <oddFooter>&amp;RPage &amp;P of &amp;N</oddFooter>
    <firstFooter>&amp;R&amp;P</firstFooter>
  </headerFooter>
  <rowBreaks count="3" manualBreakCount="3">
    <brk id="178" min="1" max="9" man="1"/>
    <brk id="236" min="1" max="9" man="1"/>
    <brk id="295" min="1" max="9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>
    <tabColor theme="4" tint="-0.499984740745262"/>
  </sheetPr>
  <dimension ref="A1:AF62"/>
  <sheetViews>
    <sheetView view="pageBreakPreview" topLeftCell="A7" zoomScale="70" zoomScaleNormal="100" zoomScaleSheetLayoutView="70" workbookViewId="0">
      <selection activeCell="W38" sqref="W38"/>
    </sheetView>
  </sheetViews>
  <sheetFormatPr defaultColWidth="9.1796875" defaultRowHeight="18" x14ac:dyDescent="0.4"/>
  <cols>
    <col min="1" max="1" width="15.7265625" style="307" customWidth="1"/>
    <col min="2" max="2" width="47.81640625" style="307" customWidth="1"/>
    <col min="3" max="8" width="15.7265625" style="307" customWidth="1"/>
    <col min="9" max="9" width="14.26953125" style="307" customWidth="1"/>
    <col min="10" max="10" width="10.81640625" style="307" bestFit="1" customWidth="1"/>
    <col min="11" max="14" width="14.26953125" style="462" customWidth="1"/>
    <col min="15" max="15" width="12.81640625" style="436" bestFit="1" customWidth="1"/>
    <col min="16" max="16" width="9.7265625" style="436" bestFit="1" customWidth="1"/>
    <col min="17" max="17" width="9.453125" style="436" bestFit="1" customWidth="1"/>
    <col min="18" max="18" width="9.7265625" style="436" bestFit="1" customWidth="1"/>
    <col min="19" max="19" width="9.453125" style="436" bestFit="1" customWidth="1"/>
    <col min="20" max="21" width="9.7265625" style="436" bestFit="1" customWidth="1"/>
    <col min="22" max="22" width="9.453125" style="436" bestFit="1" customWidth="1"/>
    <col min="23" max="23" width="11" style="436" bestFit="1" customWidth="1"/>
    <col min="24" max="28" width="9.7265625" style="436" bestFit="1" customWidth="1"/>
    <col min="29" max="29" width="11" style="436" bestFit="1" customWidth="1"/>
    <col min="30" max="31" width="9.7265625" style="436" bestFit="1" customWidth="1"/>
    <col min="32" max="32" width="13.1796875" style="436" customWidth="1"/>
    <col min="33" max="16384" width="9.1796875" style="307"/>
  </cols>
  <sheetData>
    <row r="1" spans="1:32" s="113" customFormat="1" x14ac:dyDescent="0.35">
      <c r="A1" s="1184" t="s">
        <v>0</v>
      </c>
      <c r="B1" s="1184"/>
      <c r="C1" s="1184"/>
      <c r="D1" s="1184"/>
      <c r="E1" s="1184"/>
      <c r="F1" s="1184"/>
      <c r="G1" s="1184"/>
      <c r="H1" s="1184"/>
      <c r="I1" s="304"/>
      <c r="J1" s="304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</row>
    <row r="2" spans="1:32" s="113" customFormat="1" x14ac:dyDescent="0.35">
      <c r="A2" s="1184" t="s">
        <v>297</v>
      </c>
      <c r="B2" s="1184"/>
      <c r="C2" s="1184"/>
      <c r="D2" s="1184"/>
      <c r="E2" s="1184"/>
      <c r="F2" s="1184"/>
      <c r="G2" s="1184"/>
      <c r="H2" s="1184"/>
      <c r="I2" s="304"/>
      <c r="J2" s="304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</row>
    <row r="3" spans="1:32" s="113" customFormat="1" x14ac:dyDescent="0.35">
      <c r="A3" s="1194">
        <v>2022</v>
      </c>
      <c r="B3" s="1194"/>
      <c r="C3" s="1194"/>
      <c r="D3" s="1194"/>
      <c r="E3" s="1194"/>
      <c r="F3" s="1194"/>
      <c r="G3" s="1194"/>
      <c r="H3" s="1194"/>
      <c r="I3" s="304"/>
      <c r="J3" s="304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</row>
    <row r="4" spans="1:32" s="113" customFormat="1" x14ac:dyDescent="0.35">
      <c r="A4" s="305"/>
      <c r="B4" s="305"/>
      <c r="C4" s="305"/>
      <c r="D4" s="305"/>
      <c r="E4" s="305"/>
      <c r="F4" s="305"/>
      <c r="G4" s="305"/>
      <c r="H4" s="305"/>
      <c r="I4" s="304"/>
      <c r="J4" s="304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</row>
    <row r="5" spans="1:32" ht="22.5" x14ac:dyDescent="0.45">
      <c r="A5" s="1195" t="s">
        <v>743</v>
      </c>
      <c r="B5" s="1195"/>
      <c r="C5" s="1195"/>
      <c r="D5" s="1195"/>
      <c r="E5" s="1195"/>
      <c r="F5" s="1195"/>
      <c r="G5" s="1195"/>
      <c r="H5" s="1195"/>
    </row>
    <row r="6" spans="1:32" ht="11.25" customHeight="1" x14ac:dyDescent="0.45">
      <c r="A6" s="425"/>
      <c r="B6" s="425"/>
      <c r="C6" s="425"/>
      <c r="D6" s="425"/>
      <c r="E6" s="425"/>
      <c r="F6" s="425"/>
      <c r="G6" s="425"/>
      <c r="H6" s="425"/>
      <c r="K6" s="463"/>
      <c r="L6" s="463"/>
      <c r="M6" s="463"/>
      <c r="N6" s="463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</row>
    <row r="7" spans="1:32" s="308" customFormat="1" ht="75" customHeight="1" x14ac:dyDescent="0.35">
      <c r="A7" s="411" t="s">
        <v>730</v>
      </c>
      <c r="B7" s="411" t="s">
        <v>704</v>
      </c>
      <c r="C7" s="412" t="s">
        <v>724</v>
      </c>
      <c r="D7" s="412" t="s">
        <v>725</v>
      </c>
      <c r="E7" s="412" t="s">
        <v>739</v>
      </c>
      <c r="F7" s="412" t="s">
        <v>740</v>
      </c>
      <c r="G7" s="412" t="s">
        <v>741</v>
      </c>
      <c r="H7" s="412" t="s">
        <v>742</v>
      </c>
      <c r="K7" s="464"/>
      <c r="L7" s="464"/>
      <c r="M7" s="464"/>
      <c r="N7" s="464"/>
      <c r="O7" s="438"/>
      <c r="P7" s="438"/>
      <c r="Q7" s="438"/>
      <c r="R7" s="438"/>
      <c r="S7" s="438"/>
      <c r="T7" s="438"/>
      <c r="U7" s="438"/>
      <c r="V7" s="438"/>
      <c r="W7" s="438"/>
      <c r="X7" s="438"/>
      <c r="Y7" s="438"/>
      <c r="Z7" s="438"/>
      <c r="AA7" s="438"/>
      <c r="AB7" s="438"/>
      <c r="AC7" s="438"/>
      <c r="AD7" s="438"/>
      <c r="AE7" s="438"/>
      <c r="AF7" s="438"/>
    </row>
    <row r="8" spans="1:32" x14ac:dyDescent="0.4">
      <c r="A8" s="310">
        <v>1</v>
      </c>
      <c r="B8" s="309" t="s">
        <v>703</v>
      </c>
      <c r="C8" s="310">
        <v>24</v>
      </c>
      <c r="D8" s="311">
        <f>'inventory2022 (FINAL)'!E32</f>
        <v>98.550000000000011</v>
      </c>
      <c r="E8" s="312">
        <f>'inventory2022 (FINAL)'!F32</f>
        <v>56.047999999999995</v>
      </c>
      <c r="F8" s="312">
        <f>'inventory2022 (FINAL)'!G32</f>
        <v>0</v>
      </c>
      <c r="G8" s="312">
        <f>'inventory2022 (FINAL)'!H32</f>
        <v>4.53</v>
      </c>
      <c r="H8" s="312">
        <f>'inventory2022 (FINAL)'!I32</f>
        <v>37.972000000000008</v>
      </c>
      <c r="I8" s="313"/>
      <c r="J8" s="313"/>
    </row>
    <row r="9" spans="1:32" x14ac:dyDescent="0.4">
      <c r="A9" s="310">
        <v>2</v>
      </c>
      <c r="B9" s="309" t="s">
        <v>711</v>
      </c>
      <c r="C9" s="310">
        <v>2</v>
      </c>
      <c r="D9" s="311">
        <f>'inventory2022 (FINAL)'!E37</f>
        <v>18.5</v>
      </c>
      <c r="E9" s="312">
        <f>'inventory2022 (FINAL)'!F37</f>
        <v>17.809999999999999</v>
      </c>
      <c r="F9" s="312">
        <f>'inventory2022 (FINAL)'!G37</f>
        <v>0</v>
      </c>
      <c r="G9" s="312">
        <f>'inventory2022 (FINAL)'!H37</f>
        <v>0</v>
      </c>
      <c r="H9" s="312">
        <f>'inventory2022 (FINAL)'!I37</f>
        <v>0.69</v>
      </c>
      <c r="I9" s="313"/>
      <c r="J9" s="313"/>
    </row>
    <row r="10" spans="1:32" x14ac:dyDescent="0.4">
      <c r="A10" s="310">
        <v>3</v>
      </c>
      <c r="B10" s="309" t="s">
        <v>710</v>
      </c>
      <c r="C10" s="310">
        <v>14</v>
      </c>
      <c r="D10" s="311">
        <f>'inventory2022 (FINAL)'!E54</f>
        <v>49.300000000000004</v>
      </c>
      <c r="E10" s="312">
        <f>'inventory2022 (FINAL)'!F54</f>
        <v>4.5600000000000005</v>
      </c>
      <c r="F10" s="312">
        <f>'inventory2022 (FINAL)'!G54</f>
        <v>0</v>
      </c>
      <c r="G10" s="312">
        <f>'inventory2022 (FINAL)'!H54</f>
        <v>0</v>
      </c>
      <c r="H10" s="312">
        <f>'inventory2022 (FINAL)'!I54</f>
        <v>44.74</v>
      </c>
      <c r="I10" s="313"/>
      <c r="J10" s="313"/>
    </row>
    <row r="11" spans="1:32" x14ac:dyDescent="0.4">
      <c r="A11" s="310">
        <v>4</v>
      </c>
      <c r="B11" s="309" t="s">
        <v>709</v>
      </c>
      <c r="C11" s="310">
        <v>32</v>
      </c>
      <c r="D11" s="311">
        <f>'inventory2022 (FINAL)'!E88</f>
        <v>107.84999999999998</v>
      </c>
      <c r="E11" s="312">
        <f>'inventory2022 (FINAL)'!F88</f>
        <v>41.619</v>
      </c>
      <c r="F11" s="312">
        <f>'inventory2022 (FINAL)'!G88</f>
        <v>0</v>
      </c>
      <c r="G11" s="312">
        <f>'inventory2022 (FINAL)'!H88</f>
        <v>0</v>
      </c>
      <c r="H11" s="312">
        <f>'inventory2022 (FINAL)'!I88</f>
        <v>66.230999999999995</v>
      </c>
      <c r="I11" s="313"/>
      <c r="J11" s="313"/>
    </row>
    <row r="12" spans="1:32" x14ac:dyDescent="0.4">
      <c r="A12" s="310">
        <v>5</v>
      </c>
      <c r="B12" s="309" t="s">
        <v>705</v>
      </c>
      <c r="C12" s="310">
        <v>27</v>
      </c>
      <c r="D12" s="311">
        <f>'inventory2022 (FINAL)'!E118</f>
        <v>102.5</v>
      </c>
      <c r="E12" s="312">
        <f>'inventory2022 (FINAL)'!F118</f>
        <v>29.040000000000003</v>
      </c>
      <c r="F12" s="312">
        <f>'inventory2022 (FINAL)'!G118</f>
        <v>0</v>
      </c>
      <c r="G12" s="312">
        <f>'inventory2022 (FINAL)'!H118</f>
        <v>0</v>
      </c>
      <c r="H12" s="312">
        <f>'inventory2022 (FINAL)'!I118</f>
        <v>73.459999999999994</v>
      </c>
      <c r="I12" s="313"/>
      <c r="J12" s="313"/>
    </row>
    <row r="13" spans="1:32" x14ac:dyDescent="0.4">
      <c r="A13" s="310">
        <v>6</v>
      </c>
      <c r="B13" s="309" t="s">
        <v>706</v>
      </c>
      <c r="C13" s="310">
        <v>7</v>
      </c>
      <c r="D13" s="311">
        <f>'inventory2022 (FINAL)'!E128</f>
        <v>42.45</v>
      </c>
      <c r="E13" s="312">
        <f>'inventory2022 (FINAL)'!F128</f>
        <v>5.7200000000000006</v>
      </c>
      <c r="F13" s="312">
        <f>'inventory2022 (FINAL)'!G128</f>
        <v>0</v>
      </c>
      <c r="G13" s="312">
        <f>'inventory2022 (FINAL)'!H128</f>
        <v>0</v>
      </c>
      <c r="H13" s="312">
        <f>'inventory2022 (FINAL)'!I128</f>
        <v>36.730000000000004</v>
      </c>
      <c r="I13" s="313"/>
      <c r="J13" s="313"/>
    </row>
    <row r="14" spans="1:32" x14ac:dyDescent="0.4">
      <c r="A14" s="310">
        <v>7</v>
      </c>
      <c r="B14" s="309" t="s">
        <v>707</v>
      </c>
      <c r="C14" s="310">
        <v>1</v>
      </c>
      <c r="D14" s="311">
        <f>'inventory2022 (FINAL)'!E132</f>
        <v>3.1</v>
      </c>
      <c r="E14" s="312">
        <f>'inventory2022 (FINAL)'!F132</f>
        <v>0.48</v>
      </c>
      <c r="F14" s="312">
        <f>'inventory2022 (FINAL)'!G132</f>
        <v>0</v>
      </c>
      <c r="G14" s="312">
        <f>'inventory2022 (FINAL)'!H132</f>
        <v>0</v>
      </c>
      <c r="H14" s="312">
        <f>'inventory2022 (FINAL)'!I132</f>
        <v>2.62</v>
      </c>
      <c r="I14" s="313"/>
      <c r="J14" s="313"/>
    </row>
    <row r="15" spans="1:32" x14ac:dyDescent="0.4">
      <c r="A15" s="310">
        <v>8</v>
      </c>
      <c r="B15" s="309" t="s">
        <v>708</v>
      </c>
      <c r="C15" s="310">
        <v>10</v>
      </c>
      <c r="D15" s="311">
        <f>'inventory2022 (FINAL)'!E145</f>
        <v>54.099999999999994</v>
      </c>
      <c r="E15" s="312">
        <f>'inventory2022 (FINAL)'!F145</f>
        <v>15.850000000000001</v>
      </c>
      <c r="F15" s="312">
        <f>'inventory2022 (FINAL)'!G145</f>
        <v>0</v>
      </c>
      <c r="G15" s="312">
        <f>'inventory2022 (FINAL)'!H145</f>
        <v>0</v>
      </c>
      <c r="H15" s="312">
        <f>'inventory2022 (FINAL)'!I145</f>
        <v>38.25</v>
      </c>
      <c r="I15" s="313"/>
      <c r="J15" s="313"/>
    </row>
    <row r="16" spans="1:32" x14ac:dyDescent="0.4">
      <c r="A16" s="413" t="s">
        <v>731</v>
      </c>
      <c r="B16" s="413"/>
      <c r="C16" s="414">
        <f t="shared" ref="C16:H16" si="0">SUM(C8:C15)</f>
        <v>117</v>
      </c>
      <c r="D16" s="415">
        <f t="shared" si="0"/>
        <v>476.35</v>
      </c>
      <c r="E16" s="416">
        <f t="shared" si="0"/>
        <v>171.12699999999998</v>
      </c>
      <c r="F16" s="416">
        <f t="shared" si="0"/>
        <v>0</v>
      </c>
      <c r="G16" s="416">
        <f t="shared" si="0"/>
        <v>4.53</v>
      </c>
      <c r="H16" s="416">
        <f t="shared" si="0"/>
        <v>300.69300000000004</v>
      </c>
      <c r="I16" s="313">
        <f>SUM(E16:H16)</f>
        <v>476.35</v>
      </c>
      <c r="J16" s="313"/>
    </row>
    <row r="17" spans="1:32" x14ac:dyDescent="0.4">
      <c r="A17" s="310">
        <v>9</v>
      </c>
      <c r="B17" s="309" t="s">
        <v>719</v>
      </c>
      <c r="C17" s="310">
        <v>2</v>
      </c>
      <c r="D17" s="311">
        <f>'inventory2022 (FINAL)'!E150</f>
        <v>7.25</v>
      </c>
      <c r="E17" s="314">
        <f>'inventory2022 (FINAL)'!F150</f>
        <v>3.3</v>
      </c>
      <c r="F17" s="314">
        <f>'inventory2022 (FINAL)'!G150</f>
        <v>0</v>
      </c>
      <c r="G17" s="314">
        <f>'inventory2022 (FINAL)'!H150</f>
        <v>0</v>
      </c>
      <c r="H17" s="314">
        <f>'inventory2022 (FINAL)'!I150</f>
        <v>3.9499999999999997</v>
      </c>
    </row>
    <row r="18" spans="1:32" x14ac:dyDescent="0.4">
      <c r="A18" s="310">
        <v>10</v>
      </c>
      <c r="B18" s="309" t="s">
        <v>716</v>
      </c>
      <c r="C18" s="310">
        <v>11</v>
      </c>
      <c r="D18" s="311">
        <f>'inventory2022 (FINAL)'!E164</f>
        <v>62</v>
      </c>
      <c r="E18" s="314">
        <f>'inventory2022 (FINAL)'!F164</f>
        <v>12.194000000000001</v>
      </c>
      <c r="F18" s="314">
        <f>'inventory2022 (FINAL)'!G164</f>
        <v>0</v>
      </c>
      <c r="G18" s="314">
        <f>'inventory2022 (FINAL)'!H164</f>
        <v>0</v>
      </c>
      <c r="H18" s="314">
        <f>'inventory2022 (FINAL)'!I164</f>
        <v>49.805999999999997</v>
      </c>
    </row>
    <row r="19" spans="1:32" x14ac:dyDescent="0.4">
      <c r="A19" s="310">
        <v>11</v>
      </c>
      <c r="B19" s="309" t="s">
        <v>722</v>
      </c>
      <c r="C19" s="310">
        <v>8</v>
      </c>
      <c r="D19" s="311">
        <f>'inventory2022 (FINAL)'!E175</f>
        <v>42.083999999999996</v>
      </c>
      <c r="E19" s="314">
        <f>'inventory2022 (FINAL)'!F175</f>
        <v>1.4039999999999999</v>
      </c>
      <c r="F19" s="314">
        <f>'inventory2022 (FINAL)'!G175</f>
        <v>0</v>
      </c>
      <c r="G19" s="314">
        <f>'inventory2022 (FINAL)'!H175</f>
        <v>0</v>
      </c>
      <c r="H19" s="314">
        <f>'inventory2022 (FINAL)'!I175</f>
        <v>40.68</v>
      </c>
    </row>
    <row r="20" spans="1:32" x14ac:dyDescent="0.4">
      <c r="A20" s="310">
        <v>12</v>
      </c>
      <c r="B20" s="309" t="s">
        <v>723</v>
      </c>
      <c r="C20" s="310">
        <v>1</v>
      </c>
      <c r="D20" s="311">
        <f>'inventory2022 (FINAL)'!E179</f>
        <v>8.7409999999999997</v>
      </c>
      <c r="E20" s="314">
        <f>'inventory2022 (FINAL)'!F179</f>
        <v>1.18</v>
      </c>
      <c r="F20" s="314">
        <f>'inventory2022 (FINAL)'!G179</f>
        <v>0</v>
      </c>
      <c r="G20" s="314">
        <f>'inventory2022 (FINAL)'!H179</f>
        <v>0</v>
      </c>
      <c r="H20" s="314">
        <f>'inventory2022 (FINAL)'!I179</f>
        <v>7.5609999999999999</v>
      </c>
    </row>
    <row r="21" spans="1:32" x14ac:dyDescent="0.4">
      <c r="A21" s="310">
        <v>13</v>
      </c>
      <c r="B21" s="309" t="s">
        <v>720</v>
      </c>
      <c r="C21" s="310">
        <v>13</v>
      </c>
      <c r="D21" s="311">
        <f>'inventory2022 (FINAL)'!E195</f>
        <v>116.96000000000001</v>
      </c>
      <c r="E21" s="314">
        <f>'inventory2022 (FINAL)'!F195</f>
        <v>57.309999999999995</v>
      </c>
      <c r="F21" s="314">
        <f>'inventory2022 (FINAL)'!G195</f>
        <v>0</v>
      </c>
      <c r="G21" s="314">
        <f>'inventory2022 (FINAL)'!H195</f>
        <v>3.42</v>
      </c>
      <c r="H21" s="314">
        <f>'inventory2022 (FINAL)'!I195</f>
        <v>56.230000000000004</v>
      </c>
    </row>
    <row r="22" spans="1:32" x14ac:dyDescent="0.4">
      <c r="A22" s="310">
        <v>14</v>
      </c>
      <c r="B22" s="309" t="s">
        <v>721</v>
      </c>
      <c r="C22" s="310">
        <v>4</v>
      </c>
      <c r="D22" s="311">
        <f>'inventory2022 (FINAL)'!E202</f>
        <v>28</v>
      </c>
      <c r="E22" s="314">
        <f>'inventory2022 (FINAL)'!F202</f>
        <v>17.141200000000001</v>
      </c>
      <c r="F22" s="314">
        <f>'inventory2022 (FINAL)'!G202</f>
        <v>0</v>
      </c>
      <c r="G22" s="314">
        <f>'inventory2022 (FINAL)'!H202</f>
        <v>0</v>
      </c>
      <c r="H22" s="314">
        <f>'inventory2022 (FINAL)'!I202</f>
        <v>10.859000000000002</v>
      </c>
    </row>
    <row r="23" spans="1:32" x14ac:dyDescent="0.4">
      <c r="A23" s="310">
        <v>15</v>
      </c>
      <c r="B23" s="309" t="s">
        <v>717</v>
      </c>
      <c r="C23" s="310">
        <v>8</v>
      </c>
      <c r="D23" s="311">
        <f>'inventory2022 (FINAL)'!E213</f>
        <v>49</v>
      </c>
      <c r="E23" s="314">
        <f>'inventory2022 (FINAL)'!F213</f>
        <v>26.39</v>
      </c>
      <c r="F23" s="314">
        <f>'inventory2022 (FINAL)'!G213</f>
        <v>5.1429999999999998</v>
      </c>
      <c r="G23" s="314">
        <f>'inventory2022 (FINAL)'!H213</f>
        <v>0.1</v>
      </c>
      <c r="H23" s="314">
        <f>'inventory2022 (FINAL)'!I213</f>
        <v>17.367000000000001</v>
      </c>
    </row>
    <row r="24" spans="1:32" x14ac:dyDescent="0.4">
      <c r="A24" s="310">
        <v>1</v>
      </c>
      <c r="B24" s="309" t="s">
        <v>715</v>
      </c>
      <c r="C24" s="310">
        <v>14</v>
      </c>
      <c r="D24" s="311">
        <f>'inventory2022 (FINAL)'!E230</f>
        <v>88.600000000000009</v>
      </c>
      <c r="E24" s="312">
        <f>'inventory2022 (FINAL)'!F230</f>
        <v>26.14</v>
      </c>
      <c r="F24" s="312">
        <f>'inventory2022 (FINAL)'!G230</f>
        <v>0</v>
      </c>
      <c r="G24" s="312">
        <f>'inventory2022 (FINAL)'!H230</f>
        <v>0</v>
      </c>
      <c r="H24" s="312">
        <f>'inventory2022 (FINAL)'!I230</f>
        <v>48.05</v>
      </c>
    </row>
    <row r="25" spans="1:32" x14ac:dyDescent="0.4">
      <c r="A25" s="310">
        <v>2</v>
      </c>
      <c r="B25" s="309" t="s">
        <v>765</v>
      </c>
      <c r="C25" s="310">
        <v>5</v>
      </c>
      <c r="D25" s="311">
        <f>'inventory2022 (FINAL)'!E238</f>
        <v>27.6</v>
      </c>
      <c r="E25" s="312">
        <f>'inventory2022 (FINAL)'!F238</f>
        <v>13.035</v>
      </c>
      <c r="F25" s="312">
        <f>'inventory2022 (FINAL)'!G238</f>
        <v>0</v>
      </c>
      <c r="G25" s="312">
        <f>'inventory2022 (FINAL)'!H238</f>
        <v>0</v>
      </c>
      <c r="H25" s="312">
        <f>'inventory2022 (FINAL)'!I238</f>
        <v>15.089000000000002</v>
      </c>
    </row>
    <row r="26" spans="1:32" x14ac:dyDescent="0.4">
      <c r="A26" s="310">
        <v>18</v>
      </c>
      <c r="B26" s="309" t="s">
        <v>718</v>
      </c>
      <c r="C26" s="310">
        <v>11</v>
      </c>
      <c r="D26" s="311">
        <f>'inventory2022 (FINAL)'!E252</f>
        <v>35.78</v>
      </c>
      <c r="E26" s="314">
        <f>'inventory2022 (FINAL)'!F252</f>
        <v>19.315999999999999</v>
      </c>
      <c r="F26" s="314">
        <f>'inventory2022 (FINAL)'!G252</f>
        <v>5.6</v>
      </c>
      <c r="G26" s="314">
        <f>'inventory2022 (FINAL)'!H252</f>
        <v>0.91400000000000003</v>
      </c>
      <c r="H26" s="314">
        <f>'inventory2022 (FINAL)'!I252</f>
        <v>9.9500000000000011</v>
      </c>
    </row>
    <row r="27" spans="1:32" x14ac:dyDescent="0.4">
      <c r="A27" s="310">
        <v>3</v>
      </c>
      <c r="B27" s="309" t="s">
        <v>712</v>
      </c>
      <c r="C27" s="310">
        <v>17</v>
      </c>
      <c r="D27" s="311">
        <f>'inventory2022 (FINAL)'!E272</f>
        <v>129.38000000000002</v>
      </c>
      <c r="E27" s="314">
        <f>'inventory2022 (FINAL)'!F272</f>
        <v>37.722000000000001</v>
      </c>
      <c r="F27" s="314">
        <f>'inventory2022 (FINAL)'!G272</f>
        <v>0</v>
      </c>
      <c r="G27" s="314">
        <f>'inventory2022 (FINAL)'!H272</f>
        <v>0</v>
      </c>
      <c r="H27" s="314">
        <f>'inventory2022 (FINAL)'!I272</f>
        <v>91.448999999999984</v>
      </c>
    </row>
    <row r="28" spans="1:32" x14ac:dyDescent="0.4">
      <c r="A28" s="310">
        <v>4</v>
      </c>
      <c r="B28" s="309" t="s">
        <v>713</v>
      </c>
      <c r="C28" s="310">
        <v>8</v>
      </c>
      <c r="D28" s="311">
        <f>'inventory2022 (FINAL)'!E283</f>
        <v>87.669999999999987</v>
      </c>
      <c r="E28" s="314">
        <f>'inventory2022 (FINAL)'!F283</f>
        <v>35.895999999999994</v>
      </c>
      <c r="F28" s="314">
        <f>'inventory2022 (FINAL)'!G283</f>
        <v>0</v>
      </c>
      <c r="G28" s="314">
        <f>'inventory2022 (FINAL)'!H283</f>
        <v>0</v>
      </c>
      <c r="H28" s="314">
        <f>'inventory2022 (FINAL)'!I283</f>
        <v>51.404999999999987</v>
      </c>
    </row>
    <row r="29" spans="1:32" hidden="1" x14ac:dyDescent="0.4">
      <c r="A29" s="310">
        <v>5</v>
      </c>
      <c r="B29" s="309" t="s">
        <v>714</v>
      </c>
      <c r="C29" s="310"/>
      <c r="D29" s="311"/>
      <c r="E29" s="314"/>
      <c r="F29" s="314">
        <f>'inventory2022 (FINAL)'!G284</f>
        <v>0</v>
      </c>
      <c r="G29" s="314">
        <f>'inventory2022 (FINAL)'!H284</f>
        <v>0</v>
      </c>
      <c r="H29" s="314"/>
    </row>
    <row r="30" spans="1:32" x14ac:dyDescent="0.4">
      <c r="A30" s="310">
        <v>5</v>
      </c>
      <c r="B30" s="309" t="s">
        <v>714</v>
      </c>
      <c r="C30" s="310">
        <v>8</v>
      </c>
      <c r="D30" s="311">
        <f>'inventory2022 (FINAL)'!E294</f>
        <v>84.59999999999998</v>
      </c>
      <c r="E30" s="314">
        <f>'inventory2022 (FINAL)'!F294</f>
        <v>18.352999999999998</v>
      </c>
      <c r="F30" s="314">
        <f>'inventory2022 (FINAL)'!G294</f>
        <v>0</v>
      </c>
      <c r="G30" s="314">
        <f>'inventory2022 (FINAL)'!H294</f>
        <v>1.72</v>
      </c>
      <c r="H30" s="314">
        <f>'inventory2022 (FINAL)'!I294</f>
        <v>64.526999999999987</v>
      </c>
    </row>
    <row r="31" spans="1:32" s="417" customFormat="1" x14ac:dyDescent="0.4">
      <c r="A31" s="413" t="s">
        <v>732</v>
      </c>
      <c r="B31" s="413"/>
      <c r="C31" s="414">
        <f>SUM(C17:C30)</f>
        <v>110</v>
      </c>
      <c r="D31" s="415">
        <f>SUM(D17:D30)</f>
        <v>767.66500000000008</v>
      </c>
      <c r="E31" s="416">
        <f>SUM(E17:E30)</f>
        <v>269.38119999999998</v>
      </c>
      <c r="F31" s="416">
        <f>SUM(F17:F29)</f>
        <v>10.742999999999999</v>
      </c>
      <c r="G31" s="416">
        <f>SUM(G17:G30)</f>
        <v>6.1539999999999999</v>
      </c>
      <c r="H31" s="416">
        <f>SUM(H17:H30)</f>
        <v>466.92299999999994</v>
      </c>
      <c r="I31" s="416">
        <f>SUM(E31:H31)</f>
        <v>753.20119999999997</v>
      </c>
      <c r="K31" s="465"/>
      <c r="L31" s="465"/>
      <c r="M31" s="465"/>
      <c r="N31" s="465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  <c r="AA31" s="439"/>
      <c r="AB31" s="439"/>
      <c r="AC31" s="439"/>
      <c r="AD31" s="439"/>
      <c r="AE31" s="439"/>
      <c r="AF31" s="439"/>
    </row>
    <row r="32" spans="1:32" s="422" customFormat="1" x14ac:dyDescent="0.4">
      <c r="A32" s="418" t="s">
        <v>876</v>
      </c>
      <c r="B32" s="418"/>
      <c r="C32" s="419">
        <f t="shared" ref="C32:H32" si="1">C16+C31</f>
        <v>227</v>
      </c>
      <c r="D32" s="420">
        <f>D16+D31</f>
        <v>1244.0150000000001</v>
      </c>
      <c r="E32" s="421">
        <f>E16+E31</f>
        <v>440.50819999999999</v>
      </c>
      <c r="F32" s="421">
        <f t="shared" si="1"/>
        <v>10.742999999999999</v>
      </c>
      <c r="G32" s="421">
        <f t="shared" si="1"/>
        <v>10.684000000000001</v>
      </c>
      <c r="H32" s="421">
        <f t="shared" si="1"/>
        <v>767.61599999999999</v>
      </c>
      <c r="I32" s="432">
        <f>I31+I16</f>
        <v>1229.5511999999999</v>
      </c>
      <c r="J32" s="433">
        <f>SUM(E32:H32)</f>
        <v>1229.5511999999999</v>
      </c>
      <c r="K32" s="930">
        <f>D32/'inventory2022 (FINAL)'!E295*100</f>
        <v>100.00000000000003</v>
      </c>
      <c r="L32" s="466"/>
      <c r="M32" s="466"/>
      <c r="N32" s="466">
        <f>E32+H32</f>
        <v>1208.1242</v>
      </c>
      <c r="O32" s="440"/>
      <c r="P32" s="440"/>
      <c r="Q32" s="440"/>
      <c r="R32" s="440"/>
      <c r="S32" s="440"/>
      <c r="T32" s="440"/>
      <c r="U32" s="440"/>
      <c r="V32" s="440"/>
      <c r="W32" s="440"/>
      <c r="X32" s="440"/>
      <c r="Y32" s="440"/>
      <c r="Z32" s="440"/>
      <c r="AA32" s="440"/>
      <c r="AB32" s="440"/>
      <c r="AC32" s="440"/>
      <c r="AD32" s="440"/>
      <c r="AE32" s="440"/>
      <c r="AF32" s="440"/>
    </row>
    <row r="33" spans="1:32" x14ac:dyDescent="0.4">
      <c r="A33" s="1257" t="s">
        <v>856</v>
      </c>
      <c r="B33" s="1257"/>
      <c r="C33" s="947"/>
      <c r="D33" s="948">
        <f>I62</f>
        <v>0.68509222155681415</v>
      </c>
      <c r="E33" s="316"/>
      <c r="F33" s="316"/>
      <c r="G33" s="316"/>
      <c r="H33" s="316"/>
    </row>
    <row r="34" spans="1:32" x14ac:dyDescent="0.4">
      <c r="A34" s="1196" t="s">
        <v>744</v>
      </c>
      <c r="B34" s="1196"/>
      <c r="C34" s="1196"/>
      <c r="D34" s="1196"/>
      <c r="E34" s="1196"/>
      <c r="F34" s="1196"/>
      <c r="G34" s="1196"/>
      <c r="H34" s="1196"/>
    </row>
    <row r="35" spans="1:32" x14ac:dyDescent="0.4">
      <c r="A35" s="306"/>
      <c r="B35" s="306"/>
      <c r="C35" s="306"/>
      <c r="D35" s="306"/>
      <c r="E35" s="306"/>
      <c r="F35" s="306"/>
      <c r="G35" s="306"/>
      <c r="H35" s="306"/>
    </row>
    <row r="36" spans="1:32" s="315" customFormat="1" ht="54" customHeight="1" x14ac:dyDescent="0.35">
      <c r="A36" s="426" t="s">
        <v>730</v>
      </c>
      <c r="B36" s="426" t="s">
        <v>29</v>
      </c>
      <c r="C36" s="427" t="s">
        <v>725</v>
      </c>
      <c r="D36" s="423"/>
      <c r="E36" s="1191" t="s">
        <v>764</v>
      </c>
      <c r="F36" s="1191"/>
      <c r="G36" s="1191"/>
      <c r="H36" s="1191"/>
      <c r="J36" s="434"/>
      <c r="K36" s="444" t="s">
        <v>766</v>
      </c>
      <c r="L36" s="444" t="s">
        <v>767</v>
      </c>
      <c r="M36" s="444" t="s">
        <v>768</v>
      </c>
      <c r="N36" s="445" t="s">
        <v>769</v>
      </c>
      <c r="O36" s="444" t="s">
        <v>770</v>
      </c>
      <c r="P36" s="444" t="s">
        <v>771</v>
      </c>
      <c r="Q36" s="444" t="s">
        <v>772</v>
      </c>
      <c r="R36" s="445" t="s">
        <v>773</v>
      </c>
      <c r="S36" s="444" t="s">
        <v>774</v>
      </c>
      <c r="T36" s="444" t="s">
        <v>775</v>
      </c>
      <c r="U36" s="447" t="s">
        <v>776</v>
      </c>
      <c r="V36" s="447" t="s">
        <v>777</v>
      </c>
      <c r="W36" s="444" t="s">
        <v>778</v>
      </c>
      <c r="X36" s="444" t="s">
        <v>779</v>
      </c>
      <c r="Y36" s="444" t="s">
        <v>780</v>
      </c>
      <c r="Z36" s="444" t="s">
        <v>781</v>
      </c>
      <c r="AA36" s="444" t="s">
        <v>782</v>
      </c>
      <c r="AB36" s="444" t="s">
        <v>783</v>
      </c>
      <c r="AC36" s="444" t="s">
        <v>784</v>
      </c>
      <c r="AD36" s="445" t="s">
        <v>785</v>
      </c>
      <c r="AE36" s="444" t="s">
        <v>786</v>
      </c>
      <c r="AF36" s="441" t="s">
        <v>665</v>
      </c>
    </row>
    <row r="37" spans="1:32" x14ac:dyDescent="0.4">
      <c r="A37" s="428">
        <v>1</v>
      </c>
      <c r="B37" s="428" t="s">
        <v>10</v>
      </c>
      <c r="C37" s="429">
        <f xml:space="preserve"> AF37</f>
        <v>299.65000000000003</v>
      </c>
      <c r="D37" s="424"/>
      <c r="E37" s="1193" t="s">
        <v>653</v>
      </c>
      <c r="F37" s="1193"/>
      <c r="G37" s="1193"/>
      <c r="H37" s="431">
        <f>C37+C38</f>
        <v>932.33500000000004</v>
      </c>
      <c r="J37" s="428" t="s">
        <v>10</v>
      </c>
      <c r="K37" s="429">
        <f>SUMIF('inventory2022 (FINAL)'!J8:J31,"Good",'inventory2022 (FINAL)'!E8:E31)</f>
        <v>36</v>
      </c>
      <c r="L37" s="429">
        <f>SUMIF('inventory2022 (FINAL)'!$J$35:$J$36,"Good",'inventory2022 (FINAL)'!$E$35:$E$36)</f>
        <v>12.9</v>
      </c>
      <c r="M37" s="429">
        <f>SUMIF('inventory2022 (FINAL)'!$J$40:$J$53,"Good",'inventory2022 (FINAL)'!$E$40:$E$53)</f>
        <v>1.2999999999999998</v>
      </c>
      <c r="N37" s="429">
        <f>SUMIF('inventory2022 (FINAL)'!$J$56:$J$87,"Good",'inventory2022 (FINAL)'!$E$56:$E$87)</f>
        <v>19.5</v>
      </c>
      <c r="O37" s="446">
        <f>SUMIF('inventory2022 (FINAL)'!$J$91:$J$117,"Good",'inventory2022 (FINAL)'!$E$91:$E$117)</f>
        <v>16.899999999999999</v>
      </c>
      <c r="P37" s="446">
        <f>SUMIF('inventory2022 (FINAL)'!$J$121:$J$127,"Good",'inventory2022 (FINAL)'!$E$121:$E$127)</f>
        <v>0</v>
      </c>
      <c r="Q37" s="446">
        <f>SUMIF('inventory2022 (FINAL)'!$J$131,"Good",'inventory2022 (FINAL)'!$E$131)</f>
        <v>0</v>
      </c>
      <c r="R37" s="446">
        <f>SUMIF('inventory2022 (FINAL)'!$J$135:$J$144,"Good",'inventory2022 (FINAL)'!$E$135:$E$144)</f>
        <v>7.2</v>
      </c>
      <c r="S37" s="446">
        <f>SUMIF('inventory2022 (FINAL)'!$J$148:$J$149,"Good",'inventory2022 (FINAL)'!$E$148:$E$149)</f>
        <v>0</v>
      </c>
      <c r="T37" s="446">
        <f>SUMIF('inventory2022 (FINAL)'!$J$153:$J$163,"Good",'inventory2022 (FINAL)'!$E$153:$E$163)</f>
        <v>0</v>
      </c>
      <c r="U37" s="446">
        <f>SUMIF('inventory2022 (FINAL)'!$J$167:$J$174,"Good",'inventory2022 (FINAL)'!$E$167:$E$174)</f>
        <v>7.6</v>
      </c>
      <c r="V37" s="446">
        <f>SUMIF('inventory2022 (FINAL)'!$J$178,"Good",'inventory2022 (FINAL)'!$E$178)</f>
        <v>0</v>
      </c>
      <c r="W37" s="446">
        <f>SUMIF('inventory2022 (FINAL)'!$J$182:$J$194,"Good",'inventory2022 (FINAL)'!$E$182:$E$194)</f>
        <v>53.6</v>
      </c>
      <c r="X37" s="446">
        <f>SUMIF('inventory2022 (FINAL)'!$J$198:$J$201,"Good",'inventory2022 (FINAL)'!$E$198:$E$201)</f>
        <v>17</v>
      </c>
      <c r="Y37" s="446">
        <f>SUMIF('inventory2022 (FINAL)'!$J$205:$J$212,"Good",'inventory2022 (FINAL)'!$E$205:$E$212)</f>
        <v>31.3</v>
      </c>
      <c r="Z37" s="446">
        <f>SUMIF('inventory2022 (FINAL)'!$J$216:$J$229,"Good",'inventory2022 (FINAL)'!$E$216:$E$229)</f>
        <v>5</v>
      </c>
      <c r="AA37" s="446">
        <f>SUMIF('inventory2022 (FINAL)'!$J$233:$J$237,"Good",'inventory2022 (FINAL)'!$E$233:$E$237)</f>
        <v>11</v>
      </c>
      <c r="AB37" s="446">
        <f>SUMIF('inventory2022 (FINAL)'!$J$241:$J$251,"Good",'inventory2022 (FINAL)'!$E$241:$E$251)</f>
        <v>4.67</v>
      </c>
      <c r="AC37" s="446">
        <f>SUMIF('inventory2022 (FINAL)'!$J$255:$J$271,"Good",'inventory2022 (FINAL)'!$E$255:$E$271)</f>
        <v>27.330000000000002</v>
      </c>
      <c r="AD37" s="446">
        <f>SUMIF('inventory2022 (FINAL)'!$J$275:$J$282,"Good",'inventory2022 (FINAL)'!$E$275:$E$282)</f>
        <v>34.549999999999997</v>
      </c>
      <c r="AE37" s="446">
        <f>SUMIF('inventory2022 (FINAL)'!$J$286:$J$293,"Good",'inventory2022 (FINAL)'!$E$286:$E$293)</f>
        <v>13.8</v>
      </c>
      <c r="AF37" s="446">
        <f>SUM(K37:AE37)</f>
        <v>299.65000000000003</v>
      </c>
    </row>
    <row r="38" spans="1:32" x14ac:dyDescent="0.4">
      <c r="A38" s="428">
        <v>2</v>
      </c>
      <c r="B38" s="428" t="s">
        <v>12</v>
      </c>
      <c r="C38" s="429">
        <f>AF38</f>
        <v>632.68500000000006</v>
      </c>
      <c r="D38" s="424"/>
      <c r="E38" s="1193" t="s">
        <v>654</v>
      </c>
      <c r="F38" s="1193"/>
      <c r="G38" s="1193"/>
      <c r="H38" s="431">
        <f>C39+C40</f>
        <v>311.68</v>
      </c>
      <c r="J38" s="428" t="s">
        <v>12</v>
      </c>
      <c r="K38" s="429">
        <f>SUMIF('inventory2022 (FINAL)'!J8:J31,"Fair",'inventory2022 (FINAL)'!E8:E31)</f>
        <v>46.150000000000006</v>
      </c>
      <c r="L38" s="429">
        <f>SUMIF('inventory2022 (FINAL)'!$J$35:$J$36,"Fair",'inventory2022 (FINAL)'!$E$35:$E$36)</f>
        <v>5.6</v>
      </c>
      <c r="M38" s="429">
        <f>SUMIF('inventory2022 (FINAL)'!$J$40:$J$53,"Fair",'inventory2022 (FINAL)'!$E$40:$E$53)</f>
        <v>11.3</v>
      </c>
      <c r="N38" s="429">
        <f>SUMIF('inventory2022 (FINAL)'!$J$56:$J$87,"Fair",'inventory2022 (FINAL)'!$E$56:$E$87)</f>
        <v>68.850000000000009</v>
      </c>
      <c r="O38" s="446">
        <f>SUMIF('inventory2022 (FINAL)'!$J$91:$J$117,"Fair",'inventory2022 (FINAL)'!$E$91:$E$117)</f>
        <v>45.4</v>
      </c>
      <c r="P38" s="446">
        <f>SUMIF('inventory2022 (FINAL)'!$J$121:$J$127,"Fair",'inventory2022 (FINAL)'!$E$121:$E$127)</f>
        <v>0</v>
      </c>
      <c r="Q38" s="446">
        <f>SUMIF('inventory2022 (FINAL)'!$J$131,"Fair",'inventory2022 (FINAL)'!$E$131)</f>
        <v>0</v>
      </c>
      <c r="R38" s="446">
        <f>SUMIF('inventory2022 (FINAL)'!$J$135:$J$144,"Fair",'inventory2022 (FINAL)'!$E$135:$E$144)</f>
        <v>12.3</v>
      </c>
      <c r="S38" s="446">
        <f>SUMIF('inventory2022 (FINAL)'!$J$148:$J$149,"Fair",'inventory2022 (FINAL)'!$E$148:$E$149)</f>
        <v>7.25</v>
      </c>
      <c r="T38" s="446">
        <f>SUMIF('inventory2022 (FINAL)'!$J$153:$J$163,"Fair",'inventory2022 (FINAL)'!$E$153:$E$163)</f>
        <v>10.1</v>
      </c>
      <c r="U38" s="446">
        <f>SUMIF('inventory2022 (FINAL)'!$J$167:$J$174,"Fair",'inventory2022 (FINAL)'!$E$167:$E$174)</f>
        <v>32.903999999999996</v>
      </c>
      <c r="V38" s="446">
        <f>SUMIF('inventory2022 (FINAL)'!$J$178,"Fair",'inventory2022 (FINAL)'!$E$178)</f>
        <v>8.7409999999999997</v>
      </c>
      <c r="W38" s="446">
        <f>SUMIF('inventory2022 (FINAL)'!$J$182:$J$194,"Fair",'inventory2022 (FINAL)'!$E$182:$E$194)</f>
        <v>63.160000000000004</v>
      </c>
      <c r="X38" s="446">
        <f>SUMIF('inventory2022 (FINAL)'!$J$198:$J$201,"Fair",'inventory2022 (FINAL)'!$E$198:$E$201)</f>
        <v>11</v>
      </c>
      <c r="Y38" s="446">
        <f>SUMIF('inventory2022 (FINAL)'!$J$205:$J$212,"Fair",'inventory2022 (FINAL)'!$E$205:$E$212)</f>
        <v>12.700000000000001</v>
      </c>
      <c r="Z38" s="446">
        <f>SUMIF('inventory2022 (FINAL)'!$J$216:$J$229,"Fair",'inventory2022 (FINAL)'!$E$216:$E$229)</f>
        <v>61.9</v>
      </c>
      <c r="AA38" s="446">
        <f>SUMIF('inventory2022 (FINAL)'!$J$233:$J$237,"Fair",'inventory2022 (FINAL)'!$E$233:$E$237)</f>
        <v>13.6</v>
      </c>
      <c r="AB38" s="446">
        <f>SUMIF('inventory2022 (FINAL)'!$J$241:$J$251,"Fair",'inventory2022 (FINAL)'!$E$241:$E$251)</f>
        <v>7.96</v>
      </c>
      <c r="AC38" s="446">
        <f>SUMIF('inventory2022 (FINAL)'!$J$255:$J$271,"Fair",'inventory2022 (FINAL)'!$E$255:$E$271)</f>
        <v>98.65</v>
      </c>
      <c r="AD38" s="446">
        <f>SUMIF('inventory2022 (FINAL)'!$J$275:$J$282,"Fair",'inventory2022 (FINAL)'!$E$275:$E$282)</f>
        <v>47.62</v>
      </c>
      <c r="AE38" s="446">
        <f>SUMIF('inventory2022 (FINAL)'!$J$286:$J$293,"Fair",'inventory2022 (FINAL)'!$E$286:$E$293)</f>
        <v>67.499999999999986</v>
      </c>
      <c r="AF38" s="446">
        <f>SUM(K38:AE38)</f>
        <v>632.68500000000006</v>
      </c>
    </row>
    <row r="39" spans="1:32" x14ac:dyDescent="0.4">
      <c r="A39" s="428">
        <v>3</v>
      </c>
      <c r="B39" s="428" t="s">
        <v>33</v>
      </c>
      <c r="C39" s="429">
        <f>AF39</f>
        <v>196.92</v>
      </c>
      <c r="D39" s="424"/>
      <c r="E39" s="1192" t="s">
        <v>754</v>
      </c>
      <c r="F39" s="1192"/>
      <c r="G39" s="1192"/>
      <c r="H39" s="450">
        <f>SUM(H37:H38)</f>
        <v>1244.0150000000001</v>
      </c>
      <c r="J39" s="428" t="s">
        <v>33</v>
      </c>
      <c r="K39" s="429">
        <f>SUMIF('inventory2022 (FINAL)'!J8:J31,"Poor",'inventory2022 (FINAL)'!E8:E31)</f>
        <v>8.8000000000000007</v>
      </c>
      <c r="L39" s="429">
        <f>SUMIF('inventory2022 (FINAL)'!$J$35:$J$36,"Poor",'inventory2022 (FINAL)'!$E$35:$E$36)</f>
        <v>0</v>
      </c>
      <c r="M39" s="429">
        <f>SUMIF('inventory2022 (FINAL)'!$J$40:$J$53,"Poor",'inventory2022 (FINAL)'!$E$40:$E$53)</f>
        <v>12.2</v>
      </c>
      <c r="N39" s="429">
        <f>SUMIF('inventory2022 (FINAL)'!$J$56:$J$87,"Poor",'inventory2022 (FINAL)'!$E$56:$E$87)</f>
        <v>19.5</v>
      </c>
      <c r="O39" s="446">
        <f>SUMIF('inventory2022 (FINAL)'!$J$91:$J$117,"Poor",'inventory2022 (FINAL)'!$E$91:$E$117)</f>
        <v>18.7</v>
      </c>
      <c r="P39" s="446">
        <f>SUMIF('inventory2022 (FINAL)'!$J$121:$J$127,"Poor",'inventory2022 (FINAL)'!$E$121:$E$127)</f>
        <v>25.45</v>
      </c>
      <c r="Q39" s="446">
        <f>SUMIF('inventory2022 (FINAL)'!$J$131,"Poor",'inventory2022 (FINAL)'!$E$131)</f>
        <v>3.1</v>
      </c>
      <c r="R39" s="446">
        <f>SUMIF('inventory2022 (FINAL)'!$J$135:$J$144,"Poor",'inventory2022 (FINAL)'!$E$135:$E$144)</f>
        <v>26.799999999999997</v>
      </c>
      <c r="S39" s="446">
        <f>SUMIF('inventory2022 (FINAL)'!$J$148:$J$149,"Poor",'inventory2022 (FINAL)'!$E$148:$E$149)</f>
        <v>0</v>
      </c>
      <c r="T39" s="446">
        <f>SUMIF('inventory2022 (FINAL)'!$J$153:$J$163,"Poor",'inventory2022 (FINAL)'!$E$153:$E$163)</f>
        <v>48.699999999999996</v>
      </c>
      <c r="U39" s="446">
        <f>SUMIF('inventory2022 (FINAL)'!$J$167:$J$174,"Poor",'inventory2022 (FINAL)'!$E$167:$E$174)</f>
        <v>0</v>
      </c>
      <c r="V39" s="446">
        <f>SUMIF('inventory2022 (FINAL)'!$J$178,"Poor",'inventory2022 (FINAL)'!$E$178)</f>
        <v>0</v>
      </c>
      <c r="W39" s="446">
        <f>SUMIF('inventory2022 (FINAL)'!$J$182:$J$194,"Poor",'inventory2022 (FINAL)'!$E$182:$E$194)</f>
        <v>0.2</v>
      </c>
      <c r="X39" s="446">
        <f>SUMIF('inventory2022 (FINAL)'!$J$198:$J$201,"Poor",'inventory2022 (FINAL)'!$E$198:$E$201)</f>
        <v>0</v>
      </c>
      <c r="Y39" s="446">
        <f>SUMIF('inventory2022 (FINAL)'!$J$205:$J$212,"Poor",'inventory2022 (FINAL)'!$E$205:$E$212)</f>
        <v>0</v>
      </c>
      <c r="Z39" s="446">
        <f>SUMIF('inventory2022 (FINAL)'!$J$216:$J$229,"Poor",'inventory2022 (FINAL)'!$E$216:$E$229)</f>
        <v>12</v>
      </c>
      <c r="AA39" s="446">
        <f>SUMIF('inventory2022 (FINAL)'!$J$233:$J$237,"Poor",'inventory2022 (FINAL)'!$E$233:$E$237)</f>
        <v>0</v>
      </c>
      <c r="AB39" s="446">
        <f>SUMIF('inventory2022 (FINAL)'!$J$241:$J$251,"Poor",'inventory2022 (FINAL)'!$E$241:$E$251)</f>
        <v>15.969999999999999</v>
      </c>
      <c r="AC39" s="446">
        <f>SUMIF('inventory2022 (FINAL)'!$J$255:$J$271,"Poor",'inventory2022 (FINAL)'!$E$255:$E$271)</f>
        <v>0</v>
      </c>
      <c r="AD39" s="446">
        <f>SUMIF('inventory2022 (FINAL)'!$J$275:$J$282,"Poor",'inventory2022 (FINAL)'!$E$275:$E$282)</f>
        <v>5.5</v>
      </c>
      <c r="AE39" s="446">
        <f>SUMIF('inventory2022 (FINAL)'!$J$286:$J$293,"Poor",'inventory2022 (FINAL)'!$E$286:$E$293)</f>
        <v>0</v>
      </c>
      <c r="AF39" s="446">
        <f>SUM(K39:AE39)</f>
        <v>196.92</v>
      </c>
    </row>
    <row r="40" spans="1:32" x14ac:dyDescent="0.4">
      <c r="A40" s="428">
        <v>4</v>
      </c>
      <c r="B40" s="428" t="s">
        <v>41</v>
      </c>
      <c r="C40" s="429">
        <f>AF40</f>
        <v>114.76</v>
      </c>
      <c r="D40" s="424"/>
      <c r="E40" s="313"/>
      <c r="F40" s="313"/>
      <c r="G40" s="313"/>
      <c r="H40" s="313"/>
      <c r="J40" s="428" t="s">
        <v>41</v>
      </c>
      <c r="K40" s="429">
        <f>SUMIF('inventory2022 (FINAL)'!J8:J31,"Bad",'inventory2022 (FINAL)'!E8:E31)</f>
        <v>7.6</v>
      </c>
      <c r="L40" s="429">
        <f>SUMIF('inventory2022 (FINAL)'!$J$35:$J$36,"Bad",'inventory2022 (FINAL)'!$E$35:$E$36)</f>
        <v>0</v>
      </c>
      <c r="M40" s="429">
        <f>SUMIF('inventory2022 (FINAL)'!$J$40:$J$53,"Bad",'inventory2022 (FINAL)'!$E$40:$E$53)</f>
        <v>24.499999999999996</v>
      </c>
      <c r="N40" s="429">
        <f>SUMIF('inventory2022 (FINAL)'!$J$56:$J$87,"Bad",'inventory2022 (FINAL)'!$E$56:$E$87)</f>
        <v>0</v>
      </c>
      <c r="O40" s="446">
        <f>SUMIF('inventory2022 (FINAL)'!$J$91:$J$117,"Bad",'inventory2022 (FINAL)'!$E$91:$E$117)</f>
        <v>21.5</v>
      </c>
      <c r="P40" s="446">
        <f>SUMIF('inventory2022 (FINAL)'!$J$121:$J$127,"Bad",'inventory2022 (FINAL)'!$E$121:$E$127)</f>
        <v>17</v>
      </c>
      <c r="Q40" s="446">
        <f>SUMIF('inventory2022 (FINAL)'!$J$131,"Bad",'inventory2022 (FINAL)'!$E$131)</f>
        <v>0</v>
      </c>
      <c r="R40" s="446">
        <f>SUMIF('inventory2022 (FINAL)'!$J$135:$J$144,"Bad",'inventory2022 (FINAL)'!$E$135:$E$144)</f>
        <v>7.8</v>
      </c>
      <c r="S40" s="446">
        <f>SUMIF('inventory2022 (FINAL)'!$J$148:$J$149,"Bad",'inventory2022 (FINAL)'!$E$148:$E$149)</f>
        <v>0</v>
      </c>
      <c r="T40" s="446">
        <f>SUMIF('inventory2022 (FINAL)'!$J$153:$J$163,"Bad",'inventory2022 (FINAL)'!$E$153:$E$163)</f>
        <v>3.2</v>
      </c>
      <c r="U40" s="446">
        <f>SUMIF('inventory2022 (FINAL)'!$J$167:$J$174,"Bad",'inventory2022 (FINAL)'!$E$167:$E$174)</f>
        <v>1.58</v>
      </c>
      <c r="V40" s="446">
        <f>SUMIF('inventory2022 (FINAL)'!$J$178,"Bad",'inventory2022 (FINAL)'!$E$178)</f>
        <v>0</v>
      </c>
      <c r="W40" s="446">
        <f>SUMIF('inventory2022 (FINAL)'!$J$182:$J$194,"Bad",'inventory2022 (FINAL)'!$E$182:$E$194)</f>
        <v>0</v>
      </c>
      <c r="X40" s="446">
        <f>SUMIF('inventory2022 (FINAL)'!$J$198:$J$201,"Bad",'inventory2022 (FINAL)'!$E$198:$E$201)</f>
        <v>0</v>
      </c>
      <c r="Y40" s="446">
        <f>SUMIF('inventory2022 (FINAL)'!$J$205:$J$212,"Bad",'inventory2022 (FINAL)'!$E$205:$E$212)</f>
        <v>5</v>
      </c>
      <c r="Z40" s="446">
        <f>SUMIF('inventory2022 (FINAL)'!$J$216:$J$229,"Bad",'inventory2022 (FINAL)'!$E$216:$E$229)</f>
        <v>9.6999999999999993</v>
      </c>
      <c r="AA40" s="446">
        <f>SUMIF('inventory2022 (FINAL)'!$J$233:$J$237,"Bad",'inventory2022 (FINAL)'!$E$233:$E$237)</f>
        <v>3</v>
      </c>
      <c r="AB40" s="446">
        <f>SUMIF('inventory2022 (FINAL)'!$J$241:$J$251,"Bad",'inventory2022 (FINAL)'!$E$241:$E$251)</f>
        <v>7.18</v>
      </c>
      <c r="AC40" s="446">
        <f>SUMIF('inventory2022 (FINAL)'!$J$255:$J$271,"Bad",'inventory2022 (FINAL)'!$E$255:$E$271)</f>
        <v>3.4</v>
      </c>
      <c r="AD40" s="446">
        <f>SUMIF('inventory2022 (FINAL)'!$J$275:$J$282,"Bad",'inventory2022 (FINAL)'!$E$275:$E$282)</f>
        <v>0</v>
      </c>
      <c r="AE40" s="446">
        <f>SUMIF('inventory2022 (FINAL)'!$J$286:$J$293,"Bad",'inventory2022 (FINAL)'!$E$286:$E$293)</f>
        <v>3.3</v>
      </c>
      <c r="AF40" s="446">
        <f>SUM(K40:AE40)</f>
        <v>114.76</v>
      </c>
    </row>
    <row r="41" spans="1:32" x14ac:dyDescent="0.4">
      <c r="A41" s="1190" t="s">
        <v>754</v>
      </c>
      <c r="B41" s="1190"/>
      <c r="C41" s="430">
        <f>SUM(C37:C40)</f>
        <v>1244.0150000000001</v>
      </c>
      <c r="D41" s="424"/>
      <c r="E41" s="313"/>
      <c r="F41" s="313"/>
      <c r="G41" s="313"/>
      <c r="H41" s="313"/>
      <c r="J41" s="448"/>
      <c r="K41" s="467">
        <f>SUM(K37:K40)</f>
        <v>98.55</v>
      </c>
      <c r="L41" s="467">
        <f t="shared" ref="L41:AE41" si="2">SUM(L37:L40)</f>
        <v>18.5</v>
      </c>
      <c r="M41" s="467">
        <f>SUM(M37:M40)</f>
        <v>49.3</v>
      </c>
      <c r="N41" s="467">
        <f t="shared" si="2"/>
        <v>107.85000000000001</v>
      </c>
      <c r="O41" s="449">
        <f t="shared" si="2"/>
        <v>102.5</v>
      </c>
      <c r="P41" s="449">
        <f t="shared" si="2"/>
        <v>42.45</v>
      </c>
      <c r="Q41" s="449">
        <f t="shared" si="2"/>
        <v>3.1</v>
      </c>
      <c r="R41" s="449">
        <f t="shared" si="2"/>
        <v>54.099999999999994</v>
      </c>
      <c r="S41" s="449">
        <f t="shared" si="2"/>
        <v>7.25</v>
      </c>
      <c r="T41" s="449">
        <f t="shared" si="2"/>
        <v>62</v>
      </c>
      <c r="U41" s="449">
        <f t="shared" si="2"/>
        <v>42.083999999999996</v>
      </c>
      <c r="V41" s="449">
        <f t="shared" si="2"/>
        <v>8.7409999999999997</v>
      </c>
      <c r="W41" s="449">
        <f t="shared" si="2"/>
        <v>116.96000000000001</v>
      </c>
      <c r="X41" s="449">
        <f t="shared" si="2"/>
        <v>28</v>
      </c>
      <c r="Y41" s="449">
        <f t="shared" si="2"/>
        <v>49</v>
      </c>
      <c r="Z41" s="449">
        <f t="shared" si="2"/>
        <v>88.600000000000009</v>
      </c>
      <c r="AA41" s="449">
        <f t="shared" si="2"/>
        <v>27.6</v>
      </c>
      <c r="AB41" s="449">
        <f t="shared" si="2"/>
        <v>35.78</v>
      </c>
      <c r="AC41" s="449">
        <f t="shared" si="2"/>
        <v>129.38</v>
      </c>
      <c r="AD41" s="449">
        <f t="shared" si="2"/>
        <v>87.669999999999987</v>
      </c>
      <c r="AE41" s="449">
        <f t="shared" si="2"/>
        <v>84.59999999999998</v>
      </c>
      <c r="AF41" s="449">
        <f>SUM(AF37:AF40)</f>
        <v>1244.0150000000001</v>
      </c>
    </row>
    <row r="42" spans="1:32" x14ac:dyDescent="0.4">
      <c r="C42" s="313"/>
      <c r="D42" s="313"/>
    </row>
    <row r="43" spans="1:32" x14ac:dyDescent="0.4">
      <c r="C43" s="313"/>
      <c r="D43" s="313"/>
    </row>
    <row r="44" spans="1:32" s="329" customFormat="1" ht="18" customHeight="1" x14ac:dyDescent="0.35">
      <c r="B44" s="355" t="s">
        <v>755</v>
      </c>
      <c r="E44" s="331" t="s">
        <v>757</v>
      </c>
      <c r="I44" s="331"/>
      <c r="J44" s="327"/>
      <c r="K44" s="442"/>
      <c r="L44" s="442"/>
      <c r="M44" s="442"/>
      <c r="N44" s="442"/>
      <c r="O44" s="442"/>
      <c r="P44" s="442"/>
      <c r="Q44" s="442"/>
      <c r="R44" s="442"/>
      <c r="S44" s="442"/>
      <c r="T44" s="442"/>
      <c r="U44" s="442"/>
      <c r="V44" s="442"/>
      <c r="W44" s="442"/>
      <c r="X44" s="442"/>
      <c r="Y44" s="442"/>
      <c r="Z44" s="442"/>
      <c r="AA44" s="442"/>
      <c r="AB44" s="442"/>
      <c r="AC44" s="442"/>
      <c r="AD44" s="442"/>
      <c r="AE44" s="442"/>
      <c r="AF44" s="442"/>
    </row>
    <row r="45" spans="1:32" s="329" customFormat="1" ht="18" customHeight="1" x14ac:dyDescent="0.35">
      <c r="B45" s="355"/>
      <c r="E45" s="331"/>
      <c r="F45" s="331"/>
      <c r="G45" s="331"/>
      <c r="I45" s="331"/>
      <c r="J45" s="469"/>
      <c r="K45" s="427" t="s">
        <v>739</v>
      </c>
      <c r="L45" s="427" t="s">
        <v>740</v>
      </c>
      <c r="M45" s="427" t="s">
        <v>741</v>
      </c>
      <c r="N45" s="427" t="s">
        <v>742</v>
      </c>
      <c r="O45" s="468"/>
      <c r="P45" s="442"/>
      <c r="Q45" s="442"/>
      <c r="R45" s="442"/>
      <c r="S45" s="442"/>
      <c r="T45" s="442"/>
      <c r="U45" s="442"/>
      <c r="V45" s="442"/>
      <c r="W45" s="442"/>
      <c r="X45" s="442"/>
      <c r="Y45" s="442"/>
      <c r="Z45" s="442"/>
      <c r="AA45" s="442"/>
      <c r="AB45" s="442"/>
      <c r="AC45" s="442"/>
      <c r="AD45" s="442"/>
      <c r="AE45" s="442"/>
      <c r="AF45" s="442"/>
    </row>
    <row r="46" spans="1:32" s="329" customFormat="1" ht="18" customHeight="1" x14ac:dyDescent="0.4">
      <c r="B46" s="355"/>
      <c r="E46" s="331"/>
      <c r="G46" s="331"/>
      <c r="I46" s="331"/>
      <c r="J46" s="428" t="s">
        <v>10</v>
      </c>
      <c r="K46" s="468">
        <f>SUMIF('inventory2022 (FINAL)'!$J$8:$J$294,"Good",'inventory2022 (FINAL)'!$F$8:$F$294)</f>
        <v>221.18819999999997</v>
      </c>
      <c r="L46" s="468">
        <f>SUMIF('inventory2022 (FINAL)'!$J$8:$J$294,"Good",'inventory2022 (FINAL)'!$G$8:$G$294)</f>
        <v>2.0830000000000002</v>
      </c>
      <c r="M46" s="468">
        <f>SUMIF('inventory2022 (FINAL)'!$J$8:$J$294,"Good",'inventory2022 (FINAL)'!$H$8:$H$294)</f>
        <v>3.42</v>
      </c>
      <c r="N46" s="468">
        <f>SUMIF('inventory2022 (FINAL)'!$J$8:$J$294,"Good",'inventory2022 (FINAL)'!$I$8:$I$294)</f>
        <v>76.465999999999994</v>
      </c>
      <c r="O46" s="468">
        <f>SUM(K46:N46)</f>
        <v>303.15719999999993</v>
      </c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  <c r="AB46" s="442"/>
      <c r="AC46" s="442"/>
      <c r="AD46" s="442"/>
      <c r="AE46" s="442"/>
      <c r="AF46" s="442"/>
    </row>
    <row r="47" spans="1:32" s="329" customFormat="1" ht="18" customHeight="1" x14ac:dyDescent="0.4">
      <c r="B47" s="356" t="s">
        <v>147</v>
      </c>
      <c r="E47" s="360" t="s">
        <v>851</v>
      </c>
      <c r="J47" s="428" t="s">
        <v>12</v>
      </c>
      <c r="K47" s="468">
        <f>SUMIF('inventory2022 (FINAL)'!$J$8:$J$294,"Fair",'inventory2022 (FINAL)'!$F$8:$F$294)</f>
        <v>171.76400000000004</v>
      </c>
      <c r="L47" s="468">
        <f>SUMIF('inventory2022 (FINAL)'!$J$8:$J$294,"Fair",'inventory2022 (FINAL)'!$G$8:$G$294)</f>
        <v>0</v>
      </c>
      <c r="M47" s="468">
        <f>SUMIF('inventory2022 (FINAL)'!$J$8:$J$294,"Fair",'inventory2022 (FINAL)'!$H$8:$H$294)</f>
        <v>1.72</v>
      </c>
      <c r="N47" s="468">
        <f>SUMIF('inventory2022 (FINAL)'!$J$8:$J$294,"Fair",'inventory2022 (FINAL)'!$I$8:$I$294)</f>
        <v>450.97199999999998</v>
      </c>
      <c r="O47" s="468">
        <f>SUM(K47:N47)</f>
        <v>624.45600000000002</v>
      </c>
      <c r="P47" s="442"/>
      <c r="Q47" s="442"/>
      <c r="R47" s="442"/>
      <c r="S47" s="442"/>
      <c r="T47" s="442"/>
      <c r="U47" s="442"/>
      <c r="V47" s="442"/>
      <c r="W47" s="442"/>
      <c r="X47" s="442"/>
      <c r="Y47" s="442"/>
      <c r="Z47" s="442"/>
      <c r="AA47" s="442"/>
      <c r="AB47" s="442"/>
      <c r="AC47" s="442"/>
      <c r="AD47" s="442"/>
      <c r="AE47" s="442"/>
      <c r="AF47" s="442"/>
    </row>
    <row r="48" spans="1:32" s="354" customFormat="1" ht="18" customHeight="1" x14ac:dyDescent="0.4">
      <c r="B48" s="355" t="s">
        <v>149</v>
      </c>
      <c r="E48" s="350" t="s">
        <v>149</v>
      </c>
      <c r="F48" s="329"/>
      <c r="G48" s="329"/>
      <c r="H48" s="329"/>
      <c r="I48" s="331"/>
      <c r="J48" s="428" t="s">
        <v>33</v>
      </c>
      <c r="K48" s="468">
        <f>SUMIF('inventory2022 (FINAL)'!$J$8:$J$294,"Poor",'inventory2022 (FINAL)'!$F$8:$F$294)</f>
        <v>33.223999999999997</v>
      </c>
      <c r="L48" s="468">
        <f>SUMIF('inventory2022 (FINAL)'!$J$8:$J$294,"Poor",'inventory2022 (FINAL)'!$G$8:$G$294)</f>
        <v>2.5499999999999998</v>
      </c>
      <c r="M48" s="468">
        <f>SUMIF('inventory2022 (FINAL)'!$J$8:$J$294,"Poor",'inventory2022 (FINAL)'!$H$8:$H$294)</f>
        <v>0</v>
      </c>
      <c r="N48" s="468">
        <f>SUMIF('inventory2022 (FINAL)'!$J$8:$J$294,"Poor",'inventory2022 (FINAL)'!$I$8:$I$294)</f>
        <v>149.18100000000001</v>
      </c>
      <c r="O48" s="468">
        <f>SUM(K48:N48)</f>
        <v>184.95500000000001</v>
      </c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  <c r="AA48" s="442"/>
      <c r="AB48" s="442"/>
      <c r="AC48" s="442"/>
      <c r="AD48" s="442"/>
      <c r="AE48" s="442"/>
      <c r="AF48" s="442"/>
    </row>
    <row r="49" spans="2:32" s="354" customFormat="1" ht="18" customHeight="1" x14ac:dyDescent="0.4">
      <c r="B49" s="355"/>
      <c r="E49" s="332"/>
      <c r="F49" s="329"/>
      <c r="G49" s="329"/>
      <c r="H49" s="329"/>
      <c r="I49" s="329"/>
      <c r="J49" s="428" t="s">
        <v>41</v>
      </c>
      <c r="K49" s="468">
        <f>SUMIF('inventory2022 (FINAL)'!$J$8:$J$294,"Bad",'inventory2022 (FINAL)'!$F$8:$F$294)</f>
        <v>14.332000000000001</v>
      </c>
      <c r="L49" s="468">
        <f>SUMIF('inventory2022 (FINAL)'!$J$8:$J$294,"Bad",'inventory2022 (FINAL)'!$G$8:$G$294)</f>
        <v>6.1099999999999994</v>
      </c>
      <c r="M49" s="468">
        <f>SUMIF('inventory2022 (FINAL)'!$J$8:$J$294,"Bad",'inventory2022 (FINAL)'!$H$8:$H$294)</f>
        <v>5.5439999999999996</v>
      </c>
      <c r="N49" s="468">
        <f>SUMIF('inventory2022 (FINAL)'!$J$8:$J$294,"Bad",'inventory2022 (FINAL)'!$I$8:$I$294)</f>
        <v>90.997</v>
      </c>
      <c r="O49" s="468">
        <f>SUM(K49:N49)</f>
        <v>116.983</v>
      </c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  <c r="AA49" s="442"/>
      <c r="AB49" s="442"/>
      <c r="AC49" s="442"/>
      <c r="AD49" s="442"/>
      <c r="AE49" s="442"/>
      <c r="AF49" s="442"/>
    </row>
    <row r="50" spans="2:32" s="354" customFormat="1" ht="18" customHeight="1" x14ac:dyDescent="0.35">
      <c r="B50" s="355"/>
      <c r="E50" s="332"/>
      <c r="F50" s="329"/>
      <c r="G50" s="329"/>
      <c r="H50" s="329"/>
      <c r="I50" s="329"/>
      <c r="J50" s="327"/>
      <c r="K50" s="442"/>
      <c r="L50" s="442"/>
      <c r="M50" s="442"/>
      <c r="N50" s="442"/>
      <c r="O50" s="470">
        <f>SUM(O46:O49)</f>
        <v>1229.5511999999999</v>
      </c>
      <c r="P50" s="442"/>
      <c r="Q50" s="442"/>
      <c r="R50" s="442"/>
      <c r="S50" s="442"/>
      <c r="T50" s="442"/>
      <c r="U50" s="442"/>
      <c r="V50" s="442"/>
      <c r="W50" s="442"/>
      <c r="X50" s="442"/>
      <c r="Y50" s="442"/>
      <c r="Z50" s="442"/>
      <c r="AA50" s="442"/>
      <c r="AB50" s="442"/>
      <c r="AC50" s="442"/>
      <c r="AD50" s="442"/>
      <c r="AE50" s="442"/>
      <c r="AF50" s="442"/>
    </row>
    <row r="51" spans="2:32" s="354" customFormat="1" ht="15" customHeight="1" x14ac:dyDescent="0.35">
      <c r="B51" s="355" t="s">
        <v>756</v>
      </c>
      <c r="E51" s="350" t="s">
        <v>759</v>
      </c>
      <c r="F51" s="329"/>
      <c r="G51" s="329"/>
      <c r="H51" s="329"/>
      <c r="I51" s="329"/>
      <c r="J51" s="327"/>
      <c r="K51" s="442"/>
      <c r="L51" s="442"/>
      <c r="M51" s="442"/>
      <c r="N51" s="442"/>
      <c r="O51" s="442"/>
      <c r="P51" s="442"/>
      <c r="Q51" s="442"/>
      <c r="R51" s="442"/>
      <c r="S51" s="442"/>
      <c r="T51" s="442"/>
      <c r="U51" s="442"/>
      <c r="V51" s="442"/>
      <c r="W51" s="442"/>
      <c r="X51" s="442"/>
      <c r="Y51" s="442"/>
      <c r="Z51" s="442"/>
      <c r="AA51" s="442"/>
      <c r="AB51" s="442"/>
      <c r="AC51" s="442"/>
      <c r="AD51" s="442"/>
      <c r="AE51" s="442"/>
      <c r="AF51" s="442"/>
    </row>
    <row r="52" spans="2:32" s="354" customFormat="1" ht="15" customHeight="1" x14ac:dyDescent="0.35">
      <c r="B52" s="355"/>
      <c r="E52" s="332"/>
      <c r="F52" s="329"/>
      <c r="G52" s="329"/>
      <c r="H52" s="329"/>
      <c r="I52" s="329"/>
      <c r="J52" s="327"/>
      <c r="K52" s="442"/>
      <c r="L52" s="442"/>
      <c r="M52" s="442"/>
      <c r="N52" s="442"/>
      <c r="O52" s="442"/>
      <c r="P52" s="442"/>
      <c r="Q52" s="442"/>
      <c r="R52" s="442"/>
      <c r="S52" s="442"/>
      <c r="T52" s="442"/>
      <c r="U52" s="442"/>
      <c r="V52" s="442"/>
      <c r="W52" s="442"/>
      <c r="X52" s="442"/>
      <c r="Y52" s="442"/>
      <c r="Z52" s="442"/>
      <c r="AA52" s="442"/>
      <c r="AB52" s="442"/>
      <c r="AC52" s="442"/>
      <c r="AD52" s="442"/>
      <c r="AE52" s="442"/>
      <c r="AF52" s="442"/>
    </row>
    <row r="53" spans="2:32" s="354" customFormat="1" ht="15" customHeight="1" x14ac:dyDescent="0.35">
      <c r="B53" s="355"/>
      <c r="E53" s="350"/>
      <c r="F53" s="329"/>
      <c r="G53" s="329"/>
      <c r="H53" s="329"/>
      <c r="I53" s="329"/>
      <c r="J53" s="327"/>
      <c r="K53" s="442"/>
      <c r="L53" s="442"/>
      <c r="M53" s="442"/>
      <c r="N53" s="442"/>
      <c r="O53" s="442"/>
      <c r="P53" s="442"/>
      <c r="Q53" s="442"/>
      <c r="R53" s="442"/>
      <c r="S53" s="442"/>
      <c r="T53" s="442"/>
      <c r="U53" s="442"/>
      <c r="V53" s="442"/>
      <c r="W53" s="442"/>
      <c r="X53" s="442"/>
      <c r="Y53" s="442"/>
      <c r="Z53" s="442"/>
      <c r="AA53" s="442"/>
      <c r="AB53" s="442"/>
      <c r="AC53" s="442"/>
      <c r="AD53" s="442"/>
      <c r="AE53" s="442"/>
      <c r="AF53" s="442"/>
    </row>
    <row r="54" spans="2:32" s="354" customFormat="1" ht="15" customHeight="1" x14ac:dyDescent="0.35">
      <c r="B54" s="356" t="s">
        <v>153</v>
      </c>
      <c r="E54" s="318" t="s">
        <v>852</v>
      </c>
      <c r="F54" s="329"/>
      <c r="G54" s="329"/>
      <c r="H54" s="329"/>
      <c r="I54" s="329"/>
      <c r="J54" s="327"/>
      <c r="K54" s="442"/>
      <c r="L54" s="442"/>
      <c r="M54" s="442"/>
      <c r="N54" s="442"/>
      <c r="O54" s="442"/>
      <c r="P54" s="442"/>
      <c r="Q54" s="442"/>
      <c r="R54" s="442"/>
      <c r="S54" s="442"/>
      <c r="T54" s="442"/>
      <c r="U54" s="442"/>
      <c r="V54" s="442"/>
      <c r="W54" s="442"/>
      <c r="X54" s="442"/>
      <c r="Y54" s="442"/>
      <c r="Z54" s="442"/>
      <c r="AA54" s="442"/>
      <c r="AB54" s="442"/>
      <c r="AC54" s="442"/>
      <c r="AD54" s="442"/>
      <c r="AE54" s="442"/>
      <c r="AF54" s="442"/>
    </row>
    <row r="55" spans="2:32" s="354" customFormat="1" ht="15" customHeight="1" x14ac:dyDescent="0.35">
      <c r="B55" s="355" t="s">
        <v>155</v>
      </c>
      <c r="E55" s="332" t="s">
        <v>853</v>
      </c>
      <c r="F55" s="329"/>
      <c r="G55" s="329"/>
      <c r="H55" s="329"/>
      <c r="I55" s="362"/>
      <c r="J55" s="327"/>
      <c r="K55" s="442"/>
      <c r="L55" s="442"/>
      <c r="M55" s="442"/>
      <c r="N55" s="442"/>
      <c r="O55" s="442"/>
      <c r="P55" s="442"/>
      <c r="Q55" s="442"/>
      <c r="R55" s="442"/>
      <c r="S55" s="442"/>
      <c r="T55" s="442"/>
      <c r="U55" s="442"/>
      <c r="V55" s="442"/>
      <c r="W55" s="442"/>
      <c r="X55" s="442"/>
      <c r="Y55" s="442"/>
      <c r="Z55" s="442"/>
      <c r="AA55" s="442"/>
      <c r="AB55" s="442"/>
      <c r="AC55" s="442"/>
      <c r="AD55" s="442"/>
      <c r="AE55" s="442"/>
      <c r="AF55" s="442"/>
    </row>
    <row r="56" spans="2:32" s="354" customFormat="1" ht="15" customHeight="1" x14ac:dyDescent="0.35">
      <c r="B56" s="327"/>
      <c r="E56" s="332" t="s">
        <v>854</v>
      </c>
      <c r="F56" s="329"/>
      <c r="G56" s="329"/>
      <c r="H56" s="329"/>
      <c r="I56" s="329"/>
      <c r="J56" s="327"/>
      <c r="K56" s="442"/>
      <c r="L56" s="442"/>
      <c r="M56" s="442"/>
      <c r="N56" s="442"/>
      <c r="O56" s="442"/>
      <c r="P56" s="442"/>
      <c r="Q56" s="442"/>
      <c r="R56" s="442"/>
      <c r="S56" s="442"/>
      <c r="T56" s="442"/>
      <c r="U56" s="442"/>
      <c r="V56" s="442"/>
      <c r="W56" s="442"/>
      <c r="X56" s="442"/>
      <c r="Y56" s="442"/>
      <c r="Z56" s="442"/>
      <c r="AA56" s="442"/>
      <c r="AB56" s="442"/>
      <c r="AC56" s="442"/>
      <c r="AD56" s="442"/>
      <c r="AE56" s="442"/>
      <c r="AF56" s="442"/>
    </row>
    <row r="57" spans="2:32" s="354" customFormat="1" ht="15" customHeight="1" x14ac:dyDescent="0.35">
      <c r="B57" s="328"/>
      <c r="C57" s="329"/>
      <c r="D57" s="329"/>
      <c r="E57" s="329"/>
      <c r="F57" s="329"/>
      <c r="G57" s="329"/>
      <c r="H57" s="329"/>
      <c r="I57" s="329"/>
      <c r="J57" s="327"/>
      <c r="K57" s="442"/>
      <c r="L57" s="442"/>
      <c r="M57" s="442"/>
      <c r="N57" s="442"/>
      <c r="O57" s="442"/>
      <c r="P57" s="442"/>
      <c r="Q57" s="442"/>
      <c r="R57" s="442"/>
      <c r="S57" s="442"/>
      <c r="T57" s="442"/>
      <c r="U57" s="442"/>
      <c r="V57" s="442"/>
      <c r="W57" s="442"/>
      <c r="X57" s="442"/>
      <c r="Y57" s="442"/>
      <c r="Z57" s="442"/>
      <c r="AA57" s="442"/>
      <c r="AB57" s="442"/>
      <c r="AC57" s="442"/>
      <c r="AD57" s="442"/>
      <c r="AE57" s="442"/>
      <c r="AF57" s="442"/>
    </row>
    <row r="58" spans="2:32" s="354" customFormat="1" ht="15" customHeight="1" x14ac:dyDescent="0.35">
      <c r="B58" s="328"/>
      <c r="C58" s="332" t="s">
        <v>152</v>
      </c>
      <c r="D58" s="329"/>
      <c r="E58" s="329"/>
      <c r="F58" s="329"/>
      <c r="G58" s="329"/>
      <c r="H58" s="329"/>
      <c r="I58" s="329"/>
      <c r="J58" s="327"/>
      <c r="K58" s="442"/>
      <c r="L58" s="442"/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2"/>
      <c r="AA58" s="442"/>
      <c r="AB58" s="442"/>
      <c r="AC58" s="442"/>
      <c r="AD58" s="442"/>
      <c r="AE58" s="442"/>
      <c r="AF58" s="442"/>
    </row>
    <row r="59" spans="2:32" s="354" customFormat="1" ht="15" customHeight="1" x14ac:dyDescent="0.35">
      <c r="B59" s="327"/>
      <c r="C59" s="329"/>
      <c r="D59" s="329"/>
      <c r="E59" s="329"/>
      <c r="F59" s="329"/>
      <c r="G59" s="329"/>
      <c r="H59" s="329"/>
      <c r="I59" s="329"/>
      <c r="J59" s="327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  <c r="AA59" s="442"/>
      <c r="AB59" s="442"/>
      <c r="AC59" s="442"/>
      <c r="AD59" s="442"/>
      <c r="AE59" s="442"/>
      <c r="AF59" s="442"/>
    </row>
    <row r="60" spans="2:32" s="354" customFormat="1" ht="15" customHeight="1" x14ac:dyDescent="0.35">
      <c r="B60" s="327"/>
      <c r="C60" s="329"/>
      <c r="D60" s="329"/>
      <c r="E60" s="329"/>
      <c r="F60" s="329"/>
      <c r="G60" s="329"/>
      <c r="H60" s="329"/>
      <c r="I60" s="329"/>
      <c r="J60" s="327"/>
      <c r="K60" s="442"/>
      <c r="L60" s="442"/>
      <c r="M60" s="442"/>
      <c r="N60" s="442"/>
      <c r="O60" s="442"/>
      <c r="P60" s="442"/>
      <c r="Q60" s="442"/>
      <c r="R60" s="442"/>
      <c r="S60" s="442"/>
      <c r="T60" s="442"/>
      <c r="U60" s="442"/>
      <c r="V60" s="442"/>
      <c r="W60" s="442"/>
      <c r="X60" s="442"/>
      <c r="Y60" s="442"/>
      <c r="Z60" s="442"/>
      <c r="AA60" s="442"/>
      <c r="AB60" s="442"/>
      <c r="AC60" s="442"/>
      <c r="AD60" s="442"/>
      <c r="AE60" s="442"/>
      <c r="AF60" s="442"/>
    </row>
    <row r="61" spans="2:32" s="354" customFormat="1" ht="18" customHeight="1" x14ac:dyDescent="0.35">
      <c r="B61" s="327"/>
      <c r="C61" s="318" t="s">
        <v>855</v>
      </c>
      <c r="D61" s="329"/>
      <c r="E61" s="329"/>
      <c r="F61" s="329"/>
      <c r="G61" s="329"/>
      <c r="H61" s="329"/>
      <c r="I61" s="932">
        <f>D31+'inventory2022 (FINAL)'!E294</f>
        <v>852.2650000000001</v>
      </c>
      <c r="J61" s="327"/>
      <c r="K61" s="443"/>
      <c r="L61" s="443"/>
      <c r="M61" s="443"/>
      <c r="N61" s="443"/>
      <c r="O61" s="443"/>
      <c r="P61" s="443"/>
      <c r="Q61" s="443"/>
      <c r="R61" s="443"/>
      <c r="S61" s="443"/>
      <c r="T61" s="443"/>
      <c r="U61" s="443"/>
      <c r="V61" s="443"/>
      <c r="W61" s="443"/>
      <c r="X61" s="443"/>
      <c r="Y61" s="443"/>
      <c r="Z61" s="443"/>
      <c r="AA61" s="443"/>
      <c r="AB61" s="443"/>
      <c r="AC61" s="443"/>
      <c r="AD61" s="443"/>
      <c r="AE61" s="443"/>
      <c r="AF61" s="443"/>
    </row>
    <row r="62" spans="2:32" s="354" customFormat="1" ht="18" customHeight="1" x14ac:dyDescent="0.35">
      <c r="B62" s="327"/>
      <c r="C62" s="332" t="s">
        <v>763</v>
      </c>
      <c r="D62" s="329"/>
      <c r="E62" s="329"/>
      <c r="F62" s="329"/>
      <c r="G62" s="329"/>
      <c r="H62" s="329"/>
      <c r="I62" s="933">
        <f>I61/'inventory2022 (FINAL)'!E295</f>
        <v>0.68509222155681415</v>
      </c>
      <c r="J62" s="327"/>
      <c r="K62" s="443"/>
      <c r="L62" s="443"/>
      <c r="M62" s="443"/>
      <c r="N62" s="443"/>
      <c r="O62" s="443"/>
      <c r="P62" s="443"/>
      <c r="Q62" s="443"/>
      <c r="R62" s="443"/>
      <c r="S62" s="443"/>
      <c r="T62" s="443"/>
      <c r="U62" s="443"/>
      <c r="V62" s="443"/>
      <c r="W62" s="443"/>
      <c r="X62" s="443"/>
      <c r="Y62" s="443"/>
      <c r="Z62" s="443"/>
      <c r="AA62" s="443"/>
      <c r="AB62" s="443"/>
      <c r="AC62" s="443"/>
      <c r="AD62" s="443"/>
      <c r="AE62" s="443"/>
      <c r="AF62" s="443"/>
    </row>
  </sheetData>
  <mergeCells count="11">
    <mergeCell ref="A34:H34"/>
    <mergeCell ref="A1:H1"/>
    <mergeCell ref="A2:H2"/>
    <mergeCell ref="A3:H3"/>
    <mergeCell ref="A5:H5"/>
    <mergeCell ref="A33:B33"/>
    <mergeCell ref="E36:H36"/>
    <mergeCell ref="E37:G37"/>
    <mergeCell ref="E38:G38"/>
    <mergeCell ref="E39:G39"/>
    <mergeCell ref="A41:B41"/>
  </mergeCells>
  <printOptions horizontalCentered="1"/>
  <pageMargins left="0" right="0" top="1" bottom="0.54" header="0.41" footer="0"/>
  <pageSetup paperSize="9" scale="65" fitToWidth="0" fitToHeight="0" orientation="portrait" horizontalDpi="1200" verticalDpi="1200" r:id="rId1"/>
  <headerFooter>
    <oddFooter>&amp;L&amp;"-,Italic"&amp;9&amp;K01+049&amp;F&amp;R&amp;"-,Italic"&amp;9&amp;K01+049Page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/>
  <dimension ref="A1:AF62"/>
  <sheetViews>
    <sheetView view="pageBreakPreview" topLeftCell="A10" zoomScale="85" zoomScaleNormal="100" zoomScaleSheetLayoutView="85" workbookViewId="0">
      <selection activeCell="W38" sqref="W38"/>
    </sheetView>
  </sheetViews>
  <sheetFormatPr defaultColWidth="9.1796875" defaultRowHeight="18" x14ac:dyDescent="0.4"/>
  <cols>
    <col min="1" max="1" width="15.7265625" style="307" customWidth="1"/>
    <col min="2" max="2" width="47.81640625" style="307" customWidth="1"/>
    <col min="3" max="8" width="15.7265625" style="307" customWidth="1"/>
    <col min="9" max="9" width="14.26953125" style="307" customWidth="1"/>
    <col min="10" max="10" width="10.81640625" style="307" bestFit="1" customWidth="1"/>
    <col min="11" max="14" width="14.26953125" style="462" customWidth="1"/>
    <col min="15" max="15" width="12.81640625" style="436" bestFit="1" customWidth="1"/>
    <col min="16" max="16" width="9.7265625" style="436" bestFit="1" customWidth="1"/>
    <col min="17" max="17" width="9.453125" style="436" bestFit="1" customWidth="1"/>
    <col min="18" max="18" width="9.7265625" style="436" bestFit="1" customWidth="1"/>
    <col min="19" max="19" width="9.453125" style="436" bestFit="1" customWidth="1"/>
    <col min="20" max="21" width="9.7265625" style="436" bestFit="1" customWidth="1"/>
    <col min="22" max="22" width="9.453125" style="436" bestFit="1" customWidth="1"/>
    <col min="23" max="23" width="11" style="436" bestFit="1" customWidth="1"/>
    <col min="24" max="28" width="9.7265625" style="436" bestFit="1" customWidth="1"/>
    <col min="29" max="29" width="11" style="436" bestFit="1" customWidth="1"/>
    <col min="30" max="31" width="9.7265625" style="436" bestFit="1" customWidth="1"/>
    <col min="32" max="32" width="13.1796875" style="436" customWidth="1"/>
    <col min="33" max="16384" width="9.1796875" style="307"/>
  </cols>
  <sheetData>
    <row r="1" spans="1:32" s="113" customFormat="1" x14ac:dyDescent="0.35">
      <c r="A1" s="1184" t="s">
        <v>0</v>
      </c>
      <c r="B1" s="1184"/>
      <c r="C1" s="1184"/>
      <c r="D1" s="1184"/>
      <c r="E1" s="1184"/>
      <c r="F1" s="1184"/>
      <c r="G1" s="1184"/>
      <c r="H1" s="1184"/>
      <c r="I1" s="304"/>
      <c r="J1" s="304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</row>
    <row r="2" spans="1:32" s="113" customFormat="1" x14ac:dyDescent="0.35">
      <c r="A2" s="1184" t="s">
        <v>297</v>
      </c>
      <c r="B2" s="1184"/>
      <c r="C2" s="1184"/>
      <c r="D2" s="1184"/>
      <c r="E2" s="1184"/>
      <c r="F2" s="1184"/>
      <c r="G2" s="1184"/>
      <c r="H2" s="1184"/>
      <c r="I2" s="304"/>
      <c r="J2" s="304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</row>
    <row r="3" spans="1:32" s="113" customFormat="1" x14ac:dyDescent="0.35">
      <c r="A3" s="1194">
        <v>2022</v>
      </c>
      <c r="B3" s="1194"/>
      <c r="C3" s="1194"/>
      <c r="D3" s="1194"/>
      <c r="E3" s="1194"/>
      <c r="F3" s="1194"/>
      <c r="G3" s="1194"/>
      <c r="H3" s="1194"/>
      <c r="I3" s="304"/>
      <c r="J3" s="304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</row>
    <row r="4" spans="1:32" s="113" customFormat="1" x14ac:dyDescent="0.35">
      <c r="A4" s="305"/>
      <c r="B4" s="305"/>
      <c r="C4" s="305"/>
      <c r="D4" s="305"/>
      <c r="E4" s="305"/>
      <c r="F4" s="305"/>
      <c r="G4" s="305"/>
      <c r="H4" s="305"/>
      <c r="I4" s="304"/>
      <c r="J4" s="304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</row>
    <row r="5" spans="1:32" ht="22.5" x14ac:dyDescent="0.45">
      <c r="A5" s="1195" t="s">
        <v>743</v>
      </c>
      <c r="B5" s="1195"/>
      <c r="C5" s="1195"/>
      <c r="D5" s="1195"/>
      <c r="E5" s="1195"/>
      <c r="F5" s="1195"/>
      <c r="G5" s="1195"/>
      <c r="H5" s="1195"/>
    </row>
    <row r="6" spans="1:32" ht="11.25" customHeight="1" x14ac:dyDescent="0.45">
      <c r="A6" s="425"/>
      <c r="B6" s="425"/>
      <c r="C6" s="425"/>
      <c r="D6" s="425"/>
      <c r="E6" s="425"/>
      <c r="F6" s="425"/>
      <c r="G6" s="425"/>
      <c r="H6" s="425"/>
      <c r="K6" s="463"/>
      <c r="L6" s="463"/>
      <c r="M6" s="463"/>
      <c r="N6" s="463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</row>
    <row r="7" spans="1:32" s="308" customFormat="1" ht="75" customHeight="1" x14ac:dyDescent="0.35">
      <c r="A7" s="411" t="s">
        <v>730</v>
      </c>
      <c r="B7" s="411" t="s">
        <v>704</v>
      </c>
      <c r="C7" s="412" t="s">
        <v>724</v>
      </c>
      <c r="D7" s="412" t="s">
        <v>725</v>
      </c>
      <c r="E7" s="412" t="s">
        <v>739</v>
      </c>
      <c r="F7" s="412" t="s">
        <v>740</v>
      </c>
      <c r="G7" s="412" t="s">
        <v>741</v>
      </c>
      <c r="H7" s="412" t="s">
        <v>742</v>
      </c>
      <c r="K7" s="464"/>
      <c r="L7" s="464"/>
      <c r="M7" s="464"/>
      <c r="N7" s="464"/>
      <c r="O7" s="438"/>
      <c r="P7" s="438"/>
      <c r="Q7" s="438"/>
      <c r="R7" s="438"/>
      <c r="S7" s="438"/>
      <c r="T7" s="438"/>
      <c r="U7" s="438"/>
      <c r="V7" s="438"/>
      <c r="W7" s="438"/>
      <c r="X7" s="438"/>
      <c r="Y7" s="438"/>
      <c r="Z7" s="438"/>
      <c r="AA7" s="438"/>
      <c r="AB7" s="438"/>
      <c r="AC7" s="438"/>
      <c r="AD7" s="438"/>
      <c r="AE7" s="438"/>
      <c r="AF7" s="438"/>
    </row>
    <row r="8" spans="1:32" x14ac:dyDescent="0.4">
      <c r="A8" s="310">
        <v>1</v>
      </c>
      <c r="B8" s="309" t="s">
        <v>703</v>
      </c>
      <c r="C8" s="310">
        <v>24</v>
      </c>
      <c r="D8" s="311">
        <f>SUM(E8:H8)</f>
        <v>98.550000000000011</v>
      </c>
      <c r="E8" s="312">
        <f>'inventory2022 (FINAL)'!F32</f>
        <v>56.047999999999995</v>
      </c>
      <c r="F8" s="312">
        <f>'inventory2022 (FINAL)'!G32</f>
        <v>0</v>
      </c>
      <c r="G8" s="312">
        <f>'inventory2022 (FINAL)'!H32</f>
        <v>4.53</v>
      </c>
      <c r="H8" s="312">
        <f>'inventory2022 (FINAL)'!I32</f>
        <v>37.972000000000008</v>
      </c>
      <c r="I8" s="313"/>
      <c r="J8" s="313"/>
    </row>
    <row r="9" spans="1:32" x14ac:dyDescent="0.4">
      <c r="A9" s="310">
        <v>2</v>
      </c>
      <c r="B9" s="309" t="s">
        <v>711</v>
      </c>
      <c r="C9" s="310">
        <v>2</v>
      </c>
      <c r="D9" s="311">
        <f t="shared" ref="D9:D15" si="0">SUM(E9:H9)</f>
        <v>18.5</v>
      </c>
      <c r="E9" s="312">
        <f>'inventory2022 (FINAL)'!F37</f>
        <v>17.809999999999999</v>
      </c>
      <c r="F9" s="312">
        <f>'inventory2022 (FINAL)'!G37</f>
        <v>0</v>
      </c>
      <c r="G9" s="312">
        <f>'inventory2022 (FINAL)'!H37</f>
        <v>0</v>
      </c>
      <c r="H9" s="312">
        <f>'inventory2022 (FINAL)'!I37</f>
        <v>0.69</v>
      </c>
      <c r="I9" s="313"/>
      <c r="J9" s="313"/>
    </row>
    <row r="10" spans="1:32" x14ac:dyDescent="0.4">
      <c r="A10" s="310">
        <v>3</v>
      </c>
      <c r="B10" s="309" t="s">
        <v>710</v>
      </c>
      <c r="C10" s="310">
        <v>14</v>
      </c>
      <c r="D10" s="311">
        <f t="shared" si="0"/>
        <v>49.300000000000004</v>
      </c>
      <c r="E10" s="312">
        <f>'inventory2022 (FINAL)'!F54</f>
        <v>4.5600000000000005</v>
      </c>
      <c r="F10" s="312">
        <f>'inventory2022 (FINAL)'!G54</f>
        <v>0</v>
      </c>
      <c r="G10" s="312">
        <f>'inventory2022 (FINAL)'!H54</f>
        <v>0</v>
      </c>
      <c r="H10" s="312">
        <f>'inventory2022 (FINAL)'!I54</f>
        <v>44.74</v>
      </c>
      <c r="I10" s="313"/>
      <c r="J10" s="313"/>
    </row>
    <row r="11" spans="1:32" x14ac:dyDescent="0.4">
      <c r="A11" s="310">
        <v>4</v>
      </c>
      <c r="B11" s="309" t="s">
        <v>709</v>
      </c>
      <c r="C11" s="310">
        <v>32</v>
      </c>
      <c r="D11" s="311">
        <f t="shared" si="0"/>
        <v>107.85</v>
      </c>
      <c r="E11" s="312">
        <f>'inventory2022 (FINAL)'!F88</f>
        <v>41.619</v>
      </c>
      <c r="F11" s="312">
        <f>'inventory2022 (FINAL)'!G88</f>
        <v>0</v>
      </c>
      <c r="G11" s="312">
        <f>'inventory2022 (FINAL)'!H88</f>
        <v>0</v>
      </c>
      <c r="H11" s="312">
        <f>'inventory2022 (FINAL)'!I88</f>
        <v>66.230999999999995</v>
      </c>
      <c r="I11" s="313"/>
      <c r="J11" s="313"/>
    </row>
    <row r="12" spans="1:32" x14ac:dyDescent="0.4">
      <c r="A12" s="310">
        <v>5</v>
      </c>
      <c r="B12" s="309" t="s">
        <v>705</v>
      </c>
      <c r="C12" s="310">
        <v>27</v>
      </c>
      <c r="D12" s="311">
        <f t="shared" si="0"/>
        <v>102.5</v>
      </c>
      <c r="E12" s="312">
        <f>'inventory2022 (FINAL)'!F118</f>
        <v>29.040000000000003</v>
      </c>
      <c r="F12" s="312">
        <f>'inventory2022 (FINAL)'!G118</f>
        <v>0</v>
      </c>
      <c r="G12" s="312">
        <f>'inventory2022 (FINAL)'!H118</f>
        <v>0</v>
      </c>
      <c r="H12" s="312">
        <f>'inventory2022 (FINAL)'!I118</f>
        <v>73.459999999999994</v>
      </c>
      <c r="I12" s="313"/>
      <c r="J12" s="313"/>
    </row>
    <row r="13" spans="1:32" x14ac:dyDescent="0.4">
      <c r="A13" s="310">
        <v>6</v>
      </c>
      <c r="B13" s="309" t="s">
        <v>706</v>
      </c>
      <c r="C13" s="310">
        <v>7</v>
      </c>
      <c r="D13" s="311">
        <f t="shared" si="0"/>
        <v>42.45</v>
      </c>
      <c r="E13" s="312">
        <f>'inventory2022 (FINAL)'!F128</f>
        <v>5.7200000000000006</v>
      </c>
      <c r="F13" s="312">
        <f>'inventory2022 (FINAL)'!G128</f>
        <v>0</v>
      </c>
      <c r="G13" s="312">
        <f>'inventory2022 (FINAL)'!H128</f>
        <v>0</v>
      </c>
      <c r="H13" s="312">
        <f>'inventory2022 (FINAL)'!I128</f>
        <v>36.730000000000004</v>
      </c>
      <c r="I13" s="313"/>
      <c r="J13" s="313"/>
    </row>
    <row r="14" spans="1:32" x14ac:dyDescent="0.4">
      <c r="A14" s="310">
        <v>7</v>
      </c>
      <c r="B14" s="309" t="s">
        <v>707</v>
      </c>
      <c r="C14" s="310">
        <v>1</v>
      </c>
      <c r="D14" s="311">
        <f t="shared" si="0"/>
        <v>3.1</v>
      </c>
      <c r="E14" s="312">
        <f>'inventory2022 (FINAL)'!F132</f>
        <v>0.48</v>
      </c>
      <c r="F14" s="312">
        <f>'inventory2022 (FINAL)'!G132</f>
        <v>0</v>
      </c>
      <c r="G14" s="312">
        <f>'inventory2022 (FINAL)'!H132</f>
        <v>0</v>
      </c>
      <c r="H14" s="312">
        <f>'inventory2022 (FINAL)'!I132</f>
        <v>2.62</v>
      </c>
      <c r="I14" s="313"/>
      <c r="J14" s="313"/>
    </row>
    <row r="15" spans="1:32" x14ac:dyDescent="0.4">
      <c r="A15" s="310">
        <v>8</v>
      </c>
      <c r="B15" s="309" t="s">
        <v>708</v>
      </c>
      <c r="C15" s="310">
        <v>10</v>
      </c>
      <c r="D15" s="311">
        <f t="shared" si="0"/>
        <v>54.1</v>
      </c>
      <c r="E15" s="312">
        <f>'inventory2022 (FINAL)'!F145</f>
        <v>15.850000000000001</v>
      </c>
      <c r="F15" s="312">
        <f>'inventory2022 (FINAL)'!G145</f>
        <v>0</v>
      </c>
      <c r="G15" s="312">
        <f>'inventory2022 (FINAL)'!H145</f>
        <v>0</v>
      </c>
      <c r="H15" s="312">
        <f>'inventory2022 (FINAL)'!I145</f>
        <v>38.25</v>
      </c>
      <c r="I15" s="313"/>
      <c r="J15" s="313"/>
    </row>
    <row r="16" spans="1:32" x14ac:dyDescent="0.4">
      <c r="A16" s="413" t="s">
        <v>731</v>
      </c>
      <c r="B16" s="413"/>
      <c r="C16" s="414"/>
      <c r="D16" s="415"/>
      <c r="E16" s="416"/>
      <c r="F16" s="416"/>
      <c r="G16" s="416"/>
      <c r="H16" s="416"/>
      <c r="I16" s="313">
        <f>SUM(E16:H16)</f>
        <v>0</v>
      </c>
      <c r="J16" s="313"/>
    </row>
    <row r="17" spans="1:32" x14ac:dyDescent="0.4">
      <c r="A17" s="310">
        <v>9</v>
      </c>
      <c r="B17" s="309" t="s">
        <v>719</v>
      </c>
      <c r="C17" s="310"/>
      <c r="D17" s="311"/>
      <c r="E17" s="311"/>
      <c r="F17" s="311"/>
      <c r="G17" s="311"/>
      <c r="H17" s="311"/>
    </row>
    <row r="18" spans="1:32" x14ac:dyDescent="0.4">
      <c r="A18" s="310">
        <v>10</v>
      </c>
      <c r="B18" s="309" t="s">
        <v>716</v>
      </c>
      <c r="C18" s="310"/>
      <c r="D18" s="311"/>
      <c r="E18" s="312"/>
      <c r="F18" s="312"/>
      <c r="G18" s="312"/>
      <c r="H18" s="312"/>
    </row>
    <row r="19" spans="1:32" x14ac:dyDescent="0.4">
      <c r="A19" s="310">
        <v>11</v>
      </c>
      <c r="B19" s="309" t="s">
        <v>722</v>
      </c>
      <c r="C19" s="310"/>
      <c r="D19" s="311"/>
      <c r="E19" s="312"/>
      <c r="F19" s="312"/>
      <c r="G19" s="312"/>
      <c r="H19" s="312"/>
    </row>
    <row r="20" spans="1:32" x14ac:dyDescent="0.4">
      <c r="A20" s="310">
        <v>12</v>
      </c>
      <c r="B20" s="309" t="s">
        <v>723</v>
      </c>
      <c r="C20" s="310"/>
      <c r="D20" s="311"/>
      <c r="E20" s="312"/>
      <c r="F20" s="312"/>
      <c r="G20" s="312"/>
      <c r="H20" s="312"/>
    </row>
    <row r="21" spans="1:32" x14ac:dyDescent="0.4">
      <c r="A21" s="310">
        <v>13</v>
      </c>
      <c r="B21" s="309" t="s">
        <v>720</v>
      </c>
      <c r="C21" s="310"/>
      <c r="D21" s="311"/>
      <c r="E21" s="312"/>
      <c r="F21" s="312"/>
      <c r="G21" s="312"/>
      <c r="H21" s="312"/>
    </row>
    <row r="22" spans="1:32" x14ac:dyDescent="0.4">
      <c r="A22" s="310">
        <v>14</v>
      </c>
      <c r="B22" s="309" t="s">
        <v>721</v>
      </c>
      <c r="C22" s="310"/>
      <c r="D22" s="311"/>
      <c r="E22" s="312"/>
      <c r="F22" s="312"/>
      <c r="G22" s="312"/>
      <c r="H22" s="312"/>
    </row>
    <row r="23" spans="1:32" x14ac:dyDescent="0.4">
      <c r="A23" s="310">
        <v>15</v>
      </c>
      <c r="B23" s="309" t="s">
        <v>717</v>
      </c>
      <c r="C23" s="310"/>
      <c r="D23" s="311"/>
      <c r="E23" s="312"/>
      <c r="F23" s="312"/>
      <c r="G23" s="312"/>
      <c r="H23" s="312"/>
    </row>
    <row r="24" spans="1:32" x14ac:dyDescent="0.4">
      <c r="A24" s="310">
        <v>1</v>
      </c>
      <c r="B24" s="309" t="s">
        <v>715</v>
      </c>
      <c r="C24" s="310">
        <v>11</v>
      </c>
      <c r="D24" s="311">
        <f>'inventory2022 (FINAL)'!D230</f>
        <v>74.19</v>
      </c>
      <c r="E24" s="312">
        <f>'inventory2022 (FINAL)'!F230</f>
        <v>26.14</v>
      </c>
      <c r="F24" s="312">
        <f>'inventory2022 (FINAL)'!G230</f>
        <v>0</v>
      </c>
      <c r="G24" s="312">
        <f>'inventory2022 (FINAL)'!H230</f>
        <v>0</v>
      </c>
      <c r="H24" s="312">
        <f>'inventory2022 (FINAL)'!I230</f>
        <v>48.05</v>
      </c>
    </row>
    <row r="25" spans="1:32" x14ac:dyDescent="0.4">
      <c r="A25" s="310">
        <v>2</v>
      </c>
      <c r="B25" s="309" t="s">
        <v>765</v>
      </c>
      <c r="C25" s="310">
        <v>5</v>
      </c>
      <c r="D25" s="311">
        <f>'inventory2022 (FINAL)'!D238</f>
        <v>28.124000000000002</v>
      </c>
      <c r="E25" s="312">
        <f>'inventory2022 (FINAL)'!F238</f>
        <v>13.035</v>
      </c>
      <c r="F25" s="312">
        <f>'inventory2022 (FINAL)'!G238</f>
        <v>0</v>
      </c>
      <c r="G25" s="312">
        <f>'inventory2022 (FINAL)'!H238</f>
        <v>0</v>
      </c>
      <c r="H25" s="312">
        <f>'inventory2022 (FINAL)'!I238</f>
        <v>15.089000000000002</v>
      </c>
    </row>
    <row r="26" spans="1:32" x14ac:dyDescent="0.4">
      <c r="A26" s="310">
        <v>18</v>
      </c>
      <c r="B26" s="309" t="s">
        <v>718</v>
      </c>
      <c r="C26" s="310"/>
      <c r="D26" s="311"/>
      <c r="E26" s="314"/>
      <c r="F26" s="314"/>
      <c r="G26" s="314"/>
      <c r="H26" s="314"/>
    </row>
    <row r="27" spans="1:32" x14ac:dyDescent="0.4">
      <c r="A27" s="310">
        <v>3</v>
      </c>
      <c r="B27" s="309" t="s">
        <v>712</v>
      </c>
      <c r="C27" s="310">
        <v>17</v>
      </c>
      <c r="D27" s="311">
        <f>'inventory2022 (FINAL)'!D272</f>
        <v>129.17099999999999</v>
      </c>
      <c r="E27" s="314">
        <f>'inventory2022 (FINAL)'!F272</f>
        <v>37.722000000000001</v>
      </c>
      <c r="F27" s="314">
        <f>'inventory2022 (FINAL)'!G272</f>
        <v>0</v>
      </c>
      <c r="G27" s="314">
        <f>'inventory2022 (FINAL)'!H272</f>
        <v>0</v>
      </c>
      <c r="H27" s="314">
        <f>'inventory2022 (FINAL)'!I272</f>
        <v>91.448999999999984</v>
      </c>
    </row>
    <row r="28" spans="1:32" x14ac:dyDescent="0.4">
      <c r="A28" s="310">
        <v>4</v>
      </c>
      <c r="B28" s="309" t="s">
        <v>713</v>
      </c>
      <c r="C28" s="310">
        <v>8</v>
      </c>
      <c r="D28" s="311">
        <f>'inventory2022 (FINAL)'!D283</f>
        <v>87.301000000000002</v>
      </c>
      <c r="E28" s="314">
        <f>'inventory2022 (FINAL)'!F283</f>
        <v>35.895999999999994</v>
      </c>
      <c r="F28" s="314">
        <f>'inventory2022 (FINAL)'!G283</f>
        <v>0</v>
      </c>
      <c r="G28" s="314">
        <f>'inventory2022 (FINAL)'!H283</f>
        <v>0</v>
      </c>
      <c r="H28" s="314">
        <f>'inventory2022 (FINAL)'!I283</f>
        <v>51.404999999999987</v>
      </c>
    </row>
    <row r="29" spans="1:32" hidden="1" x14ac:dyDescent="0.4">
      <c r="A29" s="310">
        <v>5</v>
      </c>
      <c r="B29" s="309" t="s">
        <v>714</v>
      </c>
      <c r="C29" s="310"/>
      <c r="D29" s="311"/>
      <c r="E29" s="314"/>
      <c r="F29" s="314">
        <f>'inventory2022 (FINAL)'!G284</f>
        <v>0</v>
      </c>
      <c r="G29" s="314">
        <f>'inventory2022 (FINAL)'!H284</f>
        <v>0</v>
      </c>
      <c r="H29" s="314"/>
    </row>
    <row r="30" spans="1:32" x14ac:dyDescent="0.4">
      <c r="A30" s="310">
        <v>5</v>
      </c>
      <c r="B30" s="309" t="s">
        <v>714</v>
      </c>
      <c r="C30" s="310">
        <v>8</v>
      </c>
      <c r="D30" s="311">
        <f>'inventory2022 (FINAL)'!E294</f>
        <v>84.59999999999998</v>
      </c>
      <c r="E30" s="314">
        <f>'inventory2022 (FINAL)'!F294</f>
        <v>18.352999999999998</v>
      </c>
      <c r="F30" s="314">
        <f>'inventory2022 (FINAL)'!G285</f>
        <v>0</v>
      </c>
      <c r="G30" s="314">
        <f>'inventory2022 (FINAL)'!H285</f>
        <v>0</v>
      </c>
      <c r="H30" s="314">
        <f>'inventory2022 (FINAL)'!I294</f>
        <v>64.526999999999987</v>
      </c>
    </row>
    <row r="31" spans="1:32" s="417" customFormat="1" x14ac:dyDescent="0.4">
      <c r="A31" s="413" t="s">
        <v>732</v>
      </c>
      <c r="B31" s="413"/>
      <c r="C31" s="414">
        <f>SUM(C17:C30)</f>
        <v>49</v>
      </c>
      <c r="D31" s="415">
        <f>SUM(D17:D30)</f>
        <v>403.38599999999997</v>
      </c>
      <c r="E31" s="416">
        <f>SUM(E17:E30)</f>
        <v>131.14599999999999</v>
      </c>
      <c r="F31" s="416">
        <f>SUM(F17:F29)</f>
        <v>0</v>
      </c>
      <c r="G31" s="416">
        <f>SUM(G17:G29)</f>
        <v>0</v>
      </c>
      <c r="H31" s="416">
        <f>SUM(H17:H30)</f>
        <v>270.51999999999992</v>
      </c>
      <c r="I31" s="416">
        <f>SUM(E31:H31)</f>
        <v>401.66599999999994</v>
      </c>
      <c r="K31" s="465"/>
      <c r="L31" s="465"/>
      <c r="M31" s="465"/>
      <c r="N31" s="465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  <c r="AA31" s="439"/>
      <c r="AB31" s="439"/>
      <c r="AC31" s="439"/>
      <c r="AD31" s="439"/>
      <c r="AE31" s="439"/>
      <c r="AF31" s="439"/>
    </row>
    <row r="32" spans="1:32" s="422" customFormat="1" x14ac:dyDescent="0.4">
      <c r="A32" s="418" t="s">
        <v>850</v>
      </c>
      <c r="B32" s="418"/>
      <c r="C32" s="419">
        <f t="shared" ref="C32:H32" si="1">C16+C31</f>
        <v>49</v>
      </c>
      <c r="D32" s="420">
        <f>D16+D31</f>
        <v>403.38599999999997</v>
      </c>
      <c r="E32" s="421">
        <f>E16+E31</f>
        <v>131.14599999999999</v>
      </c>
      <c r="F32" s="421">
        <f t="shared" si="1"/>
        <v>0</v>
      </c>
      <c r="G32" s="421">
        <f t="shared" si="1"/>
        <v>0</v>
      </c>
      <c r="H32" s="421">
        <f t="shared" si="1"/>
        <v>270.51999999999992</v>
      </c>
      <c r="I32" s="432">
        <f>I31+I16</f>
        <v>401.66599999999994</v>
      </c>
      <c r="J32" s="433">
        <f>SUM(E32:H32)</f>
        <v>401.66599999999994</v>
      </c>
      <c r="K32" s="930">
        <f>D32/'inventory2022 (FINAL)'!E295*100</f>
        <v>32.426136340799751</v>
      </c>
      <c r="L32" s="466"/>
      <c r="M32" s="466"/>
      <c r="N32" s="466">
        <f>E32+H32</f>
        <v>401.66599999999994</v>
      </c>
      <c r="O32" s="440"/>
      <c r="P32" s="440"/>
      <c r="Q32" s="440"/>
      <c r="R32" s="440"/>
      <c r="S32" s="440"/>
      <c r="T32" s="440"/>
      <c r="U32" s="440"/>
      <c r="V32" s="440"/>
      <c r="W32" s="440"/>
      <c r="X32" s="440"/>
      <c r="Y32" s="440"/>
      <c r="Z32" s="440"/>
      <c r="AA32" s="440"/>
      <c r="AB32" s="440"/>
      <c r="AC32" s="440"/>
      <c r="AD32" s="440"/>
      <c r="AE32" s="440"/>
      <c r="AF32" s="440"/>
    </row>
    <row r="33" spans="1:32" x14ac:dyDescent="0.4">
      <c r="A33" s="1258" t="s">
        <v>856</v>
      </c>
      <c r="B33" s="1258"/>
      <c r="D33" s="934">
        <f>I62</f>
        <v>0.39226697427281826</v>
      </c>
      <c r="E33" s="316"/>
      <c r="F33" s="316"/>
      <c r="G33" s="316"/>
      <c r="H33" s="316"/>
    </row>
    <row r="34" spans="1:32" x14ac:dyDescent="0.4">
      <c r="A34" s="1196" t="s">
        <v>744</v>
      </c>
      <c r="B34" s="1196"/>
      <c r="C34" s="1196"/>
      <c r="D34" s="1196"/>
      <c r="E34" s="1196"/>
      <c r="F34" s="1196"/>
      <c r="G34" s="1196"/>
      <c r="H34" s="1196"/>
    </row>
    <row r="35" spans="1:32" x14ac:dyDescent="0.4">
      <c r="A35" s="306"/>
      <c r="B35" s="306"/>
      <c r="C35" s="306"/>
      <c r="D35" s="306"/>
      <c r="E35" s="306"/>
      <c r="F35" s="306"/>
      <c r="G35" s="306"/>
      <c r="H35" s="306"/>
    </row>
    <row r="36" spans="1:32" s="315" customFormat="1" ht="54" customHeight="1" x14ac:dyDescent="0.35">
      <c r="A36" s="426" t="s">
        <v>730</v>
      </c>
      <c r="B36" s="426" t="s">
        <v>29</v>
      </c>
      <c r="C36" s="427" t="s">
        <v>725</v>
      </c>
      <c r="D36" s="423"/>
      <c r="E36" s="1191" t="s">
        <v>764</v>
      </c>
      <c r="F36" s="1191"/>
      <c r="G36" s="1191"/>
      <c r="H36" s="1191"/>
      <c r="J36" s="434"/>
      <c r="K36" s="444" t="s">
        <v>766</v>
      </c>
      <c r="L36" s="444" t="s">
        <v>767</v>
      </c>
      <c r="M36" s="444" t="s">
        <v>768</v>
      </c>
      <c r="N36" s="445" t="s">
        <v>769</v>
      </c>
      <c r="O36" s="444" t="s">
        <v>770</v>
      </c>
      <c r="P36" s="444" t="s">
        <v>771</v>
      </c>
      <c r="Q36" s="444" t="s">
        <v>772</v>
      </c>
      <c r="R36" s="445" t="s">
        <v>773</v>
      </c>
      <c r="S36" s="444" t="s">
        <v>774</v>
      </c>
      <c r="T36" s="444" t="s">
        <v>775</v>
      </c>
      <c r="U36" s="447" t="s">
        <v>776</v>
      </c>
      <c r="V36" s="447" t="s">
        <v>777</v>
      </c>
      <c r="W36" s="444" t="s">
        <v>778</v>
      </c>
      <c r="X36" s="444" t="s">
        <v>779</v>
      </c>
      <c r="Y36" s="444" t="s">
        <v>780</v>
      </c>
      <c r="Z36" s="444" t="s">
        <v>781</v>
      </c>
      <c r="AA36" s="444" t="s">
        <v>782</v>
      </c>
      <c r="AB36" s="444" t="s">
        <v>783</v>
      </c>
      <c r="AC36" s="444" t="s">
        <v>784</v>
      </c>
      <c r="AD36" s="445" t="s">
        <v>785</v>
      </c>
      <c r="AE36" s="444" t="s">
        <v>786</v>
      </c>
      <c r="AF36" s="441" t="s">
        <v>665</v>
      </c>
    </row>
    <row r="37" spans="1:32" x14ac:dyDescent="0.4">
      <c r="A37" s="428">
        <v>1</v>
      </c>
      <c r="B37" s="428" t="s">
        <v>10</v>
      </c>
      <c r="C37" s="429">
        <f xml:space="preserve"> AF37</f>
        <v>299.65000000000003</v>
      </c>
      <c r="D37" s="424"/>
      <c r="E37" s="1193" t="s">
        <v>653</v>
      </c>
      <c r="F37" s="1193"/>
      <c r="G37" s="1193"/>
      <c r="H37" s="431">
        <f>C37+C38</f>
        <v>932.33500000000004</v>
      </c>
      <c r="J37" s="428" t="s">
        <v>10</v>
      </c>
      <c r="K37" s="429">
        <f>SUMIF('inventory2022 (FINAL)'!J8:J31,"Good",'inventory2022 (FINAL)'!E8:E31)</f>
        <v>36</v>
      </c>
      <c r="L37" s="429">
        <f>SUMIF('inventory2022 (FINAL)'!$J$35:$J$36,"Good",'inventory2022 (FINAL)'!$E$35:$E$36)</f>
        <v>12.9</v>
      </c>
      <c r="M37" s="429">
        <f>SUMIF('inventory2022 (FINAL)'!$J$40:$J$53,"Good",'inventory2022 (FINAL)'!$E$40:$E$53)</f>
        <v>1.2999999999999998</v>
      </c>
      <c r="N37" s="429">
        <f>SUMIF('inventory2022 (FINAL)'!$J$56:$J$87,"Good",'inventory2022 (FINAL)'!$E$56:$E$87)</f>
        <v>19.5</v>
      </c>
      <c r="O37" s="446">
        <f>SUMIF('inventory2022 (FINAL)'!$J$91:$J$117,"Good",'inventory2022 (FINAL)'!$E$91:$E$117)</f>
        <v>16.899999999999999</v>
      </c>
      <c r="P37" s="446">
        <f>SUMIF('inventory2022 (FINAL)'!$J$121:$J$127,"Good",'inventory2022 (FINAL)'!$E$121:$E$127)</f>
        <v>0</v>
      </c>
      <c r="Q37" s="446">
        <f>SUMIF('inventory2022 (FINAL)'!$J$131,"Good",'inventory2022 (FINAL)'!$E$131)</f>
        <v>0</v>
      </c>
      <c r="R37" s="446">
        <f>SUMIF('inventory2022 (FINAL)'!$J$135:$J$144,"Good",'inventory2022 (FINAL)'!$E$135:$E$144)</f>
        <v>7.2</v>
      </c>
      <c r="S37" s="446">
        <f>SUMIF('inventory2022 (FINAL)'!$J$148:$J$149,"Good",'inventory2022 (FINAL)'!$E$148:$E$149)</f>
        <v>0</v>
      </c>
      <c r="T37" s="446">
        <f>SUMIF('inventory2022 (FINAL)'!$J$153:$J$163,"Good",'inventory2022 (FINAL)'!$E$153:$E$163)</f>
        <v>0</v>
      </c>
      <c r="U37" s="446">
        <f>SUMIF('inventory2022 (FINAL)'!$J$167:$J$174,"Good",'inventory2022 (FINAL)'!$E$167:$E$174)</f>
        <v>7.6</v>
      </c>
      <c r="V37" s="446">
        <f>SUMIF('inventory2022 (FINAL)'!$J$178,"Good",'inventory2022 (FINAL)'!$E$178)</f>
        <v>0</v>
      </c>
      <c r="W37" s="446">
        <f>SUMIF('inventory2022 (FINAL)'!$J$182:$J$194,"Good",'inventory2022 (FINAL)'!$E$182:$E$194)</f>
        <v>53.6</v>
      </c>
      <c r="X37" s="446">
        <f>SUMIF('inventory2022 (FINAL)'!$J$198:$J$201,"Good",'inventory2022 (FINAL)'!$E$198:$E$201)</f>
        <v>17</v>
      </c>
      <c r="Y37" s="446">
        <f>SUMIF('inventory2022 (FINAL)'!$J$205:$J$212,"Good",'inventory2022 (FINAL)'!$E$205:$E$212)</f>
        <v>31.3</v>
      </c>
      <c r="Z37" s="446">
        <f>SUMIF('inventory2022 (FINAL)'!$J$216:$J$229,"Good",'inventory2022 (FINAL)'!$E$216:$E$229)</f>
        <v>5</v>
      </c>
      <c r="AA37" s="446">
        <f>SUMIF('inventory2022 (FINAL)'!$J$233:$J$237,"Good",'inventory2022 (FINAL)'!$E$233:$E$237)</f>
        <v>11</v>
      </c>
      <c r="AB37" s="446">
        <f>SUMIF('inventory2022 (FINAL)'!$J$241:$J$251,"Good",'inventory2022 (FINAL)'!$E$241:$E$251)</f>
        <v>4.67</v>
      </c>
      <c r="AC37" s="446">
        <f>SUMIF('inventory2022 (FINAL)'!$J$255:$J$271,"Good",'inventory2022 (FINAL)'!$E$255:$E$271)</f>
        <v>27.330000000000002</v>
      </c>
      <c r="AD37" s="446">
        <f>SUMIF('inventory2022 (FINAL)'!$J$275:$J$282,"Good",'inventory2022 (FINAL)'!$E$275:$E$282)</f>
        <v>34.549999999999997</v>
      </c>
      <c r="AE37" s="446">
        <f>SUMIF('inventory2022 (FINAL)'!$J$286:$J$293,"Good",'inventory2022 (FINAL)'!$E$286:$E$293)</f>
        <v>13.8</v>
      </c>
      <c r="AF37" s="446">
        <f>SUM(K37:AE37)</f>
        <v>299.65000000000003</v>
      </c>
    </row>
    <row r="38" spans="1:32" x14ac:dyDescent="0.4">
      <c r="A38" s="428">
        <v>2</v>
      </c>
      <c r="B38" s="428" t="s">
        <v>12</v>
      </c>
      <c r="C38" s="429">
        <f>AF38</f>
        <v>632.68500000000006</v>
      </c>
      <c r="D38" s="424"/>
      <c r="E38" s="1193" t="s">
        <v>654</v>
      </c>
      <c r="F38" s="1193"/>
      <c r="G38" s="1193"/>
      <c r="H38" s="431">
        <f>C39+C40</f>
        <v>311.68</v>
      </c>
      <c r="J38" s="428" t="s">
        <v>12</v>
      </c>
      <c r="K38" s="429">
        <f>SUMIF('inventory2022 (FINAL)'!J8:J31,"Fair",'inventory2022 (FINAL)'!E8:E31)</f>
        <v>46.150000000000006</v>
      </c>
      <c r="L38" s="429">
        <f>SUMIF('inventory2022 (FINAL)'!$J$35:$J$36,"Fair",'inventory2022 (FINAL)'!$E$35:$E$36)</f>
        <v>5.6</v>
      </c>
      <c r="M38" s="429">
        <f>SUMIF('inventory2022 (FINAL)'!$J$40:$J$53,"Fair",'inventory2022 (FINAL)'!$E$40:$E$53)</f>
        <v>11.3</v>
      </c>
      <c r="N38" s="429">
        <f>SUMIF('inventory2022 (FINAL)'!$J$56:$J$87,"Fair",'inventory2022 (FINAL)'!$E$56:$E$87)</f>
        <v>68.850000000000009</v>
      </c>
      <c r="O38" s="446">
        <f>SUMIF('inventory2022 (FINAL)'!$J$91:$J$117,"Fair",'inventory2022 (FINAL)'!$E$91:$E$117)</f>
        <v>45.4</v>
      </c>
      <c r="P38" s="446">
        <f>SUMIF('inventory2022 (FINAL)'!$J$121:$J$127,"Fair",'inventory2022 (FINAL)'!$E$121:$E$127)</f>
        <v>0</v>
      </c>
      <c r="Q38" s="446">
        <f>SUMIF('inventory2022 (FINAL)'!$J$131,"Fair",'inventory2022 (FINAL)'!$E$131)</f>
        <v>0</v>
      </c>
      <c r="R38" s="446">
        <f>SUMIF('inventory2022 (FINAL)'!$J$135:$J$144,"Fair",'inventory2022 (FINAL)'!$E$135:$E$144)</f>
        <v>12.3</v>
      </c>
      <c r="S38" s="446">
        <f>SUMIF('inventory2022 (FINAL)'!$J$148:$J$149,"Fair",'inventory2022 (FINAL)'!$E$148:$E$149)</f>
        <v>7.25</v>
      </c>
      <c r="T38" s="446">
        <f>SUMIF('inventory2022 (FINAL)'!$J$153:$J$163,"Fair",'inventory2022 (FINAL)'!$E$153:$E$163)</f>
        <v>10.1</v>
      </c>
      <c r="U38" s="446">
        <f>SUMIF('inventory2022 (FINAL)'!$J$167:$J$174,"Fair",'inventory2022 (FINAL)'!$E$167:$E$174)</f>
        <v>32.903999999999996</v>
      </c>
      <c r="V38" s="446">
        <f>SUMIF('inventory2022 (FINAL)'!$J$178,"Fair",'inventory2022 (FINAL)'!$E$178)</f>
        <v>8.7409999999999997</v>
      </c>
      <c r="W38" s="446">
        <f>SUMIF('inventory2022 (FINAL)'!$J$182:$J$194,"Fair",'inventory2022 (FINAL)'!$E$182:$E$194)</f>
        <v>63.160000000000004</v>
      </c>
      <c r="X38" s="446">
        <f>SUMIF('inventory2022 (FINAL)'!$J$198:$J$201,"Fair",'inventory2022 (FINAL)'!$E$198:$E$201)</f>
        <v>11</v>
      </c>
      <c r="Y38" s="446">
        <f>SUMIF('inventory2022 (FINAL)'!$J$205:$J$212,"Fair",'inventory2022 (FINAL)'!$E$205:$E$212)</f>
        <v>12.700000000000001</v>
      </c>
      <c r="Z38" s="446">
        <f>SUMIF('inventory2022 (FINAL)'!$J$216:$J$229,"Fair",'inventory2022 (FINAL)'!$E$216:$E$229)</f>
        <v>61.9</v>
      </c>
      <c r="AA38" s="446">
        <f>SUMIF('inventory2022 (FINAL)'!$J$233:$J$237,"Fair",'inventory2022 (FINAL)'!$E$233:$E$237)</f>
        <v>13.6</v>
      </c>
      <c r="AB38" s="446">
        <f>SUMIF('inventory2022 (FINAL)'!$J$241:$J$251,"Fair",'inventory2022 (FINAL)'!$E$241:$E$251)</f>
        <v>7.96</v>
      </c>
      <c r="AC38" s="446">
        <f>SUMIF('inventory2022 (FINAL)'!$J$255:$J$271,"Fair",'inventory2022 (FINAL)'!$E$255:$E$271)</f>
        <v>98.65</v>
      </c>
      <c r="AD38" s="446">
        <f>SUMIF('inventory2022 (FINAL)'!$J$275:$J$282,"Fair",'inventory2022 (FINAL)'!$E$275:$E$282)</f>
        <v>47.62</v>
      </c>
      <c r="AE38" s="446">
        <f>SUMIF('inventory2022 (FINAL)'!$J$286:$J$293,"Fair",'inventory2022 (FINAL)'!$E$286:$E$293)</f>
        <v>67.499999999999986</v>
      </c>
      <c r="AF38" s="446">
        <f>SUM(K38:AE38)</f>
        <v>632.68500000000006</v>
      </c>
    </row>
    <row r="39" spans="1:32" x14ac:dyDescent="0.4">
      <c r="A39" s="428">
        <v>3</v>
      </c>
      <c r="B39" s="428" t="s">
        <v>33</v>
      </c>
      <c r="C39" s="429">
        <f>AF39</f>
        <v>196.92</v>
      </c>
      <c r="D39" s="424"/>
      <c r="E39" s="1192" t="s">
        <v>754</v>
      </c>
      <c r="F39" s="1192"/>
      <c r="G39" s="1192"/>
      <c r="H39" s="450">
        <f>SUM(H37:H38)</f>
        <v>1244.0150000000001</v>
      </c>
      <c r="J39" s="428" t="s">
        <v>33</v>
      </c>
      <c r="K39" s="429">
        <f>SUMIF('inventory2022 (FINAL)'!J8:J31,"Poor",'inventory2022 (FINAL)'!E8:E31)</f>
        <v>8.8000000000000007</v>
      </c>
      <c r="L39" s="429">
        <f>SUMIF('inventory2022 (FINAL)'!$J$35:$J$36,"Poor",'inventory2022 (FINAL)'!$E$35:$E$36)</f>
        <v>0</v>
      </c>
      <c r="M39" s="429">
        <f>SUMIF('inventory2022 (FINAL)'!$J$40:$J$53,"Poor",'inventory2022 (FINAL)'!$E$40:$E$53)</f>
        <v>12.2</v>
      </c>
      <c r="N39" s="429">
        <f>SUMIF('inventory2022 (FINAL)'!$J$56:$J$87,"Poor",'inventory2022 (FINAL)'!$E$56:$E$87)</f>
        <v>19.5</v>
      </c>
      <c r="O39" s="446">
        <f>SUMIF('inventory2022 (FINAL)'!$J$91:$J$117,"Poor",'inventory2022 (FINAL)'!$E$91:$E$117)</f>
        <v>18.7</v>
      </c>
      <c r="P39" s="446">
        <f>SUMIF('inventory2022 (FINAL)'!$J$121:$J$127,"Poor",'inventory2022 (FINAL)'!$E$121:$E$127)</f>
        <v>25.45</v>
      </c>
      <c r="Q39" s="446">
        <f>SUMIF('inventory2022 (FINAL)'!$J$131,"Poor",'inventory2022 (FINAL)'!$E$131)</f>
        <v>3.1</v>
      </c>
      <c r="R39" s="446">
        <f>SUMIF('inventory2022 (FINAL)'!$J$135:$J$144,"Poor",'inventory2022 (FINAL)'!$E$135:$E$144)</f>
        <v>26.799999999999997</v>
      </c>
      <c r="S39" s="446">
        <f>SUMIF('inventory2022 (FINAL)'!$J$148:$J$149,"Poor",'inventory2022 (FINAL)'!$E$148:$E$149)</f>
        <v>0</v>
      </c>
      <c r="T39" s="446">
        <f>SUMIF('inventory2022 (FINAL)'!$J$153:$J$163,"Poor",'inventory2022 (FINAL)'!$E$153:$E$163)</f>
        <v>48.699999999999996</v>
      </c>
      <c r="U39" s="446">
        <f>SUMIF('inventory2022 (FINAL)'!$J$167:$J$174,"Poor",'inventory2022 (FINAL)'!$E$167:$E$174)</f>
        <v>0</v>
      </c>
      <c r="V39" s="446">
        <f>SUMIF('inventory2022 (FINAL)'!$J$178,"Poor",'inventory2022 (FINAL)'!$E$178)</f>
        <v>0</v>
      </c>
      <c r="W39" s="446">
        <f>SUMIF('inventory2022 (FINAL)'!$J$182:$J$194,"Poor",'inventory2022 (FINAL)'!$E$182:$E$194)</f>
        <v>0.2</v>
      </c>
      <c r="X39" s="446">
        <f>SUMIF('inventory2022 (FINAL)'!$J$198:$J$201,"Poor",'inventory2022 (FINAL)'!$E$198:$E$201)</f>
        <v>0</v>
      </c>
      <c r="Y39" s="446">
        <f>SUMIF('inventory2022 (FINAL)'!$J$205:$J$212,"Poor",'inventory2022 (FINAL)'!$E$205:$E$212)</f>
        <v>0</v>
      </c>
      <c r="Z39" s="446">
        <f>SUMIF('inventory2022 (FINAL)'!$J$216:$J$229,"Poor",'inventory2022 (FINAL)'!$E$216:$E$229)</f>
        <v>12</v>
      </c>
      <c r="AA39" s="446">
        <f>SUMIF('inventory2022 (FINAL)'!$J$233:$J$237,"Poor",'inventory2022 (FINAL)'!$E$233:$E$237)</f>
        <v>0</v>
      </c>
      <c r="AB39" s="446">
        <f>SUMIF('inventory2022 (FINAL)'!$J$241:$J$251,"Poor",'inventory2022 (FINAL)'!$E$241:$E$251)</f>
        <v>15.969999999999999</v>
      </c>
      <c r="AC39" s="446">
        <f>SUMIF('inventory2022 (FINAL)'!$J$255:$J$271,"Poor",'inventory2022 (FINAL)'!$E$255:$E$271)</f>
        <v>0</v>
      </c>
      <c r="AD39" s="446">
        <f>SUMIF('inventory2022 (FINAL)'!$J$275:$J$282,"Poor",'inventory2022 (FINAL)'!$E$275:$E$282)</f>
        <v>5.5</v>
      </c>
      <c r="AE39" s="446">
        <f>SUMIF('inventory2022 (FINAL)'!$J$286:$J$293,"Poor",'inventory2022 (FINAL)'!$E$286:$E$293)</f>
        <v>0</v>
      </c>
      <c r="AF39" s="446">
        <f>SUM(K39:AE39)</f>
        <v>196.92</v>
      </c>
    </row>
    <row r="40" spans="1:32" x14ac:dyDescent="0.4">
      <c r="A40" s="428">
        <v>4</v>
      </c>
      <c r="B40" s="428" t="s">
        <v>41</v>
      </c>
      <c r="C40" s="429">
        <f>AF40</f>
        <v>114.76</v>
      </c>
      <c r="D40" s="424"/>
      <c r="E40" s="313"/>
      <c r="F40" s="313"/>
      <c r="G40" s="313"/>
      <c r="H40" s="313"/>
      <c r="J40" s="428" t="s">
        <v>41</v>
      </c>
      <c r="K40" s="429">
        <f>SUMIF('inventory2022 (FINAL)'!J8:J31,"Bad",'inventory2022 (FINAL)'!E8:E31)</f>
        <v>7.6</v>
      </c>
      <c r="L40" s="429">
        <f>SUMIF('inventory2022 (FINAL)'!$J$35:$J$36,"Bad",'inventory2022 (FINAL)'!$E$35:$E$36)</f>
        <v>0</v>
      </c>
      <c r="M40" s="429">
        <f>SUMIF('inventory2022 (FINAL)'!$J$40:$J$53,"Bad",'inventory2022 (FINAL)'!$E$40:$E$53)</f>
        <v>24.499999999999996</v>
      </c>
      <c r="N40" s="429">
        <f>SUMIF('inventory2022 (FINAL)'!$J$56:$J$87,"Bad",'inventory2022 (FINAL)'!$E$56:$E$87)</f>
        <v>0</v>
      </c>
      <c r="O40" s="446">
        <f>SUMIF('inventory2022 (FINAL)'!$J$91:$J$117,"Bad",'inventory2022 (FINAL)'!$E$91:$E$117)</f>
        <v>21.5</v>
      </c>
      <c r="P40" s="446">
        <f>SUMIF('inventory2022 (FINAL)'!$J$121:$J$127,"Bad",'inventory2022 (FINAL)'!$E$121:$E$127)</f>
        <v>17</v>
      </c>
      <c r="Q40" s="446">
        <f>SUMIF('inventory2022 (FINAL)'!$J$131,"Bad",'inventory2022 (FINAL)'!$E$131)</f>
        <v>0</v>
      </c>
      <c r="R40" s="446">
        <f>SUMIF('inventory2022 (FINAL)'!$J$135:$J$144,"Bad",'inventory2022 (FINAL)'!$E$135:$E$144)</f>
        <v>7.8</v>
      </c>
      <c r="S40" s="446">
        <f>SUMIF('inventory2022 (FINAL)'!$J$148:$J$149,"Bad",'inventory2022 (FINAL)'!$E$148:$E$149)</f>
        <v>0</v>
      </c>
      <c r="T40" s="446">
        <f>SUMIF('inventory2022 (FINAL)'!$J$153:$J$163,"Bad",'inventory2022 (FINAL)'!$E$153:$E$163)</f>
        <v>3.2</v>
      </c>
      <c r="U40" s="446">
        <f>SUMIF('inventory2022 (FINAL)'!$J$167:$J$174,"Bad",'inventory2022 (FINAL)'!$E$167:$E$174)</f>
        <v>1.58</v>
      </c>
      <c r="V40" s="446">
        <f>SUMIF('inventory2022 (FINAL)'!$J$178,"Bad",'inventory2022 (FINAL)'!$E$178)</f>
        <v>0</v>
      </c>
      <c r="W40" s="446">
        <f>SUMIF('inventory2022 (FINAL)'!$J$182:$J$194,"Bad",'inventory2022 (FINAL)'!$E$182:$E$194)</f>
        <v>0</v>
      </c>
      <c r="X40" s="446">
        <f>SUMIF('inventory2022 (FINAL)'!$J$198:$J$201,"Bad",'inventory2022 (FINAL)'!$E$198:$E$201)</f>
        <v>0</v>
      </c>
      <c r="Y40" s="446">
        <f>SUMIF('inventory2022 (FINAL)'!$J$205:$J$212,"Bad",'inventory2022 (FINAL)'!$E$205:$E$212)</f>
        <v>5</v>
      </c>
      <c r="Z40" s="446">
        <f>SUMIF('inventory2022 (FINAL)'!$J$216:$J$229,"Bad",'inventory2022 (FINAL)'!$E$216:$E$229)</f>
        <v>9.6999999999999993</v>
      </c>
      <c r="AA40" s="446">
        <f>SUMIF('inventory2022 (FINAL)'!$J$233:$J$237,"Bad",'inventory2022 (FINAL)'!$E$233:$E$237)</f>
        <v>3</v>
      </c>
      <c r="AB40" s="446">
        <f>SUMIF('inventory2022 (FINAL)'!$J$241:$J$251,"Bad",'inventory2022 (FINAL)'!$E$241:$E$251)</f>
        <v>7.18</v>
      </c>
      <c r="AC40" s="446">
        <f>SUMIF('inventory2022 (FINAL)'!$J$255:$J$271,"Bad",'inventory2022 (FINAL)'!$E$255:$E$271)</f>
        <v>3.4</v>
      </c>
      <c r="AD40" s="446">
        <f>SUMIF('inventory2022 (FINAL)'!$J$275:$J$282,"Bad",'inventory2022 (FINAL)'!$E$275:$E$282)</f>
        <v>0</v>
      </c>
      <c r="AE40" s="446">
        <f>SUMIF('inventory2022 (FINAL)'!$J$286:$J$293,"Bad",'inventory2022 (FINAL)'!$E$286:$E$293)</f>
        <v>3.3</v>
      </c>
      <c r="AF40" s="446">
        <f>SUM(K40:AE40)</f>
        <v>114.76</v>
      </c>
    </row>
    <row r="41" spans="1:32" x14ac:dyDescent="0.4">
      <c r="A41" s="1190" t="s">
        <v>754</v>
      </c>
      <c r="B41" s="1190"/>
      <c r="C41" s="430">
        <f>SUM(C37:C40)</f>
        <v>1244.0150000000001</v>
      </c>
      <c r="D41" s="424"/>
      <c r="E41" s="313"/>
      <c r="F41" s="313"/>
      <c r="G41" s="313"/>
      <c r="H41" s="313"/>
      <c r="J41" s="448"/>
      <c r="K41" s="467">
        <f>SUM(K37:K40)</f>
        <v>98.55</v>
      </c>
      <c r="L41" s="467">
        <f t="shared" ref="L41:AE41" si="2">SUM(L37:L40)</f>
        <v>18.5</v>
      </c>
      <c r="M41" s="467">
        <f>SUM(M37:M40)</f>
        <v>49.3</v>
      </c>
      <c r="N41" s="467">
        <f t="shared" si="2"/>
        <v>107.85000000000001</v>
      </c>
      <c r="O41" s="449">
        <f t="shared" si="2"/>
        <v>102.5</v>
      </c>
      <c r="P41" s="449">
        <f t="shared" si="2"/>
        <v>42.45</v>
      </c>
      <c r="Q41" s="449">
        <f t="shared" si="2"/>
        <v>3.1</v>
      </c>
      <c r="R41" s="449">
        <f t="shared" si="2"/>
        <v>54.099999999999994</v>
      </c>
      <c r="S41" s="449">
        <f t="shared" si="2"/>
        <v>7.25</v>
      </c>
      <c r="T41" s="449">
        <f t="shared" si="2"/>
        <v>62</v>
      </c>
      <c r="U41" s="449">
        <f t="shared" si="2"/>
        <v>42.083999999999996</v>
      </c>
      <c r="V41" s="449">
        <f t="shared" si="2"/>
        <v>8.7409999999999997</v>
      </c>
      <c r="W41" s="449">
        <f t="shared" si="2"/>
        <v>116.96000000000001</v>
      </c>
      <c r="X41" s="449">
        <f t="shared" si="2"/>
        <v>28</v>
      </c>
      <c r="Y41" s="449">
        <f t="shared" si="2"/>
        <v>49</v>
      </c>
      <c r="Z41" s="449">
        <f t="shared" si="2"/>
        <v>88.600000000000009</v>
      </c>
      <c r="AA41" s="449">
        <f t="shared" si="2"/>
        <v>27.6</v>
      </c>
      <c r="AB41" s="449">
        <f t="shared" si="2"/>
        <v>35.78</v>
      </c>
      <c r="AC41" s="449">
        <f t="shared" si="2"/>
        <v>129.38</v>
      </c>
      <c r="AD41" s="449">
        <f t="shared" si="2"/>
        <v>87.669999999999987</v>
      </c>
      <c r="AE41" s="449">
        <f t="shared" si="2"/>
        <v>84.59999999999998</v>
      </c>
      <c r="AF41" s="449">
        <f>SUM(AF37:AF40)</f>
        <v>1244.0150000000001</v>
      </c>
    </row>
    <row r="42" spans="1:32" x14ac:dyDescent="0.4">
      <c r="C42" s="313"/>
      <c r="D42" s="313"/>
    </row>
    <row r="43" spans="1:32" x14ac:dyDescent="0.4">
      <c r="C43" s="313"/>
      <c r="D43" s="313"/>
    </row>
    <row r="44" spans="1:32" s="329" customFormat="1" ht="18" customHeight="1" x14ac:dyDescent="0.35">
      <c r="B44" s="355" t="s">
        <v>755</v>
      </c>
      <c r="E44" s="331" t="s">
        <v>757</v>
      </c>
      <c r="I44" s="331"/>
      <c r="J44" s="327"/>
      <c r="K44" s="442"/>
      <c r="L44" s="442"/>
      <c r="M44" s="442"/>
      <c r="N44" s="442"/>
      <c r="O44" s="442"/>
      <c r="P44" s="442"/>
      <c r="Q44" s="442"/>
      <c r="R44" s="442"/>
      <c r="S44" s="442"/>
      <c r="T44" s="442"/>
      <c r="U44" s="442"/>
      <c r="V44" s="442"/>
      <c r="W44" s="442"/>
      <c r="X44" s="442"/>
      <c r="Y44" s="442"/>
      <c r="Z44" s="442"/>
      <c r="AA44" s="442"/>
      <c r="AB44" s="442"/>
      <c r="AC44" s="442"/>
      <c r="AD44" s="442"/>
      <c r="AE44" s="442"/>
      <c r="AF44" s="442"/>
    </row>
    <row r="45" spans="1:32" s="329" customFormat="1" ht="18" customHeight="1" x14ac:dyDescent="0.35">
      <c r="B45" s="355"/>
      <c r="E45" s="331"/>
      <c r="F45" s="331"/>
      <c r="G45" s="331"/>
      <c r="I45" s="331"/>
      <c r="J45" s="469"/>
      <c r="K45" s="427" t="s">
        <v>739</v>
      </c>
      <c r="L45" s="427" t="s">
        <v>740</v>
      </c>
      <c r="M45" s="427" t="s">
        <v>741</v>
      </c>
      <c r="N45" s="427" t="s">
        <v>742</v>
      </c>
      <c r="O45" s="468"/>
      <c r="P45" s="442"/>
      <c r="Q45" s="442"/>
      <c r="R45" s="442"/>
      <c r="S45" s="442"/>
      <c r="T45" s="442"/>
      <c r="U45" s="442"/>
      <c r="V45" s="442"/>
      <c r="W45" s="442"/>
      <c r="X45" s="442"/>
      <c r="Y45" s="442"/>
      <c r="Z45" s="442"/>
      <c r="AA45" s="442"/>
      <c r="AB45" s="442"/>
      <c r="AC45" s="442"/>
      <c r="AD45" s="442"/>
      <c r="AE45" s="442"/>
      <c r="AF45" s="442"/>
    </row>
    <row r="46" spans="1:32" s="329" customFormat="1" ht="18" customHeight="1" x14ac:dyDescent="0.4">
      <c r="B46" s="355"/>
      <c r="E46" s="331"/>
      <c r="G46" s="331"/>
      <c r="I46" s="331"/>
      <c r="J46" s="428" t="s">
        <v>10</v>
      </c>
      <c r="K46" s="468">
        <f>SUMIF('inventory2022 (FINAL)'!$J$8:$J$294,"Good",'inventory2022 (FINAL)'!$F$8:$F$294)</f>
        <v>221.18819999999997</v>
      </c>
      <c r="L46" s="468">
        <f>SUMIF('inventory2022 (FINAL)'!$J$8:$J$294,"Good",'inventory2022 (FINAL)'!$G$8:$G$294)</f>
        <v>2.0830000000000002</v>
      </c>
      <c r="M46" s="468">
        <f>SUMIF('inventory2022 (FINAL)'!$J$8:$J$294,"Good",'inventory2022 (FINAL)'!$H$8:$H$294)</f>
        <v>3.42</v>
      </c>
      <c r="N46" s="468">
        <f>SUMIF('inventory2022 (FINAL)'!$J$8:$J$294,"Good",'inventory2022 (FINAL)'!$I$8:$I$294)</f>
        <v>76.465999999999994</v>
      </c>
      <c r="O46" s="468">
        <f>SUM(K46:N46)</f>
        <v>303.15719999999993</v>
      </c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  <c r="AB46" s="442"/>
      <c r="AC46" s="442"/>
      <c r="AD46" s="442"/>
      <c r="AE46" s="442"/>
      <c r="AF46" s="442"/>
    </row>
    <row r="47" spans="1:32" s="329" customFormat="1" ht="18" customHeight="1" x14ac:dyDescent="0.4">
      <c r="B47" s="356" t="s">
        <v>147</v>
      </c>
      <c r="E47" s="360" t="s">
        <v>851</v>
      </c>
      <c r="J47" s="428" t="s">
        <v>12</v>
      </c>
      <c r="K47" s="468">
        <f>SUMIF('inventory2022 (FINAL)'!$J$8:$J$294,"Fair",'inventory2022 (FINAL)'!$F$8:$F$294)</f>
        <v>171.76400000000004</v>
      </c>
      <c r="L47" s="468">
        <f>SUMIF('inventory2022 (FINAL)'!$J$8:$J$294,"Fair",'inventory2022 (FINAL)'!$G$8:$G$294)</f>
        <v>0</v>
      </c>
      <c r="M47" s="468">
        <f>SUMIF('inventory2022 (FINAL)'!$J$8:$J$294,"Fair",'inventory2022 (FINAL)'!$H$8:$H$294)</f>
        <v>1.72</v>
      </c>
      <c r="N47" s="468">
        <f>SUMIF('inventory2022 (FINAL)'!$J$8:$J$294,"Fair",'inventory2022 (FINAL)'!$I$8:$I$294)</f>
        <v>450.97199999999998</v>
      </c>
      <c r="O47" s="468">
        <f>SUM(K47:N47)</f>
        <v>624.45600000000002</v>
      </c>
      <c r="P47" s="442"/>
      <c r="Q47" s="442"/>
      <c r="R47" s="442"/>
      <c r="S47" s="442"/>
      <c r="T47" s="442"/>
      <c r="U47" s="442"/>
      <c r="V47" s="442"/>
      <c r="W47" s="442"/>
      <c r="X47" s="442"/>
      <c r="Y47" s="442"/>
      <c r="Z47" s="442"/>
      <c r="AA47" s="442"/>
      <c r="AB47" s="442"/>
      <c r="AC47" s="442"/>
      <c r="AD47" s="442"/>
      <c r="AE47" s="442"/>
      <c r="AF47" s="442"/>
    </row>
    <row r="48" spans="1:32" s="354" customFormat="1" ht="18" customHeight="1" x14ac:dyDescent="0.4">
      <c r="B48" s="355" t="s">
        <v>149</v>
      </c>
      <c r="E48" s="350" t="s">
        <v>149</v>
      </c>
      <c r="F48" s="329"/>
      <c r="G48" s="329"/>
      <c r="H48" s="329"/>
      <c r="I48" s="331"/>
      <c r="J48" s="428" t="s">
        <v>33</v>
      </c>
      <c r="K48" s="468">
        <f>SUMIF('inventory2022 (FINAL)'!$J$8:$J$294,"Poor",'inventory2022 (FINAL)'!$F$8:$F$294)</f>
        <v>33.223999999999997</v>
      </c>
      <c r="L48" s="468">
        <f>SUMIF('inventory2022 (FINAL)'!$J$8:$J$294,"Poor",'inventory2022 (FINAL)'!$G$8:$G$294)</f>
        <v>2.5499999999999998</v>
      </c>
      <c r="M48" s="468">
        <f>SUMIF('inventory2022 (FINAL)'!$J$8:$J$294,"Poor",'inventory2022 (FINAL)'!$H$8:$H$294)</f>
        <v>0</v>
      </c>
      <c r="N48" s="468">
        <f>SUMIF('inventory2022 (FINAL)'!$J$8:$J$294,"Poor",'inventory2022 (FINAL)'!$I$8:$I$294)</f>
        <v>149.18100000000001</v>
      </c>
      <c r="O48" s="468">
        <f>SUM(K48:N48)</f>
        <v>184.95500000000001</v>
      </c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  <c r="AA48" s="442"/>
      <c r="AB48" s="442"/>
      <c r="AC48" s="442"/>
      <c r="AD48" s="442"/>
      <c r="AE48" s="442"/>
      <c r="AF48" s="442"/>
    </row>
    <row r="49" spans="2:32" s="354" customFormat="1" ht="18" customHeight="1" x14ac:dyDescent="0.4">
      <c r="B49" s="355"/>
      <c r="E49" s="332"/>
      <c r="F49" s="329"/>
      <c r="G49" s="329"/>
      <c r="H49" s="329"/>
      <c r="I49" s="329"/>
      <c r="J49" s="428" t="s">
        <v>41</v>
      </c>
      <c r="K49" s="468">
        <f>SUMIF('inventory2022 (FINAL)'!$J$8:$J$294,"Bad",'inventory2022 (FINAL)'!$F$8:$F$294)</f>
        <v>14.332000000000001</v>
      </c>
      <c r="L49" s="468">
        <f>SUMIF('inventory2022 (FINAL)'!$J$8:$J$294,"Bad",'inventory2022 (FINAL)'!$G$8:$G$294)</f>
        <v>6.1099999999999994</v>
      </c>
      <c r="M49" s="468">
        <f>SUMIF('inventory2022 (FINAL)'!$J$8:$J$294,"Bad",'inventory2022 (FINAL)'!$H$8:$H$294)</f>
        <v>5.5439999999999996</v>
      </c>
      <c r="N49" s="468">
        <f>SUMIF('inventory2022 (FINAL)'!$J$8:$J$294,"Bad",'inventory2022 (FINAL)'!$I$8:$I$294)</f>
        <v>90.997</v>
      </c>
      <c r="O49" s="468">
        <f>SUM(K49:N49)</f>
        <v>116.983</v>
      </c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  <c r="AA49" s="442"/>
      <c r="AB49" s="442"/>
      <c r="AC49" s="442"/>
      <c r="AD49" s="442"/>
      <c r="AE49" s="442"/>
      <c r="AF49" s="442"/>
    </row>
    <row r="50" spans="2:32" s="354" customFormat="1" ht="18" customHeight="1" x14ac:dyDescent="0.35">
      <c r="B50" s="355"/>
      <c r="E50" s="332"/>
      <c r="F50" s="329"/>
      <c r="G50" s="329"/>
      <c r="H50" s="329"/>
      <c r="I50" s="329"/>
      <c r="J50" s="327"/>
      <c r="K50" s="442"/>
      <c r="L50" s="442"/>
      <c r="M50" s="442"/>
      <c r="N50" s="442"/>
      <c r="O50" s="470">
        <f>SUM(O46:O49)</f>
        <v>1229.5511999999999</v>
      </c>
      <c r="P50" s="442"/>
      <c r="Q50" s="442"/>
      <c r="R50" s="442"/>
      <c r="S50" s="442"/>
      <c r="T50" s="442"/>
      <c r="U50" s="442"/>
      <c r="V50" s="442"/>
      <c r="W50" s="442"/>
      <c r="X50" s="442"/>
      <c r="Y50" s="442"/>
      <c r="Z50" s="442"/>
      <c r="AA50" s="442"/>
      <c r="AB50" s="442"/>
      <c r="AC50" s="442"/>
      <c r="AD50" s="442"/>
      <c r="AE50" s="442"/>
      <c r="AF50" s="442"/>
    </row>
    <row r="51" spans="2:32" s="354" customFormat="1" ht="15" customHeight="1" x14ac:dyDescent="0.35">
      <c r="B51" s="355" t="s">
        <v>756</v>
      </c>
      <c r="E51" s="350" t="s">
        <v>759</v>
      </c>
      <c r="F51" s="329"/>
      <c r="G51" s="329"/>
      <c r="H51" s="329"/>
      <c r="I51" s="329"/>
      <c r="J51" s="327"/>
      <c r="K51" s="442"/>
      <c r="L51" s="442"/>
      <c r="M51" s="442"/>
      <c r="N51" s="442"/>
      <c r="O51" s="442"/>
      <c r="P51" s="442"/>
      <c r="Q51" s="442"/>
      <c r="R51" s="442"/>
      <c r="S51" s="442"/>
      <c r="T51" s="442"/>
      <c r="U51" s="442"/>
      <c r="V51" s="442"/>
      <c r="W51" s="442"/>
      <c r="X51" s="442"/>
      <c r="Y51" s="442"/>
      <c r="Z51" s="442"/>
      <c r="AA51" s="442"/>
      <c r="AB51" s="442"/>
      <c r="AC51" s="442"/>
      <c r="AD51" s="442"/>
      <c r="AE51" s="442"/>
      <c r="AF51" s="442"/>
    </row>
    <row r="52" spans="2:32" s="354" customFormat="1" ht="15" customHeight="1" x14ac:dyDescent="0.35">
      <c r="B52" s="355"/>
      <c r="E52" s="332"/>
      <c r="F52" s="329"/>
      <c r="G52" s="329"/>
      <c r="H52" s="329"/>
      <c r="I52" s="329"/>
      <c r="J52" s="327"/>
      <c r="K52" s="442"/>
      <c r="L52" s="442"/>
      <c r="M52" s="442"/>
      <c r="N52" s="442"/>
      <c r="O52" s="442"/>
      <c r="P52" s="442"/>
      <c r="Q52" s="442"/>
      <c r="R52" s="442"/>
      <c r="S52" s="442"/>
      <c r="T52" s="442"/>
      <c r="U52" s="442"/>
      <c r="V52" s="442"/>
      <c r="W52" s="442"/>
      <c r="X52" s="442"/>
      <c r="Y52" s="442"/>
      <c r="Z52" s="442"/>
      <c r="AA52" s="442"/>
      <c r="AB52" s="442"/>
      <c r="AC52" s="442"/>
      <c r="AD52" s="442"/>
      <c r="AE52" s="442"/>
      <c r="AF52" s="442"/>
    </row>
    <row r="53" spans="2:32" s="354" customFormat="1" ht="15" customHeight="1" x14ac:dyDescent="0.35">
      <c r="B53" s="355"/>
      <c r="E53" s="350"/>
      <c r="F53" s="329"/>
      <c r="G53" s="329"/>
      <c r="H53" s="329"/>
      <c r="I53" s="329"/>
      <c r="J53" s="327"/>
      <c r="K53" s="442"/>
      <c r="L53" s="442"/>
      <c r="M53" s="442"/>
      <c r="N53" s="442"/>
      <c r="O53" s="442"/>
      <c r="P53" s="442"/>
      <c r="Q53" s="442"/>
      <c r="R53" s="442"/>
      <c r="S53" s="442"/>
      <c r="T53" s="442"/>
      <c r="U53" s="442"/>
      <c r="V53" s="442"/>
      <c r="W53" s="442"/>
      <c r="X53" s="442"/>
      <c r="Y53" s="442"/>
      <c r="Z53" s="442"/>
      <c r="AA53" s="442"/>
      <c r="AB53" s="442"/>
      <c r="AC53" s="442"/>
      <c r="AD53" s="442"/>
      <c r="AE53" s="442"/>
      <c r="AF53" s="442"/>
    </row>
    <row r="54" spans="2:32" s="354" customFormat="1" ht="15" customHeight="1" x14ac:dyDescent="0.35">
      <c r="B54" s="356" t="s">
        <v>153</v>
      </c>
      <c r="E54" s="318" t="s">
        <v>852</v>
      </c>
      <c r="F54" s="329"/>
      <c r="G54" s="329"/>
      <c r="H54" s="329"/>
      <c r="I54" s="329"/>
      <c r="J54" s="327"/>
      <c r="K54" s="442"/>
      <c r="L54" s="442"/>
      <c r="M54" s="442"/>
      <c r="N54" s="442"/>
      <c r="O54" s="442"/>
      <c r="P54" s="442"/>
      <c r="Q54" s="442"/>
      <c r="R54" s="442"/>
      <c r="S54" s="442"/>
      <c r="T54" s="442"/>
      <c r="U54" s="442"/>
      <c r="V54" s="442"/>
      <c r="W54" s="442"/>
      <c r="X54" s="442"/>
      <c r="Y54" s="442"/>
      <c r="Z54" s="442"/>
      <c r="AA54" s="442"/>
      <c r="AB54" s="442"/>
      <c r="AC54" s="442"/>
      <c r="AD54" s="442"/>
      <c r="AE54" s="442"/>
      <c r="AF54" s="442"/>
    </row>
    <row r="55" spans="2:32" s="354" customFormat="1" ht="15" customHeight="1" x14ac:dyDescent="0.35">
      <c r="B55" s="355" t="s">
        <v>155</v>
      </c>
      <c r="E55" s="332" t="s">
        <v>853</v>
      </c>
      <c r="F55" s="329"/>
      <c r="G55" s="329"/>
      <c r="H55" s="329"/>
      <c r="I55" s="362"/>
      <c r="J55" s="327"/>
      <c r="K55" s="442"/>
      <c r="L55" s="442"/>
      <c r="M55" s="442"/>
      <c r="N55" s="442"/>
      <c r="O55" s="442"/>
      <c r="P55" s="442"/>
      <c r="Q55" s="442"/>
      <c r="R55" s="442"/>
      <c r="S55" s="442"/>
      <c r="T55" s="442"/>
      <c r="U55" s="442"/>
      <c r="V55" s="442"/>
      <c r="W55" s="442"/>
      <c r="X55" s="442"/>
      <c r="Y55" s="442"/>
      <c r="Z55" s="442"/>
      <c r="AA55" s="442"/>
      <c r="AB55" s="442"/>
      <c r="AC55" s="442"/>
      <c r="AD55" s="442"/>
      <c r="AE55" s="442"/>
      <c r="AF55" s="442"/>
    </row>
    <row r="56" spans="2:32" s="354" customFormat="1" ht="15" customHeight="1" x14ac:dyDescent="0.35">
      <c r="B56" s="327"/>
      <c r="E56" s="332" t="s">
        <v>854</v>
      </c>
      <c r="F56" s="329"/>
      <c r="G56" s="329"/>
      <c r="H56" s="329"/>
      <c r="I56" s="329"/>
      <c r="J56" s="327"/>
      <c r="K56" s="442"/>
      <c r="L56" s="442"/>
      <c r="M56" s="442"/>
      <c r="N56" s="442"/>
      <c r="O56" s="442"/>
      <c r="P56" s="442"/>
      <c r="Q56" s="442"/>
      <c r="R56" s="442"/>
      <c r="S56" s="442"/>
      <c r="T56" s="442"/>
      <c r="U56" s="442"/>
      <c r="V56" s="442"/>
      <c r="W56" s="442"/>
      <c r="X56" s="442"/>
      <c r="Y56" s="442"/>
      <c r="Z56" s="442"/>
      <c r="AA56" s="442"/>
      <c r="AB56" s="442"/>
      <c r="AC56" s="442"/>
      <c r="AD56" s="442"/>
      <c r="AE56" s="442"/>
      <c r="AF56" s="442"/>
    </row>
    <row r="57" spans="2:32" s="354" customFormat="1" ht="15" customHeight="1" x14ac:dyDescent="0.35">
      <c r="B57" s="328"/>
      <c r="C57" s="329"/>
      <c r="D57" s="329"/>
      <c r="E57" s="329"/>
      <c r="F57" s="329"/>
      <c r="G57" s="329"/>
      <c r="H57" s="329"/>
      <c r="I57" s="329"/>
      <c r="J57" s="327"/>
      <c r="K57" s="442"/>
      <c r="L57" s="442"/>
      <c r="M57" s="442"/>
      <c r="N57" s="442"/>
      <c r="O57" s="442"/>
      <c r="P57" s="442"/>
      <c r="Q57" s="442"/>
      <c r="R57" s="442"/>
      <c r="S57" s="442"/>
      <c r="T57" s="442"/>
      <c r="U57" s="442"/>
      <c r="V57" s="442"/>
      <c r="W57" s="442"/>
      <c r="X57" s="442"/>
      <c r="Y57" s="442"/>
      <c r="Z57" s="442"/>
      <c r="AA57" s="442"/>
      <c r="AB57" s="442"/>
      <c r="AC57" s="442"/>
      <c r="AD57" s="442"/>
      <c r="AE57" s="442"/>
      <c r="AF57" s="442"/>
    </row>
    <row r="58" spans="2:32" s="354" customFormat="1" ht="15" customHeight="1" x14ac:dyDescent="0.35">
      <c r="B58" s="328"/>
      <c r="C58" s="332" t="s">
        <v>152</v>
      </c>
      <c r="D58" s="329"/>
      <c r="E58" s="329"/>
      <c r="F58" s="329"/>
      <c r="G58" s="329"/>
      <c r="H58" s="329"/>
      <c r="I58" s="329"/>
      <c r="J58" s="327"/>
      <c r="K58" s="442"/>
      <c r="L58" s="442"/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2"/>
      <c r="AA58" s="442"/>
      <c r="AB58" s="442"/>
      <c r="AC58" s="442"/>
      <c r="AD58" s="442"/>
      <c r="AE58" s="442"/>
      <c r="AF58" s="442"/>
    </row>
    <row r="59" spans="2:32" s="354" customFormat="1" ht="15" customHeight="1" x14ac:dyDescent="0.35">
      <c r="B59" s="327"/>
      <c r="C59" s="329"/>
      <c r="D59" s="329"/>
      <c r="E59" s="329"/>
      <c r="F59" s="329"/>
      <c r="G59" s="329"/>
      <c r="H59" s="329"/>
      <c r="I59" s="329"/>
      <c r="J59" s="327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  <c r="AA59" s="442"/>
      <c r="AB59" s="442"/>
      <c r="AC59" s="442"/>
      <c r="AD59" s="442"/>
      <c r="AE59" s="442"/>
      <c r="AF59" s="442"/>
    </row>
    <row r="60" spans="2:32" s="354" customFormat="1" ht="15" customHeight="1" x14ac:dyDescent="0.35">
      <c r="B60" s="327"/>
      <c r="C60" s="329"/>
      <c r="D60" s="329"/>
      <c r="E60" s="329"/>
      <c r="F60" s="329"/>
      <c r="G60" s="329"/>
      <c r="H60" s="329"/>
      <c r="I60" s="329"/>
      <c r="J60" s="327"/>
      <c r="K60" s="442"/>
      <c r="L60" s="442"/>
      <c r="M60" s="442"/>
      <c r="N60" s="442"/>
      <c r="O60" s="442"/>
      <c r="P60" s="442"/>
      <c r="Q60" s="442"/>
      <c r="R60" s="442"/>
      <c r="S60" s="442"/>
      <c r="T60" s="442"/>
      <c r="U60" s="442"/>
      <c r="V60" s="442"/>
      <c r="W60" s="442"/>
      <c r="X60" s="442"/>
      <c r="Y60" s="442"/>
      <c r="Z60" s="442"/>
      <c r="AA60" s="442"/>
      <c r="AB60" s="442"/>
      <c r="AC60" s="442"/>
      <c r="AD60" s="442"/>
      <c r="AE60" s="442"/>
      <c r="AF60" s="442"/>
    </row>
    <row r="61" spans="2:32" s="354" customFormat="1" ht="18" customHeight="1" x14ac:dyDescent="0.35">
      <c r="B61" s="327"/>
      <c r="C61" s="318" t="s">
        <v>855</v>
      </c>
      <c r="D61" s="329"/>
      <c r="E61" s="329"/>
      <c r="F61" s="329"/>
      <c r="G61" s="329"/>
      <c r="H61" s="329"/>
      <c r="I61" s="932">
        <f>D31+'inventory2022 (FINAL)'!E294</f>
        <v>487.98599999999993</v>
      </c>
      <c r="J61" s="327"/>
      <c r="K61" s="443"/>
      <c r="L61" s="443"/>
      <c r="M61" s="443"/>
      <c r="N61" s="443"/>
      <c r="O61" s="443"/>
      <c r="P61" s="443"/>
      <c r="Q61" s="443"/>
      <c r="R61" s="443"/>
      <c r="S61" s="443"/>
      <c r="T61" s="443"/>
      <c r="U61" s="443"/>
      <c r="V61" s="443"/>
      <c r="W61" s="443"/>
      <c r="X61" s="443"/>
      <c r="Y61" s="443"/>
      <c r="Z61" s="443"/>
      <c r="AA61" s="443"/>
      <c r="AB61" s="443"/>
      <c r="AC61" s="443"/>
      <c r="AD61" s="443"/>
      <c r="AE61" s="443"/>
      <c r="AF61" s="443"/>
    </row>
    <row r="62" spans="2:32" s="354" customFormat="1" ht="18" customHeight="1" x14ac:dyDescent="0.35">
      <c r="B62" s="327"/>
      <c r="C62" s="332" t="s">
        <v>763</v>
      </c>
      <c r="D62" s="329"/>
      <c r="E62" s="329"/>
      <c r="F62" s="329"/>
      <c r="G62" s="329"/>
      <c r="H62" s="329"/>
      <c r="I62" s="933">
        <f>I61/'inventory2022 (FINAL)'!E295</f>
        <v>0.39226697427281826</v>
      </c>
      <c r="J62" s="327"/>
      <c r="K62" s="443"/>
      <c r="L62" s="443"/>
      <c r="M62" s="443"/>
      <c r="N62" s="443"/>
      <c r="O62" s="443"/>
      <c r="P62" s="443"/>
      <c r="Q62" s="443"/>
      <c r="R62" s="443"/>
      <c r="S62" s="443"/>
      <c r="T62" s="443"/>
      <c r="U62" s="443"/>
      <c r="V62" s="443"/>
      <c r="W62" s="443"/>
      <c r="X62" s="443"/>
      <c r="Y62" s="443"/>
      <c r="Z62" s="443"/>
      <c r="AA62" s="443"/>
      <c r="AB62" s="443"/>
      <c r="AC62" s="443"/>
      <c r="AD62" s="443"/>
      <c r="AE62" s="443"/>
      <c r="AF62" s="443"/>
    </row>
  </sheetData>
  <mergeCells count="11">
    <mergeCell ref="E37:G37"/>
    <mergeCell ref="E38:G38"/>
    <mergeCell ref="E39:G39"/>
    <mergeCell ref="A41:B41"/>
    <mergeCell ref="A1:H1"/>
    <mergeCell ref="A2:H2"/>
    <mergeCell ref="A3:H3"/>
    <mergeCell ref="A5:H5"/>
    <mergeCell ref="A34:H34"/>
    <mergeCell ref="E36:H36"/>
    <mergeCell ref="A33:B33"/>
  </mergeCells>
  <printOptions horizontalCentered="1"/>
  <pageMargins left="0" right="0" top="1" bottom="0.54" header="0.41" footer="0"/>
  <pageSetup paperSize="9" scale="65" fitToWidth="0" fitToHeight="0" orientation="portrait" horizontalDpi="1200" verticalDpi="1200" r:id="rId1"/>
  <headerFooter>
    <oddFooter>&amp;L&amp;"-,Italic"&amp;9&amp;K01+049&amp;F&amp;R&amp;"-,Italic"&amp;9&amp;K01+049Page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">
    <tabColor theme="5" tint="-0.499984740745262"/>
  </sheetPr>
  <dimension ref="A1:S544"/>
  <sheetViews>
    <sheetView view="pageBreakPreview" zoomScale="80" zoomScaleNormal="100" zoomScaleSheetLayoutView="80" workbookViewId="0">
      <pane ySplit="3" topLeftCell="A304" activePane="bottomLeft" state="frozen"/>
      <selection activeCell="L336" activeCellId="1" sqref="F308 L336"/>
      <selection pane="bottomLeft" activeCell="L336" activeCellId="1" sqref="F308 L336"/>
    </sheetView>
  </sheetViews>
  <sheetFormatPr defaultRowHeight="15.5" x14ac:dyDescent="0.35"/>
  <cols>
    <col min="1" max="1" width="22.81640625" style="95" customWidth="1"/>
    <col min="2" max="2" width="27.453125" style="2" customWidth="1"/>
    <col min="3" max="3" width="11.26953125" style="3" customWidth="1"/>
    <col min="4" max="4" width="10" style="582" hidden="1" customWidth="1"/>
    <col min="5" max="5" width="10.54296875" style="3" customWidth="1"/>
    <col min="6" max="6" width="9.7265625" style="3" customWidth="1"/>
    <col min="7" max="7" width="9.54296875" style="3" customWidth="1"/>
    <col min="8" max="9" width="12.54296875" style="3" customWidth="1"/>
    <col min="10" max="10" width="11.54296875" style="3" customWidth="1"/>
    <col min="11" max="13" width="27.1796875" style="2" customWidth="1"/>
    <col min="14" max="14" width="52.26953125" style="583" customWidth="1"/>
    <col min="15" max="15" width="15.81640625" style="3" customWidth="1"/>
    <col min="16" max="257" width="9.1796875" style="3"/>
    <col min="258" max="258" width="13.26953125" style="3" customWidth="1"/>
    <col min="259" max="259" width="27.453125" style="3" customWidth="1"/>
    <col min="260" max="261" width="9.54296875" style="3" customWidth="1"/>
    <col min="262" max="262" width="9.7265625" style="3" customWidth="1"/>
    <col min="263" max="263" width="9.54296875" style="3" customWidth="1"/>
    <col min="264" max="264" width="12.54296875" style="3" customWidth="1"/>
    <col min="265" max="265" width="10" style="3" customWidth="1"/>
    <col min="266" max="266" width="9.7265625" style="3" customWidth="1"/>
    <col min="267" max="269" width="0" style="3" hidden="1" customWidth="1"/>
    <col min="270" max="513" width="9.1796875" style="3"/>
    <col min="514" max="514" width="13.26953125" style="3" customWidth="1"/>
    <col min="515" max="515" width="27.453125" style="3" customWidth="1"/>
    <col min="516" max="517" width="9.54296875" style="3" customWidth="1"/>
    <col min="518" max="518" width="9.7265625" style="3" customWidth="1"/>
    <col min="519" max="519" width="9.54296875" style="3" customWidth="1"/>
    <col min="520" max="520" width="12.54296875" style="3" customWidth="1"/>
    <col min="521" max="521" width="10" style="3" customWidth="1"/>
    <col min="522" max="522" width="9.7265625" style="3" customWidth="1"/>
    <col min="523" max="525" width="0" style="3" hidden="1" customWidth="1"/>
    <col min="526" max="769" width="9.1796875" style="3"/>
    <col min="770" max="770" width="13.26953125" style="3" customWidth="1"/>
    <col min="771" max="771" width="27.453125" style="3" customWidth="1"/>
    <col min="772" max="773" width="9.54296875" style="3" customWidth="1"/>
    <col min="774" max="774" width="9.7265625" style="3" customWidth="1"/>
    <col min="775" max="775" width="9.54296875" style="3" customWidth="1"/>
    <col min="776" max="776" width="12.54296875" style="3" customWidth="1"/>
    <col min="777" max="777" width="10" style="3" customWidth="1"/>
    <col min="778" max="778" width="9.7265625" style="3" customWidth="1"/>
    <col min="779" max="781" width="0" style="3" hidden="1" customWidth="1"/>
    <col min="782" max="1025" width="9.1796875" style="3"/>
    <col min="1026" max="1026" width="13.26953125" style="3" customWidth="1"/>
    <col min="1027" max="1027" width="27.453125" style="3" customWidth="1"/>
    <col min="1028" max="1029" width="9.54296875" style="3" customWidth="1"/>
    <col min="1030" max="1030" width="9.7265625" style="3" customWidth="1"/>
    <col min="1031" max="1031" width="9.54296875" style="3" customWidth="1"/>
    <col min="1032" max="1032" width="12.54296875" style="3" customWidth="1"/>
    <col min="1033" max="1033" width="10" style="3" customWidth="1"/>
    <col min="1034" max="1034" width="9.7265625" style="3" customWidth="1"/>
    <col min="1035" max="1037" width="0" style="3" hidden="1" customWidth="1"/>
    <col min="1038" max="1281" width="9.1796875" style="3"/>
    <col min="1282" max="1282" width="13.26953125" style="3" customWidth="1"/>
    <col min="1283" max="1283" width="27.453125" style="3" customWidth="1"/>
    <col min="1284" max="1285" width="9.54296875" style="3" customWidth="1"/>
    <col min="1286" max="1286" width="9.7265625" style="3" customWidth="1"/>
    <col min="1287" max="1287" width="9.54296875" style="3" customWidth="1"/>
    <col min="1288" max="1288" width="12.54296875" style="3" customWidth="1"/>
    <col min="1289" max="1289" width="10" style="3" customWidth="1"/>
    <col min="1290" max="1290" width="9.7265625" style="3" customWidth="1"/>
    <col min="1291" max="1293" width="0" style="3" hidden="1" customWidth="1"/>
    <col min="1294" max="1537" width="9.1796875" style="3"/>
    <col min="1538" max="1538" width="13.26953125" style="3" customWidth="1"/>
    <col min="1539" max="1539" width="27.453125" style="3" customWidth="1"/>
    <col min="1540" max="1541" width="9.54296875" style="3" customWidth="1"/>
    <col min="1542" max="1542" width="9.7265625" style="3" customWidth="1"/>
    <col min="1543" max="1543" width="9.54296875" style="3" customWidth="1"/>
    <col min="1544" max="1544" width="12.54296875" style="3" customWidth="1"/>
    <col min="1545" max="1545" width="10" style="3" customWidth="1"/>
    <col min="1546" max="1546" width="9.7265625" style="3" customWidth="1"/>
    <col min="1547" max="1549" width="0" style="3" hidden="1" customWidth="1"/>
    <col min="1550" max="1793" width="9.1796875" style="3"/>
    <col min="1794" max="1794" width="13.26953125" style="3" customWidth="1"/>
    <col min="1795" max="1795" width="27.453125" style="3" customWidth="1"/>
    <col min="1796" max="1797" width="9.54296875" style="3" customWidth="1"/>
    <col min="1798" max="1798" width="9.7265625" style="3" customWidth="1"/>
    <col min="1799" max="1799" width="9.54296875" style="3" customWidth="1"/>
    <col min="1800" max="1800" width="12.54296875" style="3" customWidth="1"/>
    <col min="1801" max="1801" width="10" style="3" customWidth="1"/>
    <col min="1802" max="1802" width="9.7265625" style="3" customWidth="1"/>
    <col min="1803" max="1805" width="0" style="3" hidden="1" customWidth="1"/>
    <col min="1806" max="2049" width="9.1796875" style="3"/>
    <col min="2050" max="2050" width="13.26953125" style="3" customWidth="1"/>
    <col min="2051" max="2051" width="27.453125" style="3" customWidth="1"/>
    <col min="2052" max="2053" width="9.54296875" style="3" customWidth="1"/>
    <col min="2054" max="2054" width="9.7265625" style="3" customWidth="1"/>
    <col min="2055" max="2055" width="9.54296875" style="3" customWidth="1"/>
    <col min="2056" max="2056" width="12.54296875" style="3" customWidth="1"/>
    <col min="2057" max="2057" width="10" style="3" customWidth="1"/>
    <col min="2058" max="2058" width="9.7265625" style="3" customWidth="1"/>
    <col min="2059" max="2061" width="0" style="3" hidden="1" customWidth="1"/>
    <col min="2062" max="2305" width="9.1796875" style="3"/>
    <col min="2306" max="2306" width="13.26953125" style="3" customWidth="1"/>
    <col min="2307" max="2307" width="27.453125" style="3" customWidth="1"/>
    <col min="2308" max="2309" width="9.54296875" style="3" customWidth="1"/>
    <col min="2310" max="2310" width="9.7265625" style="3" customWidth="1"/>
    <col min="2311" max="2311" width="9.54296875" style="3" customWidth="1"/>
    <col min="2312" max="2312" width="12.54296875" style="3" customWidth="1"/>
    <col min="2313" max="2313" width="10" style="3" customWidth="1"/>
    <col min="2314" max="2314" width="9.7265625" style="3" customWidth="1"/>
    <col min="2315" max="2317" width="0" style="3" hidden="1" customWidth="1"/>
    <col min="2318" max="2561" width="9.1796875" style="3"/>
    <col min="2562" max="2562" width="13.26953125" style="3" customWidth="1"/>
    <col min="2563" max="2563" width="27.453125" style="3" customWidth="1"/>
    <col min="2564" max="2565" width="9.54296875" style="3" customWidth="1"/>
    <col min="2566" max="2566" width="9.7265625" style="3" customWidth="1"/>
    <col min="2567" max="2567" width="9.54296875" style="3" customWidth="1"/>
    <col min="2568" max="2568" width="12.54296875" style="3" customWidth="1"/>
    <col min="2569" max="2569" width="10" style="3" customWidth="1"/>
    <col min="2570" max="2570" width="9.7265625" style="3" customWidth="1"/>
    <col min="2571" max="2573" width="0" style="3" hidden="1" customWidth="1"/>
    <col min="2574" max="2817" width="9.1796875" style="3"/>
    <col min="2818" max="2818" width="13.26953125" style="3" customWidth="1"/>
    <col min="2819" max="2819" width="27.453125" style="3" customWidth="1"/>
    <col min="2820" max="2821" width="9.54296875" style="3" customWidth="1"/>
    <col min="2822" max="2822" width="9.7265625" style="3" customWidth="1"/>
    <col min="2823" max="2823" width="9.54296875" style="3" customWidth="1"/>
    <col min="2824" max="2824" width="12.54296875" style="3" customWidth="1"/>
    <col min="2825" max="2825" width="10" style="3" customWidth="1"/>
    <col min="2826" max="2826" width="9.7265625" style="3" customWidth="1"/>
    <col min="2827" max="2829" width="0" style="3" hidden="1" customWidth="1"/>
    <col min="2830" max="3073" width="9.1796875" style="3"/>
    <col min="3074" max="3074" width="13.26953125" style="3" customWidth="1"/>
    <col min="3075" max="3075" width="27.453125" style="3" customWidth="1"/>
    <col min="3076" max="3077" width="9.54296875" style="3" customWidth="1"/>
    <col min="3078" max="3078" width="9.7265625" style="3" customWidth="1"/>
    <col min="3079" max="3079" width="9.54296875" style="3" customWidth="1"/>
    <col min="3080" max="3080" width="12.54296875" style="3" customWidth="1"/>
    <col min="3081" max="3081" width="10" style="3" customWidth="1"/>
    <col min="3082" max="3082" width="9.7265625" style="3" customWidth="1"/>
    <col min="3083" max="3085" width="0" style="3" hidden="1" customWidth="1"/>
    <col min="3086" max="3329" width="9.1796875" style="3"/>
    <col min="3330" max="3330" width="13.26953125" style="3" customWidth="1"/>
    <col min="3331" max="3331" width="27.453125" style="3" customWidth="1"/>
    <col min="3332" max="3333" width="9.54296875" style="3" customWidth="1"/>
    <col min="3334" max="3334" width="9.7265625" style="3" customWidth="1"/>
    <col min="3335" max="3335" width="9.54296875" style="3" customWidth="1"/>
    <col min="3336" max="3336" width="12.54296875" style="3" customWidth="1"/>
    <col min="3337" max="3337" width="10" style="3" customWidth="1"/>
    <col min="3338" max="3338" width="9.7265625" style="3" customWidth="1"/>
    <col min="3339" max="3341" width="0" style="3" hidden="1" customWidth="1"/>
    <col min="3342" max="3585" width="9.1796875" style="3"/>
    <col min="3586" max="3586" width="13.26953125" style="3" customWidth="1"/>
    <col min="3587" max="3587" width="27.453125" style="3" customWidth="1"/>
    <col min="3588" max="3589" width="9.54296875" style="3" customWidth="1"/>
    <col min="3590" max="3590" width="9.7265625" style="3" customWidth="1"/>
    <col min="3591" max="3591" width="9.54296875" style="3" customWidth="1"/>
    <col min="3592" max="3592" width="12.54296875" style="3" customWidth="1"/>
    <col min="3593" max="3593" width="10" style="3" customWidth="1"/>
    <col min="3594" max="3594" width="9.7265625" style="3" customWidth="1"/>
    <col min="3595" max="3597" width="0" style="3" hidden="1" customWidth="1"/>
    <col min="3598" max="3841" width="9.1796875" style="3"/>
    <col min="3842" max="3842" width="13.26953125" style="3" customWidth="1"/>
    <col min="3843" max="3843" width="27.453125" style="3" customWidth="1"/>
    <col min="3844" max="3845" width="9.54296875" style="3" customWidth="1"/>
    <col min="3846" max="3846" width="9.7265625" style="3" customWidth="1"/>
    <col min="3847" max="3847" width="9.54296875" style="3" customWidth="1"/>
    <col min="3848" max="3848" width="12.54296875" style="3" customWidth="1"/>
    <col min="3849" max="3849" width="10" style="3" customWidth="1"/>
    <col min="3850" max="3850" width="9.7265625" style="3" customWidth="1"/>
    <col min="3851" max="3853" width="0" style="3" hidden="1" customWidth="1"/>
    <col min="3854" max="4097" width="9.1796875" style="3"/>
    <col min="4098" max="4098" width="13.26953125" style="3" customWidth="1"/>
    <col min="4099" max="4099" width="27.453125" style="3" customWidth="1"/>
    <col min="4100" max="4101" width="9.54296875" style="3" customWidth="1"/>
    <col min="4102" max="4102" width="9.7265625" style="3" customWidth="1"/>
    <col min="4103" max="4103" width="9.54296875" style="3" customWidth="1"/>
    <col min="4104" max="4104" width="12.54296875" style="3" customWidth="1"/>
    <col min="4105" max="4105" width="10" style="3" customWidth="1"/>
    <col min="4106" max="4106" width="9.7265625" style="3" customWidth="1"/>
    <col min="4107" max="4109" width="0" style="3" hidden="1" customWidth="1"/>
    <col min="4110" max="4353" width="9.1796875" style="3"/>
    <col min="4354" max="4354" width="13.26953125" style="3" customWidth="1"/>
    <col min="4355" max="4355" width="27.453125" style="3" customWidth="1"/>
    <col min="4356" max="4357" width="9.54296875" style="3" customWidth="1"/>
    <col min="4358" max="4358" width="9.7265625" style="3" customWidth="1"/>
    <col min="4359" max="4359" width="9.54296875" style="3" customWidth="1"/>
    <col min="4360" max="4360" width="12.54296875" style="3" customWidth="1"/>
    <col min="4361" max="4361" width="10" style="3" customWidth="1"/>
    <col min="4362" max="4362" width="9.7265625" style="3" customWidth="1"/>
    <col min="4363" max="4365" width="0" style="3" hidden="1" customWidth="1"/>
    <col min="4366" max="4609" width="9.1796875" style="3"/>
    <col min="4610" max="4610" width="13.26953125" style="3" customWidth="1"/>
    <col min="4611" max="4611" width="27.453125" style="3" customWidth="1"/>
    <col min="4612" max="4613" width="9.54296875" style="3" customWidth="1"/>
    <col min="4614" max="4614" width="9.7265625" style="3" customWidth="1"/>
    <col min="4615" max="4615" width="9.54296875" style="3" customWidth="1"/>
    <col min="4616" max="4616" width="12.54296875" style="3" customWidth="1"/>
    <col min="4617" max="4617" width="10" style="3" customWidth="1"/>
    <col min="4618" max="4618" width="9.7265625" style="3" customWidth="1"/>
    <col min="4619" max="4621" width="0" style="3" hidden="1" customWidth="1"/>
    <col min="4622" max="4865" width="9.1796875" style="3"/>
    <col min="4866" max="4866" width="13.26953125" style="3" customWidth="1"/>
    <col min="4867" max="4867" width="27.453125" style="3" customWidth="1"/>
    <col min="4868" max="4869" width="9.54296875" style="3" customWidth="1"/>
    <col min="4870" max="4870" width="9.7265625" style="3" customWidth="1"/>
    <col min="4871" max="4871" width="9.54296875" style="3" customWidth="1"/>
    <col min="4872" max="4872" width="12.54296875" style="3" customWidth="1"/>
    <col min="4873" max="4873" width="10" style="3" customWidth="1"/>
    <col min="4874" max="4874" width="9.7265625" style="3" customWidth="1"/>
    <col min="4875" max="4877" width="0" style="3" hidden="1" customWidth="1"/>
    <col min="4878" max="5121" width="9.1796875" style="3"/>
    <col min="5122" max="5122" width="13.26953125" style="3" customWidth="1"/>
    <col min="5123" max="5123" width="27.453125" style="3" customWidth="1"/>
    <col min="5124" max="5125" width="9.54296875" style="3" customWidth="1"/>
    <col min="5126" max="5126" width="9.7265625" style="3" customWidth="1"/>
    <col min="5127" max="5127" width="9.54296875" style="3" customWidth="1"/>
    <col min="5128" max="5128" width="12.54296875" style="3" customWidth="1"/>
    <col min="5129" max="5129" width="10" style="3" customWidth="1"/>
    <col min="5130" max="5130" width="9.7265625" style="3" customWidth="1"/>
    <col min="5131" max="5133" width="0" style="3" hidden="1" customWidth="1"/>
    <col min="5134" max="5377" width="9.1796875" style="3"/>
    <col min="5378" max="5378" width="13.26953125" style="3" customWidth="1"/>
    <col min="5379" max="5379" width="27.453125" style="3" customWidth="1"/>
    <col min="5380" max="5381" width="9.54296875" style="3" customWidth="1"/>
    <col min="5382" max="5382" width="9.7265625" style="3" customWidth="1"/>
    <col min="5383" max="5383" width="9.54296875" style="3" customWidth="1"/>
    <col min="5384" max="5384" width="12.54296875" style="3" customWidth="1"/>
    <col min="5385" max="5385" width="10" style="3" customWidth="1"/>
    <col min="5386" max="5386" width="9.7265625" style="3" customWidth="1"/>
    <col min="5387" max="5389" width="0" style="3" hidden="1" customWidth="1"/>
    <col min="5390" max="5633" width="9.1796875" style="3"/>
    <col min="5634" max="5634" width="13.26953125" style="3" customWidth="1"/>
    <col min="5635" max="5635" width="27.453125" style="3" customWidth="1"/>
    <col min="5636" max="5637" width="9.54296875" style="3" customWidth="1"/>
    <col min="5638" max="5638" width="9.7265625" style="3" customWidth="1"/>
    <col min="5639" max="5639" width="9.54296875" style="3" customWidth="1"/>
    <col min="5640" max="5640" width="12.54296875" style="3" customWidth="1"/>
    <col min="5641" max="5641" width="10" style="3" customWidth="1"/>
    <col min="5642" max="5642" width="9.7265625" style="3" customWidth="1"/>
    <col min="5643" max="5645" width="0" style="3" hidden="1" customWidth="1"/>
    <col min="5646" max="5889" width="9.1796875" style="3"/>
    <col min="5890" max="5890" width="13.26953125" style="3" customWidth="1"/>
    <col min="5891" max="5891" width="27.453125" style="3" customWidth="1"/>
    <col min="5892" max="5893" width="9.54296875" style="3" customWidth="1"/>
    <col min="5894" max="5894" width="9.7265625" style="3" customWidth="1"/>
    <col min="5895" max="5895" width="9.54296875" style="3" customWidth="1"/>
    <col min="5896" max="5896" width="12.54296875" style="3" customWidth="1"/>
    <col min="5897" max="5897" width="10" style="3" customWidth="1"/>
    <col min="5898" max="5898" width="9.7265625" style="3" customWidth="1"/>
    <col min="5899" max="5901" width="0" style="3" hidden="1" customWidth="1"/>
    <col min="5902" max="6145" width="9.1796875" style="3"/>
    <col min="6146" max="6146" width="13.26953125" style="3" customWidth="1"/>
    <col min="6147" max="6147" width="27.453125" style="3" customWidth="1"/>
    <col min="6148" max="6149" width="9.54296875" style="3" customWidth="1"/>
    <col min="6150" max="6150" width="9.7265625" style="3" customWidth="1"/>
    <col min="6151" max="6151" width="9.54296875" style="3" customWidth="1"/>
    <col min="6152" max="6152" width="12.54296875" style="3" customWidth="1"/>
    <col min="6153" max="6153" width="10" style="3" customWidth="1"/>
    <col min="6154" max="6154" width="9.7265625" style="3" customWidth="1"/>
    <col min="6155" max="6157" width="0" style="3" hidden="1" customWidth="1"/>
    <col min="6158" max="6401" width="9.1796875" style="3"/>
    <col min="6402" max="6402" width="13.26953125" style="3" customWidth="1"/>
    <col min="6403" max="6403" width="27.453125" style="3" customWidth="1"/>
    <col min="6404" max="6405" width="9.54296875" style="3" customWidth="1"/>
    <col min="6406" max="6406" width="9.7265625" style="3" customWidth="1"/>
    <col min="6407" max="6407" width="9.54296875" style="3" customWidth="1"/>
    <col min="6408" max="6408" width="12.54296875" style="3" customWidth="1"/>
    <col min="6409" max="6409" width="10" style="3" customWidth="1"/>
    <col min="6410" max="6410" width="9.7265625" style="3" customWidth="1"/>
    <col min="6411" max="6413" width="0" style="3" hidden="1" customWidth="1"/>
    <col min="6414" max="6657" width="9.1796875" style="3"/>
    <col min="6658" max="6658" width="13.26953125" style="3" customWidth="1"/>
    <col min="6659" max="6659" width="27.453125" style="3" customWidth="1"/>
    <col min="6660" max="6661" width="9.54296875" style="3" customWidth="1"/>
    <col min="6662" max="6662" width="9.7265625" style="3" customWidth="1"/>
    <col min="6663" max="6663" width="9.54296875" style="3" customWidth="1"/>
    <col min="6664" max="6664" width="12.54296875" style="3" customWidth="1"/>
    <col min="6665" max="6665" width="10" style="3" customWidth="1"/>
    <col min="6666" max="6666" width="9.7265625" style="3" customWidth="1"/>
    <col min="6667" max="6669" width="0" style="3" hidden="1" customWidth="1"/>
    <col min="6670" max="6913" width="9.1796875" style="3"/>
    <col min="6914" max="6914" width="13.26953125" style="3" customWidth="1"/>
    <col min="6915" max="6915" width="27.453125" style="3" customWidth="1"/>
    <col min="6916" max="6917" width="9.54296875" style="3" customWidth="1"/>
    <col min="6918" max="6918" width="9.7265625" style="3" customWidth="1"/>
    <col min="6919" max="6919" width="9.54296875" style="3" customWidth="1"/>
    <col min="6920" max="6920" width="12.54296875" style="3" customWidth="1"/>
    <col min="6921" max="6921" width="10" style="3" customWidth="1"/>
    <col min="6922" max="6922" width="9.7265625" style="3" customWidth="1"/>
    <col min="6923" max="6925" width="0" style="3" hidden="1" customWidth="1"/>
    <col min="6926" max="7169" width="9.1796875" style="3"/>
    <col min="7170" max="7170" width="13.26953125" style="3" customWidth="1"/>
    <col min="7171" max="7171" width="27.453125" style="3" customWidth="1"/>
    <col min="7172" max="7173" width="9.54296875" style="3" customWidth="1"/>
    <col min="7174" max="7174" width="9.7265625" style="3" customWidth="1"/>
    <col min="7175" max="7175" width="9.54296875" style="3" customWidth="1"/>
    <col min="7176" max="7176" width="12.54296875" style="3" customWidth="1"/>
    <col min="7177" max="7177" width="10" style="3" customWidth="1"/>
    <col min="7178" max="7178" width="9.7265625" style="3" customWidth="1"/>
    <col min="7179" max="7181" width="0" style="3" hidden="1" customWidth="1"/>
    <col min="7182" max="7425" width="9.1796875" style="3"/>
    <col min="7426" max="7426" width="13.26953125" style="3" customWidth="1"/>
    <col min="7427" max="7427" width="27.453125" style="3" customWidth="1"/>
    <col min="7428" max="7429" width="9.54296875" style="3" customWidth="1"/>
    <col min="7430" max="7430" width="9.7265625" style="3" customWidth="1"/>
    <col min="7431" max="7431" width="9.54296875" style="3" customWidth="1"/>
    <col min="7432" max="7432" width="12.54296875" style="3" customWidth="1"/>
    <col min="7433" max="7433" width="10" style="3" customWidth="1"/>
    <col min="7434" max="7434" width="9.7265625" style="3" customWidth="1"/>
    <col min="7435" max="7437" width="0" style="3" hidden="1" customWidth="1"/>
    <col min="7438" max="7681" width="9.1796875" style="3"/>
    <col min="7682" max="7682" width="13.26953125" style="3" customWidth="1"/>
    <col min="7683" max="7683" width="27.453125" style="3" customWidth="1"/>
    <col min="7684" max="7685" width="9.54296875" style="3" customWidth="1"/>
    <col min="7686" max="7686" width="9.7265625" style="3" customWidth="1"/>
    <col min="7687" max="7687" width="9.54296875" style="3" customWidth="1"/>
    <col min="7688" max="7688" width="12.54296875" style="3" customWidth="1"/>
    <col min="7689" max="7689" width="10" style="3" customWidth="1"/>
    <col min="7690" max="7690" width="9.7265625" style="3" customWidth="1"/>
    <col min="7691" max="7693" width="0" style="3" hidden="1" customWidth="1"/>
    <col min="7694" max="7937" width="9.1796875" style="3"/>
    <col min="7938" max="7938" width="13.26953125" style="3" customWidth="1"/>
    <col min="7939" max="7939" width="27.453125" style="3" customWidth="1"/>
    <col min="7940" max="7941" width="9.54296875" style="3" customWidth="1"/>
    <col min="7942" max="7942" width="9.7265625" style="3" customWidth="1"/>
    <col min="7943" max="7943" width="9.54296875" style="3" customWidth="1"/>
    <col min="7944" max="7944" width="12.54296875" style="3" customWidth="1"/>
    <col min="7945" max="7945" width="10" style="3" customWidth="1"/>
    <col min="7946" max="7946" width="9.7265625" style="3" customWidth="1"/>
    <col min="7947" max="7949" width="0" style="3" hidden="1" customWidth="1"/>
    <col min="7950" max="8193" width="9.1796875" style="3"/>
    <col min="8194" max="8194" width="13.26953125" style="3" customWidth="1"/>
    <col min="8195" max="8195" width="27.453125" style="3" customWidth="1"/>
    <col min="8196" max="8197" width="9.54296875" style="3" customWidth="1"/>
    <col min="8198" max="8198" width="9.7265625" style="3" customWidth="1"/>
    <col min="8199" max="8199" width="9.54296875" style="3" customWidth="1"/>
    <col min="8200" max="8200" width="12.54296875" style="3" customWidth="1"/>
    <col min="8201" max="8201" width="10" style="3" customWidth="1"/>
    <col min="8202" max="8202" width="9.7265625" style="3" customWidth="1"/>
    <col min="8203" max="8205" width="0" style="3" hidden="1" customWidth="1"/>
    <col min="8206" max="8449" width="9.1796875" style="3"/>
    <col min="8450" max="8450" width="13.26953125" style="3" customWidth="1"/>
    <col min="8451" max="8451" width="27.453125" style="3" customWidth="1"/>
    <col min="8452" max="8453" width="9.54296875" style="3" customWidth="1"/>
    <col min="8454" max="8454" width="9.7265625" style="3" customWidth="1"/>
    <col min="8455" max="8455" width="9.54296875" style="3" customWidth="1"/>
    <col min="8456" max="8456" width="12.54296875" style="3" customWidth="1"/>
    <col min="8457" max="8457" width="10" style="3" customWidth="1"/>
    <col min="8458" max="8458" width="9.7265625" style="3" customWidth="1"/>
    <col min="8459" max="8461" width="0" style="3" hidden="1" customWidth="1"/>
    <col min="8462" max="8705" width="9.1796875" style="3"/>
    <col min="8706" max="8706" width="13.26953125" style="3" customWidth="1"/>
    <col min="8707" max="8707" width="27.453125" style="3" customWidth="1"/>
    <col min="8708" max="8709" width="9.54296875" style="3" customWidth="1"/>
    <col min="8710" max="8710" width="9.7265625" style="3" customWidth="1"/>
    <col min="8711" max="8711" width="9.54296875" style="3" customWidth="1"/>
    <col min="8712" max="8712" width="12.54296875" style="3" customWidth="1"/>
    <col min="8713" max="8713" width="10" style="3" customWidth="1"/>
    <col min="8714" max="8714" width="9.7265625" style="3" customWidth="1"/>
    <col min="8715" max="8717" width="0" style="3" hidden="1" customWidth="1"/>
    <col min="8718" max="8961" width="9.1796875" style="3"/>
    <col min="8962" max="8962" width="13.26953125" style="3" customWidth="1"/>
    <col min="8963" max="8963" width="27.453125" style="3" customWidth="1"/>
    <col min="8964" max="8965" width="9.54296875" style="3" customWidth="1"/>
    <col min="8966" max="8966" width="9.7265625" style="3" customWidth="1"/>
    <col min="8967" max="8967" width="9.54296875" style="3" customWidth="1"/>
    <col min="8968" max="8968" width="12.54296875" style="3" customWidth="1"/>
    <col min="8969" max="8969" width="10" style="3" customWidth="1"/>
    <col min="8970" max="8970" width="9.7265625" style="3" customWidth="1"/>
    <col min="8971" max="8973" width="0" style="3" hidden="1" customWidth="1"/>
    <col min="8974" max="9217" width="9.1796875" style="3"/>
    <col min="9218" max="9218" width="13.26953125" style="3" customWidth="1"/>
    <col min="9219" max="9219" width="27.453125" style="3" customWidth="1"/>
    <col min="9220" max="9221" width="9.54296875" style="3" customWidth="1"/>
    <col min="9222" max="9222" width="9.7265625" style="3" customWidth="1"/>
    <col min="9223" max="9223" width="9.54296875" style="3" customWidth="1"/>
    <col min="9224" max="9224" width="12.54296875" style="3" customWidth="1"/>
    <col min="9225" max="9225" width="10" style="3" customWidth="1"/>
    <col min="9226" max="9226" width="9.7265625" style="3" customWidth="1"/>
    <col min="9227" max="9229" width="0" style="3" hidden="1" customWidth="1"/>
    <col min="9230" max="9473" width="9.1796875" style="3"/>
    <col min="9474" max="9474" width="13.26953125" style="3" customWidth="1"/>
    <col min="9475" max="9475" width="27.453125" style="3" customWidth="1"/>
    <col min="9476" max="9477" width="9.54296875" style="3" customWidth="1"/>
    <col min="9478" max="9478" width="9.7265625" style="3" customWidth="1"/>
    <col min="9479" max="9479" width="9.54296875" style="3" customWidth="1"/>
    <col min="9480" max="9480" width="12.54296875" style="3" customWidth="1"/>
    <col min="9481" max="9481" width="10" style="3" customWidth="1"/>
    <col min="9482" max="9482" width="9.7265625" style="3" customWidth="1"/>
    <col min="9483" max="9485" width="0" style="3" hidden="1" customWidth="1"/>
    <col min="9486" max="9729" width="9.1796875" style="3"/>
    <col min="9730" max="9730" width="13.26953125" style="3" customWidth="1"/>
    <col min="9731" max="9731" width="27.453125" style="3" customWidth="1"/>
    <col min="9732" max="9733" width="9.54296875" style="3" customWidth="1"/>
    <col min="9734" max="9734" width="9.7265625" style="3" customWidth="1"/>
    <col min="9735" max="9735" width="9.54296875" style="3" customWidth="1"/>
    <col min="9736" max="9736" width="12.54296875" style="3" customWidth="1"/>
    <col min="9737" max="9737" width="10" style="3" customWidth="1"/>
    <col min="9738" max="9738" width="9.7265625" style="3" customWidth="1"/>
    <col min="9739" max="9741" width="0" style="3" hidden="1" customWidth="1"/>
    <col min="9742" max="9985" width="9.1796875" style="3"/>
    <col min="9986" max="9986" width="13.26953125" style="3" customWidth="1"/>
    <col min="9987" max="9987" width="27.453125" style="3" customWidth="1"/>
    <col min="9988" max="9989" width="9.54296875" style="3" customWidth="1"/>
    <col min="9990" max="9990" width="9.7265625" style="3" customWidth="1"/>
    <col min="9991" max="9991" width="9.54296875" style="3" customWidth="1"/>
    <col min="9992" max="9992" width="12.54296875" style="3" customWidth="1"/>
    <col min="9993" max="9993" width="10" style="3" customWidth="1"/>
    <col min="9994" max="9994" width="9.7265625" style="3" customWidth="1"/>
    <col min="9995" max="9997" width="0" style="3" hidden="1" customWidth="1"/>
    <col min="9998" max="10241" width="9.1796875" style="3"/>
    <col min="10242" max="10242" width="13.26953125" style="3" customWidth="1"/>
    <col min="10243" max="10243" width="27.453125" style="3" customWidth="1"/>
    <col min="10244" max="10245" width="9.54296875" style="3" customWidth="1"/>
    <col min="10246" max="10246" width="9.7265625" style="3" customWidth="1"/>
    <col min="10247" max="10247" width="9.54296875" style="3" customWidth="1"/>
    <col min="10248" max="10248" width="12.54296875" style="3" customWidth="1"/>
    <col min="10249" max="10249" width="10" style="3" customWidth="1"/>
    <col min="10250" max="10250" width="9.7265625" style="3" customWidth="1"/>
    <col min="10251" max="10253" width="0" style="3" hidden="1" customWidth="1"/>
    <col min="10254" max="10497" width="9.1796875" style="3"/>
    <col min="10498" max="10498" width="13.26953125" style="3" customWidth="1"/>
    <col min="10499" max="10499" width="27.453125" style="3" customWidth="1"/>
    <col min="10500" max="10501" width="9.54296875" style="3" customWidth="1"/>
    <col min="10502" max="10502" width="9.7265625" style="3" customWidth="1"/>
    <col min="10503" max="10503" width="9.54296875" style="3" customWidth="1"/>
    <col min="10504" max="10504" width="12.54296875" style="3" customWidth="1"/>
    <col min="10505" max="10505" width="10" style="3" customWidth="1"/>
    <col min="10506" max="10506" width="9.7265625" style="3" customWidth="1"/>
    <col min="10507" max="10509" width="0" style="3" hidden="1" customWidth="1"/>
    <col min="10510" max="10753" width="9.1796875" style="3"/>
    <col min="10754" max="10754" width="13.26953125" style="3" customWidth="1"/>
    <col min="10755" max="10755" width="27.453125" style="3" customWidth="1"/>
    <col min="10756" max="10757" width="9.54296875" style="3" customWidth="1"/>
    <col min="10758" max="10758" width="9.7265625" style="3" customWidth="1"/>
    <col min="10759" max="10759" width="9.54296875" style="3" customWidth="1"/>
    <col min="10760" max="10760" width="12.54296875" style="3" customWidth="1"/>
    <col min="10761" max="10761" width="10" style="3" customWidth="1"/>
    <col min="10762" max="10762" width="9.7265625" style="3" customWidth="1"/>
    <col min="10763" max="10765" width="0" style="3" hidden="1" customWidth="1"/>
    <col min="10766" max="11009" width="9.1796875" style="3"/>
    <col min="11010" max="11010" width="13.26953125" style="3" customWidth="1"/>
    <col min="11011" max="11011" width="27.453125" style="3" customWidth="1"/>
    <col min="11012" max="11013" width="9.54296875" style="3" customWidth="1"/>
    <col min="11014" max="11014" width="9.7265625" style="3" customWidth="1"/>
    <col min="11015" max="11015" width="9.54296875" style="3" customWidth="1"/>
    <col min="11016" max="11016" width="12.54296875" style="3" customWidth="1"/>
    <col min="11017" max="11017" width="10" style="3" customWidth="1"/>
    <col min="11018" max="11018" width="9.7265625" style="3" customWidth="1"/>
    <col min="11019" max="11021" width="0" style="3" hidden="1" customWidth="1"/>
    <col min="11022" max="11265" width="9.1796875" style="3"/>
    <col min="11266" max="11266" width="13.26953125" style="3" customWidth="1"/>
    <col min="11267" max="11267" width="27.453125" style="3" customWidth="1"/>
    <col min="11268" max="11269" width="9.54296875" style="3" customWidth="1"/>
    <col min="11270" max="11270" width="9.7265625" style="3" customWidth="1"/>
    <col min="11271" max="11271" width="9.54296875" style="3" customWidth="1"/>
    <col min="11272" max="11272" width="12.54296875" style="3" customWidth="1"/>
    <col min="11273" max="11273" width="10" style="3" customWidth="1"/>
    <col min="11274" max="11274" width="9.7265625" style="3" customWidth="1"/>
    <col min="11275" max="11277" width="0" style="3" hidden="1" customWidth="1"/>
    <col min="11278" max="11521" width="9.1796875" style="3"/>
    <col min="11522" max="11522" width="13.26953125" style="3" customWidth="1"/>
    <col min="11523" max="11523" width="27.453125" style="3" customWidth="1"/>
    <col min="11524" max="11525" width="9.54296875" style="3" customWidth="1"/>
    <col min="11526" max="11526" width="9.7265625" style="3" customWidth="1"/>
    <col min="11527" max="11527" width="9.54296875" style="3" customWidth="1"/>
    <col min="11528" max="11528" width="12.54296875" style="3" customWidth="1"/>
    <col min="11529" max="11529" width="10" style="3" customWidth="1"/>
    <col min="11530" max="11530" width="9.7265625" style="3" customWidth="1"/>
    <col min="11531" max="11533" width="0" style="3" hidden="1" customWidth="1"/>
    <col min="11534" max="11777" width="9.1796875" style="3"/>
    <col min="11778" max="11778" width="13.26953125" style="3" customWidth="1"/>
    <col min="11779" max="11779" width="27.453125" style="3" customWidth="1"/>
    <col min="11780" max="11781" width="9.54296875" style="3" customWidth="1"/>
    <col min="11782" max="11782" width="9.7265625" style="3" customWidth="1"/>
    <col min="11783" max="11783" width="9.54296875" style="3" customWidth="1"/>
    <col min="11784" max="11784" width="12.54296875" style="3" customWidth="1"/>
    <col min="11785" max="11785" width="10" style="3" customWidth="1"/>
    <col min="11786" max="11786" width="9.7265625" style="3" customWidth="1"/>
    <col min="11787" max="11789" width="0" style="3" hidden="1" customWidth="1"/>
    <col min="11790" max="12033" width="9.1796875" style="3"/>
    <col min="12034" max="12034" width="13.26953125" style="3" customWidth="1"/>
    <col min="12035" max="12035" width="27.453125" style="3" customWidth="1"/>
    <col min="12036" max="12037" width="9.54296875" style="3" customWidth="1"/>
    <col min="12038" max="12038" width="9.7265625" style="3" customWidth="1"/>
    <col min="12039" max="12039" width="9.54296875" style="3" customWidth="1"/>
    <col min="12040" max="12040" width="12.54296875" style="3" customWidth="1"/>
    <col min="12041" max="12041" width="10" style="3" customWidth="1"/>
    <col min="12042" max="12042" width="9.7265625" style="3" customWidth="1"/>
    <col min="12043" max="12045" width="0" style="3" hidden="1" customWidth="1"/>
    <col min="12046" max="12289" width="9.1796875" style="3"/>
    <col min="12290" max="12290" width="13.26953125" style="3" customWidth="1"/>
    <col min="12291" max="12291" width="27.453125" style="3" customWidth="1"/>
    <col min="12292" max="12293" width="9.54296875" style="3" customWidth="1"/>
    <col min="12294" max="12294" width="9.7265625" style="3" customWidth="1"/>
    <col min="12295" max="12295" width="9.54296875" style="3" customWidth="1"/>
    <col min="12296" max="12296" width="12.54296875" style="3" customWidth="1"/>
    <col min="12297" max="12297" width="10" style="3" customWidth="1"/>
    <col min="12298" max="12298" width="9.7265625" style="3" customWidth="1"/>
    <col min="12299" max="12301" width="0" style="3" hidden="1" customWidth="1"/>
    <col min="12302" max="12545" width="9.1796875" style="3"/>
    <col min="12546" max="12546" width="13.26953125" style="3" customWidth="1"/>
    <col min="12547" max="12547" width="27.453125" style="3" customWidth="1"/>
    <col min="12548" max="12549" width="9.54296875" style="3" customWidth="1"/>
    <col min="12550" max="12550" width="9.7265625" style="3" customWidth="1"/>
    <col min="12551" max="12551" width="9.54296875" style="3" customWidth="1"/>
    <col min="12552" max="12552" width="12.54296875" style="3" customWidth="1"/>
    <col min="12553" max="12553" width="10" style="3" customWidth="1"/>
    <col min="12554" max="12554" width="9.7265625" style="3" customWidth="1"/>
    <col min="12555" max="12557" width="0" style="3" hidden="1" customWidth="1"/>
    <col min="12558" max="12801" width="9.1796875" style="3"/>
    <col min="12802" max="12802" width="13.26953125" style="3" customWidth="1"/>
    <col min="12803" max="12803" width="27.453125" style="3" customWidth="1"/>
    <col min="12804" max="12805" width="9.54296875" style="3" customWidth="1"/>
    <col min="12806" max="12806" width="9.7265625" style="3" customWidth="1"/>
    <col min="12807" max="12807" width="9.54296875" style="3" customWidth="1"/>
    <col min="12808" max="12808" width="12.54296875" style="3" customWidth="1"/>
    <col min="12809" max="12809" width="10" style="3" customWidth="1"/>
    <col min="12810" max="12810" width="9.7265625" style="3" customWidth="1"/>
    <col min="12811" max="12813" width="0" style="3" hidden="1" customWidth="1"/>
    <col min="12814" max="13057" width="9.1796875" style="3"/>
    <col min="13058" max="13058" width="13.26953125" style="3" customWidth="1"/>
    <col min="13059" max="13059" width="27.453125" style="3" customWidth="1"/>
    <col min="13060" max="13061" width="9.54296875" style="3" customWidth="1"/>
    <col min="13062" max="13062" width="9.7265625" style="3" customWidth="1"/>
    <col min="13063" max="13063" width="9.54296875" style="3" customWidth="1"/>
    <col min="13064" max="13064" width="12.54296875" style="3" customWidth="1"/>
    <col min="13065" max="13065" width="10" style="3" customWidth="1"/>
    <col min="13066" max="13066" width="9.7265625" style="3" customWidth="1"/>
    <col min="13067" max="13069" width="0" style="3" hidden="1" customWidth="1"/>
    <col min="13070" max="13313" width="9.1796875" style="3"/>
    <col min="13314" max="13314" width="13.26953125" style="3" customWidth="1"/>
    <col min="13315" max="13315" width="27.453125" style="3" customWidth="1"/>
    <col min="13316" max="13317" width="9.54296875" style="3" customWidth="1"/>
    <col min="13318" max="13318" width="9.7265625" style="3" customWidth="1"/>
    <col min="13319" max="13319" width="9.54296875" style="3" customWidth="1"/>
    <col min="13320" max="13320" width="12.54296875" style="3" customWidth="1"/>
    <col min="13321" max="13321" width="10" style="3" customWidth="1"/>
    <col min="13322" max="13322" width="9.7265625" style="3" customWidth="1"/>
    <col min="13323" max="13325" width="0" style="3" hidden="1" customWidth="1"/>
    <col min="13326" max="13569" width="9.1796875" style="3"/>
    <col min="13570" max="13570" width="13.26953125" style="3" customWidth="1"/>
    <col min="13571" max="13571" width="27.453125" style="3" customWidth="1"/>
    <col min="13572" max="13573" width="9.54296875" style="3" customWidth="1"/>
    <col min="13574" max="13574" width="9.7265625" style="3" customWidth="1"/>
    <col min="13575" max="13575" width="9.54296875" style="3" customWidth="1"/>
    <col min="13576" max="13576" width="12.54296875" style="3" customWidth="1"/>
    <col min="13577" max="13577" width="10" style="3" customWidth="1"/>
    <col min="13578" max="13578" width="9.7265625" style="3" customWidth="1"/>
    <col min="13579" max="13581" width="0" style="3" hidden="1" customWidth="1"/>
    <col min="13582" max="13825" width="9.1796875" style="3"/>
    <col min="13826" max="13826" width="13.26953125" style="3" customWidth="1"/>
    <col min="13827" max="13827" width="27.453125" style="3" customWidth="1"/>
    <col min="13828" max="13829" width="9.54296875" style="3" customWidth="1"/>
    <col min="13830" max="13830" width="9.7265625" style="3" customWidth="1"/>
    <col min="13831" max="13831" width="9.54296875" style="3" customWidth="1"/>
    <col min="13832" max="13832" width="12.54296875" style="3" customWidth="1"/>
    <col min="13833" max="13833" width="10" style="3" customWidth="1"/>
    <col min="13834" max="13834" width="9.7265625" style="3" customWidth="1"/>
    <col min="13835" max="13837" width="0" style="3" hidden="1" customWidth="1"/>
    <col min="13838" max="14081" width="9.1796875" style="3"/>
    <col min="14082" max="14082" width="13.26953125" style="3" customWidth="1"/>
    <col min="14083" max="14083" width="27.453125" style="3" customWidth="1"/>
    <col min="14084" max="14085" width="9.54296875" style="3" customWidth="1"/>
    <col min="14086" max="14086" width="9.7265625" style="3" customWidth="1"/>
    <col min="14087" max="14087" width="9.54296875" style="3" customWidth="1"/>
    <col min="14088" max="14088" width="12.54296875" style="3" customWidth="1"/>
    <col min="14089" max="14089" width="10" style="3" customWidth="1"/>
    <col min="14090" max="14090" width="9.7265625" style="3" customWidth="1"/>
    <col min="14091" max="14093" width="0" style="3" hidden="1" customWidth="1"/>
    <col min="14094" max="14337" width="9.1796875" style="3"/>
    <col min="14338" max="14338" width="13.26953125" style="3" customWidth="1"/>
    <col min="14339" max="14339" width="27.453125" style="3" customWidth="1"/>
    <col min="14340" max="14341" width="9.54296875" style="3" customWidth="1"/>
    <col min="14342" max="14342" width="9.7265625" style="3" customWidth="1"/>
    <col min="14343" max="14343" width="9.54296875" style="3" customWidth="1"/>
    <col min="14344" max="14344" width="12.54296875" style="3" customWidth="1"/>
    <col min="14345" max="14345" width="10" style="3" customWidth="1"/>
    <col min="14346" max="14346" width="9.7265625" style="3" customWidth="1"/>
    <col min="14347" max="14349" width="0" style="3" hidden="1" customWidth="1"/>
    <col min="14350" max="14593" width="9.1796875" style="3"/>
    <col min="14594" max="14594" width="13.26953125" style="3" customWidth="1"/>
    <col min="14595" max="14595" width="27.453125" style="3" customWidth="1"/>
    <col min="14596" max="14597" width="9.54296875" style="3" customWidth="1"/>
    <col min="14598" max="14598" width="9.7265625" style="3" customWidth="1"/>
    <col min="14599" max="14599" width="9.54296875" style="3" customWidth="1"/>
    <col min="14600" max="14600" width="12.54296875" style="3" customWidth="1"/>
    <col min="14601" max="14601" width="10" style="3" customWidth="1"/>
    <col min="14602" max="14602" width="9.7265625" style="3" customWidth="1"/>
    <col min="14603" max="14605" width="0" style="3" hidden="1" customWidth="1"/>
    <col min="14606" max="14849" width="9.1796875" style="3"/>
    <col min="14850" max="14850" width="13.26953125" style="3" customWidth="1"/>
    <col min="14851" max="14851" width="27.453125" style="3" customWidth="1"/>
    <col min="14852" max="14853" width="9.54296875" style="3" customWidth="1"/>
    <col min="14854" max="14854" width="9.7265625" style="3" customWidth="1"/>
    <col min="14855" max="14855" width="9.54296875" style="3" customWidth="1"/>
    <col min="14856" max="14856" width="12.54296875" style="3" customWidth="1"/>
    <col min="14857" max="14857" width="10" style="3" customWidth="1"/>
    <col min="14858" max="14858" width="9.7265625" style="3" customWidth="1"/>
    <col min="14859" max="14861" width="0" style="3" hidden="1" customWidth="1"/>
    <col min="14862" max="15105" width="9.1796875" style="3"/>
    <col min="15106" max="15106" width="13.26953125" style="3" customWidth="1"/>
    <col min="15107" max="15107" width="27.453125" style="3" customWidth="1"/>
    <col min="15108" max="15109" width="9.54296875" style="3" customWidth="1"/>
    <col min="15110" max="15110" width="9.7265625" style="3" customWidth="1"/>
    <col min="15111" max="15111" width="9.54296875" style="3" customWidth="1"/>
    <col min="15112" max="15112" width="12.54296875" style="3" customWidth="1"/>
    <col min="15113" max="15113" width="10" style="3" customWidth="1"/>
    <col min="15114" max="15114" width="9.7265625" style="3" customWidth="1"/>
    <col min="15115" max="15117" width="0" style="3" hidden="1" customWidth="1"/>
    <col min="15118" max="15361" width="9.1796875" style="3"/>
    <col min="15362" max="15362" width="13.26953125" style="3" customWidth="1"/>
    <col min="15363" max="15363" width="27.453125" style="3" customWidth="1"/>
    <col min="15364" max="15365" width="9.54296875" style="3" customWidth="1"/>
    <col min="15366" max="15366" width="9.7265625" style="3" customWidth="1"/>
    <col min="15367" max="15367" width="9.54296875" style="3" customWidth="1"/>
    <col min="15368" max="15368" width="12.54296875" style="3" customWidth="1"/>
    <col min="15369" max="15369" width="10" style="3" customWidth="1"/>
    <col min="15370" max="15370" width="9.7265625" style="3" customWidth="1"/>
    <col min="15371" max="15373" width="0" style="3" hidden="1" customWidth="1"/>
    <col min="15374" max="15617" width="9.1796875" style="3"/>
    <col min="15618" max="15618" width="13.26953125" style="3" customWidth="1"/>
    <col min="15619" max="15619" width="27.453125" style="3" customWidth="1"/>
    <col min="15620" max="15621" width="9.54296875" style="3" customWidth="1"/>
    <col min="15622" max="15622" width="9.7265625" style="3" customWidth="1"/>
    <col min="15623" max="15623" width="9.54296875" style="3" customWidth="1"/>
    <col min="15624" max="15624" width="12.54296875" style="3" customWidth="1"/>
    <col min="15625" max="15625" width="10" style="3" customWidth="1"/>
    <col min="15626" max="15626" width="9.7265625" style="3" customWidth="1"/>
    <col min="15627" max="15629" width="0" style="3" hidden="1" customWidth="1"/>
    <col min="15630" max="15873" width="9.1796875" style="3"/>
    <col min="15874" max="15874" width="13.26953125" style="3" customWidth="1"/>
    <col min="15875" max="15875" width="27.453125" style="3" customWidth="1"/>
    <col min="15876" max="15877" width="9.54296875" style="3" customWidth="1"/>
    <col min="15878" max="15878" width="9.7265625" style="3" customWidth="1"/>
    <col min="15879" max="15879" width="9.54296875" style="3" customWidth="1"/>
    <col min="15880" max="15880" width="12.54296875" style="3" customWidth="1"/>
    <col min="15881" max="15881" width="10" style="3" customWidth="1"/>
    <col min="15882" max="15882" width="9.7265625" style="3" customWidth="1"/>
    <col min="15883" max="15885" width="0" style="3" hidden="1" customWidth="1"/>
    <col min="15886" max="16129" width="9.1796875" style="3"/>
    <col min="16130" max="16130" width="13.26953125" style="3" customWidth="1"/>
    <col min="16131" max="16131" width="27.453125" style="3" customWidth="1"/>
    <col min="16132" max="16133" width="9.54296875" style="3" customWidth="1"/>
    <col min="16134" max="16134" width="9.7265625" style="3" customWidth="1"/>
    <col min="16135" max="16135" width="9.54296875" style="3" customWidth="1"/>
    <col min="16136" max="16136" width="12.54296875" style="3" customWidth="1"/>
    <col min="16137" max="16137" width="10" style="3" customWidth="1"/>
    <col min="16138" max="16138" width="9.7265625" style="3" customWidth="1"/>
    <col min="16139" max="16141" width="0" style="3" hidden="1" customWidth="1"/>
    <col min="16142" max="16384" width="9.1796875" style="3"/>
  </cols>
  <sheetData>
    <row r="1" spans="1:19" s="1" customFormat="1" x14ac:dyDescent="0.35">
      <c r="A1" s="1228" t="s">
        <v>0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279"/>
      <c r="M1" s="279"/>
      <c r="N1" s="581"/>
    </row>
    <row r="2" spans="1:19" s="1" customFormat="1" x14ac:dyDescent="0.35">
      <c r="A2" s="1228" t="s">
        <v>297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279"/>
      <c r="M2" s="279"/>
      <c r="N2" s="581"/>
    </row>
    <row r="3" spans="1:19" s="1" customFormat="1" x14ac:dyDescent="0.35">
      <c r="A3" s="1229">
        <v>2020</v>
      </c>
      <c r="B3" s="1229"/>
      <c r="C3" s="1229"/>
      <c r="D3" s="1229"/>
      <c r="E3" s="1229"/>
      <c r="F3" s="1229"/>
      <c r="G3" s="1229"/>
      <c r="H3" s="1229"/>
      <c r="I3" s="1229"/>
      <c r="J3" s="1229"/>
      <c r="K3" s="1229"/>
      <c r="L3" s="544"/>
      <c r="M3" s="544"/>
      <c r="N3" s="581"/>
    </row>
    <row r="5" spans="1:19" ht="9" customHeight="1" thickBot="1" x14ac:dyDescent="0.4"/>
    <row r="6" spans="1:19" s="1" customFormat="1" x14ac:dyDescent="0.35">
      <c r="A6" s="1217" t="s">
        <v>3</v>
      </c>
      <c r="B6" s="1218"/>
      <c r="C6" s="1218"/>
      <c r="D6" s="1218"/>
      <c r="E6" s="1218"/>
      <c r="F6" s="1218"/>
      <c r="G6" s="1218"/>
      <c r="H6" s="1218"/>
      <c r="I6" s="1218"/>
      <c r="J6" s="1218"/>
      <c r="K6" s="1218"/>
      <c r="L6" s="1230"/>
      <c r="M6" s="584"/>
      <c r="N6" s="581"/>
      <c r="O6" s="1" t="s">
        <v>299</v>
      </c>
      <c r="Q6" s="1" t="s">
        <v>300</v>
      </c>
      <c r="S6" s="1" t="s">
        <v>301</v>
      </c>
    </row>
    <row r="7" spans="1:19" s="1" customFormat="1" ht="16" thickBot="1" x14ac:dyDescent="0.4">
      <c r="A7" s="585"/>
      <c r="B7" s="2"/>
      <c r="C7" s="5"/>
      <c r="D7" s="586"/>
      <c r="E7" s="5"/>
      <c r="F7" s="5"/>
      <c r="G7" s="5"/>
      <c r="H7" s="5"/>
      <c r="I7" s="5"/>
      <c r="J7" s="3"/>
      <c r="K7" s="21"/>
      <c r="L7" s="587"/>
      <c r="M7" s="21"/>
      <c r="N7" s="581"/>
      <c r="O7" s="22">
        <f>C34+C68+C81+C89+C105+C144+C165</f>
        <v>457.62</v>
      </c>
      <c r="Q7" s="22">
        <f>C199+C229+C241+C262</f>
        <v>338.66199999999998</v>
      </c>
      <c r="S7" s="22">
        <f>C174+C295+C313+C342+C358+C369</f>
        <v>286.85199999999998</v>
      </c>
    </row>
    <row r="8" spans="1:19" s="1" customFormat="1" ht="21" customHeight="1" x14ac:dyDescent="0.35">
      <c r="A8" s="1206" t="s">
        <v>302</v>
      </c>
      <c r="B8" s="1208" t="s">
        <v>28</v>
      </c>
      <c r="C8" s="1210" t="s">
        <v>303</v>
      </c>
      <c r="D8" s="1231" t="s">
        <v>304</v>
      </c>
      <c r="E8" s="1212" t="s">
        <v>305</v>
      </c>
      <c r="F8" s="1212"/>
      <c r="G8" s="1212"/>
      <c r="H8" s="1212"/>
      <c r="I8" s="1212"/>
      <c r="J8" s="1208" t="s">
        <v>29</v>
      </c>
      <c r="K8" s="1213" t="s">
        <v>306</v>
      </c>
      <c r="L8" s="1222" t="s">
        <v>307</v>
      </c>
      <c r="M8" s="588"/>
      <c r="N8" s="581"/>
    </row>
    <row r="9" spans="1:19" s="1" customFormat="1" ht="31.5" customHeight="1" thickBot="1" x14ac:dyDescent="0.4">
      <c r="A9" s="1207"/>
      <c r="B9" s="1209"/>
      <c r="C9" s="1211"/>
      <c r="D9" s="1232"/>
      <c r="E9" s="7" t="s">
        <v>308</v>
      </c>
      <c r="F9" s="7" t="s">
        <v>309</v>
      </c>
      <c r="G9" s="7" t="s">
        <v>310</v>
      </c>
      <c r="H9" s="7" t="s">
        <v>311</v>
      </c>
      <c r="I9" s="7" t="s">
        <v>312</v>
      </c>
      <c r="J9" s="1209"/>
      <c r="K9" s="1214"/>
      <c r="L9" s="1223"/>
      <c r="M9" s="588"/>
      <c r="N9" s="1" t="s">
        <v>143</v>
      </c>
      <c r="O9" s="22">
        <f>O7+Q7+S7</f>
        <v>1083.134</v>
      </c>
      <c r="Q9" s="22">
        <f>O13-O9</f>
        <v>156.53099999999995</v>
      </c>
      <c r="S9" s="1">
        <f>(O9/O13)*100</f>
        <v>87.373120964131445</v>
      </c>
    </row>
    <row r="10" spans="1:19" s="16" customFormat="1" ht="17.149999999999999" customHeight="1" x14ac:dyDescent="0.35">
      <c r="A10" s="589">
        <v>219</v>
      </c>
      <c r="B10" s="110" t="s">
        <v>214</v>
      </c>
      <c r="C10" s="15">
        <f>SUM(E10:I10)</f>
        <v>0.4</v>
      </c>
      <c r="D10" s="590">
        <f>'[23]road inventory 2018'!C10</f>
        <v>0.65</v>
      </c>
      <c r="E10" s="15">
        <v>0</v>
      </c>
      <c r="F10" s="15">
        <v>0</v>
      </c>
      <c r="G10" s="15">
        <v>0</v>
      </c>
      <c r="H10" s="15">
        <v>0.4</v>
      </c>
      <c r="I10" s="15">
        <v>0</v>
      </c>
      <c r="J10" s="106" t="s">
        <v>12</v>
      </c>
      <c r="K10" s="591" t="s">
        <v>313</v>
      </c>
      <c r="L10" s="592"/>
      <c r="M10" s="593"/>
      <c r="N10" s="16" t="s">
        <v>4</v>
      </c>
    </row>
    <row r="11" spans="1:19" s="16" customFormat="1" ht="16.5" customHeight="1" x14ac:dyDescent="0.35">
      <c r="A11" s="589">
        <v>1</v>
      </c>
      <c r="B11" s="14" t="s">
        <v>314</v>
      </c>
      <c r="C11" s="15">
        <f t="shared" ref="C11:C32" si="0">SUM(E11:I11)</f>
        <v>5.48</v>
      </c>
      <c r="D11" s="590">
        <f>'[23]road inventory 2018'!C11</f>
        <v>5.5</v>
      </c>
      <c r="E11" s="594">
        <v>2.87</v>
      </c>
      <c r="F11" s="594">
        <v>0</v>
      </c>
      <c r="G11" s="15">
        <v>0</v>
      </c>
      <c r="H11" s="594">
        <v>2.61</v>
      </c>
      <c r="I11" s="594">
        <v>0</v>
      </c>
      <c r="J11" s="24" t="s">
        <v>12</v>
      </c>
      <c r="K11" s="591" t="s">
        <v>315</v>
      </c>
      <c r="L11" s="24"/>
      <c r="M11" s="593"/>
      <c r="N11" s="16" t="s">
        <v>10</v>
      </c>
      <c r="O11" s="595">
        <f>D34+D68+D81+D88+D105+D144+D165</f>
        <v>457.45</v>
      </c>
      <c r="Q11" s="595">
        <f>D199+D214+D229+D241+D262</f>
        <v>417.85</v>
      </c>
      <c r="S11" s="595">
        <f>D174+D280+D295+D313+D342+D358+D369+C375</f>
        <v>364.36500000000001</v>
      </c>
    </row>
    <row r="12" spans="1:19" ht="16.5" customHeight="1" x14ac:dyDescent="0.35">
      <c r="A12" s="596">
        <v>2</v>
      </c>
      <c r="B12" s="9" t="s">
        <v>212</v>
      </c>
      <c r="C12" s="15">
        <f t="shared" si="0"/>
        <v>0.91999999999999993</v>
      </c>
      <c r="D12" s="590">
        <f>'[23]road inventory 2018'!C12</f>
        <v>0.8</v>
      </c>
      <c r="E12" s="11">
        <v>7.0000000000000007E-2</v>
      </c>
      <c r="F12" s="11">
        <v>0</v>
      </c>
      <c r="G12" s="11">
        <v>0</v>
      </c>
      <c r="H12" s="11">
        <v>0.85</v>
      </c>
      <c r="I12" s="11">
        <v>0</v>
      </c>
      <c r="J12" s="28" t="s">
        <v>10</v>
      </c>
      <c r="K12" s="597" t="s">
        <v>316</v>
      </c>
      <c r="L12" s="28"/>
      <c r="N12" s="3" t="s">
        <v>317</v>
      </c>
    </row>
    <row r="13" spans="1:19" s="16" customFormat="1" ht="17.149999999999999" customHeight="1" x14ac:dyDescent="0.35">
      <c r="A13" s="589">
        <v>3</v>
      </c>
      <c r="B13" s="14" t="s">
        <v>217</v>
      </c>
      <c r="C13" s="15">
        <f t="shared" si="0"/>
        <v>4.97</v>
      </c>
      <c r="D13" s="590">
        <f>'[23]road inventory 2018'!C13</f>
        <v>4.9000000000000004</v>
      </c>
      <c r="E13" s="594">
        <v>0</v>
      </c>
      <c r="F13" s="594">
        <v>0</v>
      </c>
      <c r="G13" s="594">
        <v>0</v>
      </c>
      <c r="H13" s="594">
        <v>4.97</v>
      </c>
      <c r="I13" s="594">
        <v>0</v>
      </c>
      <c r="J13" s="106" t="s">
        <v>12</v>
      </c>
      <c r="K13" s="591" t="s">
        <v>318</v>
      </c>
      <c r="L13" s="24"/>
      <c r="M13" s="593"/>
      <c r="N13" s="16" t="s">
        <v>33</v>
      </c>
      <c r="O13" s="595">
        <f>O11+Q11+S11</f>
        <v>1239.665</v>
      </c>
    </row>
    <row r="14" spans="1:19" ht="17.149999999999999" customHeight="1" x14ac:dyDescent="0.35">
      <c r="A14" s="596">
        <v>4</v>
      </c>
      <c r="B14" s="9" t="s">
        <v>211</v>
      </c>
      <c r="C14" s="15">
        <f t="shared" si="0"/>
        <v>2.67</v>
      </c>
      <c r="D14" s="590">
        <f>'[23]road inventory 2018'!C14</f>
        <v>2.7</v>
      </c>
      <c r="E14" s="11">
        <v>0.11</v>
      </c>
      <c r="F14" s="11">
        <v>0</v>
      </c>
      <c r="G14" s="11">
        <v>0</v>
      </c>
      <c r="H14" s="11">
        <v>2.56</v>
      </c>
      <c r="I14" s="11">
        <v>0</v>
      </c>
      <c r="J14" s="103" t="s">
        <v>33</v>
      </c>
      <c r="K14" s="597" t="s">
        <v>320</v>
      </c>
      <c r="L14" s="28"/>
      <c r="N14" s="3" t="s">
        <v>41</v>
      </c>
    </row>
    <row r="15" spans="1:19" ht="17.149999999999999" customHeight="1" x14ac:dyDescent="0.35">
      <c r="A15" s="596">
        <v>93</v>
      </c>
      <c r="B15" s="9" t="s">
        <v>13</v>
      </c>
      <c r="C15" s="15">
        <f t="shared" si="0"/>
        <v>3.9</v>
      </c>
      <c r="D15" s="590">
        <f>'[23]road inventory 2018'!C15</f>
        <v>3.9</v>
      </c>
      <c r="E15" s="11">
        <v>3.9</v>
      </c>
      <c r="F15" s="11">
        <v>0</v>
      </c>
      <c r="G15" s="11">
        <v>0</v>
      </c>
      <c r="H15" s="11">
        <v>0</v>
      </c>
      <c r="I15" s="11">
        <v>0</v>
      </c>
      <c r="J15" s="103" t="str">
        <f>N11</f>
        <v>Good</v>
      </c>
      <c r="K15" s="597" t="s">
        <v>320</v>
      </c>
      <c r="L15" s="28"/>
      <c r="O15" s="38">
        <f>D280+D287+D292+D302+D307+D308+D309+D311+D322+D330+D335+D337+D340+D353+D354+D355+D356</f>
        <v>175.05999999999997</v>
      </c>
      <c r="Q15" s="38">
        <f>Q9-O15</f>
        <v>-18.529000000000025</v>
      </c>
    </row>
    <row r="16" spans="1:19" s="16" customFormat="1" ht="17.149999999999999" customHeight="1" x14ac:dyDescent="0.35">
      <c r="A16" s="589">
        <v>218</v>
      </c>
      <c r="B16" s="14" t="s">
        <v>213</v>
      </c>
      <c r="C16" s="15">
        <f t="shared" si="0"/>
        <v>5.61</v>
      </c>
      <c r="D16" s="590">
        <f>'[23]road inventory 2018'!C16</f>
        <v>5.8</v>
      </c>
      <c r="E16" s="594">
        <v>0</v>
      </c>
      <c r="F16" s="594">
        <v>0</v>
      </c>
      <c r="G16" s="594">
        <v>0</v>
      </c>
      <c r="H16" s="594">
        <v>5.61</v>
      </c>
      <c r="I16" s="594">
        <v>0</v>
      </c>
      <c r="J16" s="106" t="s">
        <v>12</v>
      </c>
      <c r="K16" s="591" t="s">
        <v>316</v>
      </c>
      <c r="L16" s="24"/>
      <c r="M16" s="593"/>
      <c r="N16" s="598"/>
    </row>
    <row r="17" spans="1:17" s="16" customFormat="1" ht="17.149999999999999" customHeight="1" x14ac:dyDescent="0.35">
      <c r="A17" s="589">
        <v>5</v>
      </c>
      <c r="B17" s="14" t="s">
        <v>16</v>
      </c>
      <c r="C17" s="15">
        <f t="shared" si="0"/>
        <v>2.85</v>
      </c>
      <c r="D17" s="590">
        <f>'[23]road inventory 2018'!C17</f>
        <v>2.8</v>
      </c>
      <c r="E17" s="594">
        <v>2.85</v>
      </c>
      <c r="F17" s="594">
        <v>0</v>
      </c>
      <c r="G17" s="594">
        <v>0</v>
      </c>
      <c r="H17" s="594">
        <v>0</v>
      </c>
      <c r="I17" s="594">
        <v>0</v>
      </c>
      <c r="J17" s="106" t="s">
        <v>10</v>
      </c>
      <c r="K17" s="591" t="s">
        <v>320</v>
      </c>
      <c r="L17" s="24"/>
      <c r="M17" s="593"/>
      <c r="N17" s="598"/>
      <c r="O17" s="595">
        <f>D28+D45+D50+D76+Q65</f>
        <v>7.5</v>
      </c>
    </row>
    <row r="18" spans="1:17" ht="17.149999999999999" customHeight="1" x14ac:dyDescent="0.35">
      <c r="A18" s="596">
        <v>6</v>
      </c>
      <c r="B18" s="9" t="s">
        <v>220</v>
      </c>
      <c r="C18" s="15">
        <f t="shared" si="0"/>
        <v>3.96</v>
      </c>
      <c r="D18" s="590">
        <f>'[23]road inventory 2018'!C18</f>
        <v>3.9</v>
      </c>
      <c r="E18" s="11">
        <v>2.7</v>
      </c>
      <c r="F18" s="11">
        <v>0</v>
      </c>
      <c r="G18" s="11">
        <v>0</v>
      </c>
      <c r="H18" s="11">
        <v>1.26</v>
      </c>
      <c r="I18" s="11">
        <v>0</v>
      </c>
      <c r="J18" s="103" t="s">
        <v>10</v>
      </c>
      <c r="K18" s="597" t="s">
        <v>315</v>
      </c>
      <c r="L18" s="28"/>
    </row>
    <row r="19" spans="1:17" s="16" customFormat="1" ht="17.149999999999999" customHeight="1" x14ac:dyDescent="0.35">
      <c r="A19" s="589">
        <v>7</v>
      </c>
      <c r="B19" s="14" t="s">
        <v>205</v>
      </c>
      <c r="C19" s="15">
        <f t="shared" si="0"/>
        <v>1.1499999999999999</v>
      </c>
      <c r="D19" s="590">
        <f>'[23]road inventory 2018'!C19</f>
        <v>1.1000000000000001</v>
      </c>
      <c r="E19" s="594">
        <v>1.1499999999999999</v>
      </c>
      <c r="F19" s="594">
        <v>0</v>
      </c>
      <c r="G19" s="594">
        <v>0</v>
      </c>
      <c r="H19" s="594">
        <v>0</v>
      </c>
      <c r="I19" s="594">
        <v>0</v>
      </c>
      <c r="J19" s="106" t="s">
        <v>10</v>
      </c>
      <c r="K19" s="591" t="s">
        <v>321</v>
      </c>
      <c r="L19" s="24"/>
      <c r="M19" s="593"/>
      <c r="N19" s="599" t="s">
        <v>322</v>
      </c>
      <c r="Q19" s="16" t="s">
        <v>323</v>
      </c>
    </row>
    <row r="20" spans="1:17" s="16" customFormat="1" ht="17.149999999999999" customHeight="1" x14ac:dyDescent="0.35">
      <c r="A20" s="589">
        <v>8</v>
      </c>
      <c r="B20" s="14" t="s">
        <v>324</v>
      </c>
      <c r="C20" s="15">
        <f t="shared" si="0"/>
        <v>0.64</v>
      </c>
      <c r="D20" s="590">
        <f>'[23]road inventory 2018'!C20</f>
        <v>0.6</v>
      </c>
      <c r="E20" s="594">
        <v>0.64</v>
      </c>
      <c r="F20" s="594">
        <v>0</v>
      </c>
      <c r="G20" s="594">
        <v>0</v>
      </c>
      <c r="H20" s="594">
        <v>0</v>
      </c>
      <c r="I20" s="594">
        <v>0</v>
      </c>
      <c r="J20" s="106" t="s">
        <v>10</v>
      </c>
      <c r="K20" s="591" t="s">
        <v>325</v>
      </c>
      <c r="L20" s="24"/>
      <c r="M20" s="593"/>
      <c r="N20" s="16" t="s">
        <v>182</v>
      </c>
      <c r="O20" s="595">
        <f>C10+C11+C12+C13+C15+C16+C17+C18+C19+C20+C21+C22+C23+C24+C27+C29+C30+C31+C32</f>
        <v>81.36</v>
      </c>
      <c r="Q20" s="595">
        <f>O20</f>
        <v>81.36</v>
      </c>
    </row>
    <row r="21" spans="1:17" s="16" customFormat="1" ht="17.149999999999999" customHeight="1" x14ac:dyDescent="0.35">
      <c r="A21" s="589">
        <v>9</v>
      </c>
      <c r="B21" s="14" t="s">
        <v>19</v>
      </c>
      <c r="C21" s="15">
        <f t="shared" si="0"/>
        <v>9.3000000000000007</v>
      </c>
      <c r="D21" s="590">
        <f>'[23]road inventory 2018'!C21</f>
        <v>9</v>
      </c>
      <c r="E21" s="594">
        <v>9.3000000000000007</v>
      </c>
      <c r="F21" s="594">
        <v>0</v>
      </c>
      <c r="G21" s="594">
        <v>0</v>
      </c>
      <c r="H21" s="594">
        <v>0</v>
      </c>
      <c r="I21" s="594">
        <v>0</v>
      </c>
      <c r="J21" s="106" t="s">
        <v>10</v>
      </c>
      <c r="K21" s="591" t="s">
        <v>326</v>
      </c>
      <c r="L21" s="24"/>
      <c r="M21" s="593"/>
      <c r="N21" s="598" t="s">
        <v>183</v>
      </c>
      <c r="O21" s="595">
        <f>C41+C42+C43+C44+C45+C46+C47+C48+C49+C50+C51++C52+C55+C56+C57+C58+C59+C60+C61+C64+C67</f>
        <v>74.349999999999994</v>
      </c>
      <c r="Q21" s="595">
        <f>O21</f>
        <v>74.349999999999994</v>
      </c>
    </row>
    <row r="22" spans="1:17" s="16" customFormat="1" ht="17.149999999999999" customHeight="1" x14ac:dyDescent="0.35">
      <c r="A22" s="589">
        <v>10</v>
      </c>
      <c r="B22" s="14" t="s">
        <v>23</v>
      </c>
      <c r="C22" s="15">
        <f t="shared" si="0"/>
        <v>13.79</v>
      </c>
      <c r="D22" s="590">
        <f>'[23]road inventory 2018'!C22</f>
        <v>13.6</v>
      </c>
      <c r="E22" s="594">
        <v>8.7899999999999991</v>
      </c>
      <c r="F22" s="594">
        <v>0</v>
      </c>
      <c r="G22" s="594">
        <v>0</v>
      </c>
      <c r="H22" s="594">
        <v>5</v>
      </c>
      <c r="I22" s="594">
        <v>0</v>
      </c>
      <c r="J22" s="106" t="str">
        <f>J21</f>
        <v>Good</v>
      </c>
      <c r="K22" s="591" t="s">
        <v>327</v>
      </c>
      <c r="L22" s="24"/>
      <c r="M22" s="593"/>
      <c r="N22" s="598" t="s">
        <v>184</v>
      </c>
      <c r="O22" s="595">
        <f>C74+C75+C76+C77+C78+C79</f>
        <v>28.019999999999996</v>
      </c>
      <c r="Q22" s="595">
        <f>O22</f>
        <v>28.019999999999996</v>
      </c>
    </row>
    <row r="23" spans="1:17" s="16" customFormat="1" ht="17.149999999999999" customHeight="1" x14ac:dyDescent="0.35">
      <c r="A23" s="589">
        <v>11</v>
      </c>
      <c r="B23" s="14" t="s">
        <v>223</v>
      </c>
      <c r="C23" s="15">
        <f t="shared" si="0"/>
        <v>2.27</v>
      </c>
      <c r="D23" s="590">
        <f>'[23]road inventory 2018'!C23</f>
        <v>2.2000000000000002</v>
      </c>
      <c r="E23" s="594">
        <v>0.21</v>
      </c>
      <c r="F23" s="594">
        <v>0</v>
      </c>
      <c r="G23" s="594">
        <v>0</v>
      </c>
      <c r="H23" s="594">
        <v>2.06</v>
      </c>
      <c r="I23" s="594">
        <v>0</v>
      </c>
      <c r="J23" s="106" t="s">
        <v>12</v>
      </c>
      <c r="K23" s="591" t="s">
        <v>328</v>
      </c>
      <c r="L23" s="24"/>
      <c r="M23" s="593"/>
      <c r="N23" s="598" t="s">
        <v>185</v>
      </c>
      <c r="O23" s="600">
        <f>C88</f>
        <v>3.28</v>
      </c>
      <c r="Q23" s="600">
        <f>O23</f>
        <v>3.28</v>
      </c>
    </row>
    <row r="24" spans="1:17" s="16" customFormat="1" ht="17.149999999999999" customHeight="1" x14ac:dyDescent="0.35">
      <c r="A24" s="589">
        <v>13</v>
      </c>
      <c r="B24" s="14" t="s">
        <v>218</v>
      </c>
      <c r="C24" s="15">
        <f t="shared" si="0"/>
        <v>1.72</v>
      </c>
      <c r="D24" s="590">
        <f>'[23]road inventory 2018'!C24</f>
        <v>1.7</v>
      </c>
      <c r="E24" s="594">
        <v>0</v>
      </c>
      <c r="F24" s="594">
        <v>0</v>
      </c>
      <c r="G24" s="594">
        <v>0</v>
      </c>
      <c r="H24" s="594">
        <v>1.72</v>
      </c>
      <c r="I24" s="594">
        <v>0</v>
      </c>
      <c r="J24" s="106" t="s">
        <v>12</v>
      </c>
      <c r="K24" s="591" t="s">
        <v>329</v>
      </c>
      <c r="L24" s="24"/>
      <c r="M24" s="593"/>
      <c r="N24" s="598" t="s">
        <v>330</v>
      </c>
      <c r="O24" s="595">
        <f>C96+C98+C99+C100+C101+C102</f>
        <v>26.35</v>
      </c>
      <c r="Q24" s="595">
        <f>O24</f>
        <v>26.35</v>
      </c>
    </row>
    <row r="25" spans="1:17" s="677" customFormat="1" ht="17.149999999999999" customHeight="1" x14ac:dyDescent="0.35">
      <c r="A25" s="669">
        <v>12</v>
      </c>
      <c r="B25" s="771" t="s">
        <v>222</v>
      </c>
      <c r="C25" s="670">
        <v>1.6</v>
      </c>
      <c r="D25" s="671">
        <f>'[23]road inventory 2018'!C25</f>
        <v>1.6</v>
      </c>
      <c r="E25" s="772">
        <v>0</v>
      </c>
      <c r="F25" s="772">
        <v>0</v>
      </c>
      <c r="G25" s="772">
        <v>0</v>
      </c>
      <c r="H25" s="772">
        <f>C25</f>
        <v>1.6</v>
      </c>
      <c r="I25" s="772">
        <v>0</v>
      </c>
      <c r="J25" s="673" t="s">
        <v>33</v>
      </c>
      <c r="K25" s="674" t="s">
        <v>331</v>
      </c>
      <c r="L25" s="107"/>
      <c r="M25" s="675"/>
      <c r="N25" s="676" t="s">
        <v>332</v>
      </c>
      <c r="O25" s="773">
        <f>C112+C113+C114+C115+C116+C117+C118+C119+C120+C123+C124+C125+C126+C127+C128+C129+C130+C131+C132+C133+C136+C137+C138+C139+C140+C142+C143</f>
        <v>107.36000000000001</v>
      </c>
      <c r="Q25" s="773">
        <f t="shared" ref="Q25:Q30" si="1">O25</f>
        <v>107.36000000000001</v>
      </c>
    </row>
    <row r="26" spans="1:17" s="677" customFormat="1" ht="17.149999999999999" customHeight="1" x14ac:dyDescent="0.35">
      <c r="A26" s="669">
        <v>220</v>
      </c>
      <c r="B26" s="771" t="s">
        <v>221</v>
      </c>
      <c r="C26" s="670">
        <v>2.2999999999999998</v>
      </c>
      <c r="D26" s="671">
        <f>'[23]road inventory 2018'!C26</f>
        <v>2.2999999999999998</v>
      </c>
      <c r="E26" s="772">
        <v>0</v>
      </c>
      <c r="F26" s="772">
        <v>0</v>
      </c>
      <c r="G26" s="772">
        <v>0</v>
      </c>
      <c r="H26" s="772">
        <f>C26</f>
        <v>2.2999999999999998</v>
      </c>
      <c r="I26" s="772">
        <v>0</v>
      </c>
      <c r="J26" s="673" t="s">
        <v>33</v>
      </c>
      <c r="K26" s="674" t="s">
        <v>333</v>
      </c>
      <c r="L26" s="107"/>
      <c r="M26" s="675"/>
      <c r="N26" s="676" t="s">
        <v>188</v>
      </c>
      <c r="O26" s="773">
        <f>C151+C152+C153+C159+C161</f>
        <v>10.66</v>
      </c>
      <c r="Q26" s="773">
        <f t="shared" si="1"/>
        <v>10.66</v>
      </c>
    </row>
    <row r="27" spans="1:17" s="16" customFormat="1" ht="17.149999999999999" customHeight="1" x14ac:dyDescent="0.35">
      <c r="A27" s="589">
        <v>14</v>
      </c>
      <c r="B27" s="14" t="s">
        <v>215</v>
      </c>
      <c r="C27" s="15">
        <f t="shared" si="0"/>
        <v>4.12</v>
      </c>
      <c r="D27" s="590">
        <f>'[23]road inventory 2018'!C27</f>
        <v>4</v>
      </c>
      <c r="E27" s="594">
        <v>4.12</v>
      </c>
      <c r="F27" s="594">
        <v>0</v>
      </c>
      <c r="G27" s="594">
        <v>0</v>
      </c>
      <c r="H27" s="594">
        <v>0</v>
      </c>
      <c r="I27" s="594">
        <v>0</v>
      </c>
      <c r="J27" s="106" t="s">
        <v>10</v>
      </c>
      <c r="K27" s="591" t="s">
        <v>327</v>
      </c>
      <c r="L27" s="24"/>
      <c r="M27" s="593"/>
      <c r="N27" s="598" t="s">
        <v>189</v>
      </c>
      <c r="O27" s="595">
        <f>C172+C173</f>
        <v>18.670000000000002</v>
      </c>
      <c r="Q27" s="595">
        <f t="shared" si="1"/>
        <v>18.670000000000002</v>
      </c>
    </row>
    <row r="28" spans="1:17" s="769" customFormat="1" ht="17.149999999999999" customHeight="1" x14ac:dyDescent="0.35">
      <c r="A28" s="760">
        <v>15</v>
      </c>
      <c r="B28" s="761" t="s">
        <v>334</v>
      </c>
      <c r="C28" s="762">
        <v>3.2</v>
      </c>
      <c r="D28" s="762">
        <f>'[23]road inventory 2018'!C28</f>
        <v>3.2</v>
      </c>
      <c r="E28" s="764">
        <v>0</v>
      </c>
      <c r="F28" s="764">
        <v>0</v>
      </c>
      <c r="G28" s="764">
        <v>0</v>
      </c>
      <c r="H28" s="764">
        <f>C28</f>
        <v>3.2</v>
      </c>
      <c r="I28" s="764">
        <v>0</v>
      </c>
      <c r="J28" s="757" t="s">
        <v>33</v>
      </c>
      <c r="K28" s="765" t="s">
        <v>335</v>
      </c>
      <c r="L28" s="758" t="s">
        <v>336</v>
      </c>
      <c r="M28" s="766"/>
      <c r="N28" s="767" t="s">
        <v>191</v>
      </c>
      <c r="O28" s="768">
        <f>C182+C183+C186+C188+C189+C190+C193+C192+C194+C195+C196+C197+C198</f>
        <v>108.10000000000001</v>
      </c>
      <c r="Q28" s="768">
        <f t="shared" si="1"/>
        <v>108.10000000000001</v>
      </c>
    </row>
    <row r="29" spans="1:17" s="16" customFormat="1" ht="17.149999999999999" customHeight="1" x14ac:dyDescent="0.35">
      <c r="A29" s="589">
        <v>16</v>
      </c>
      <c r="B29" s="14" t="s">
        <v>25</v>
      </c>
      <c r="C29" s="15">
        <f t="shared" si="0"/>
        <v>1.05</v>
      </c>
      <c r="D29" s="590">
        <f>'[23]road inventory 2018'!C29</f>
        <v>1</v>
      </c>
      <c r="E29" s="594">
        <v>0</v>
      </c>
      <c r="F29" s="594">
        <v>0</v>
      </c>
      <c r="G29" s="594">
        <v>0</v>
      </c>
      <c r="H29" s="594">
        <v>1.05</v>
      </c>
      <c r="I29" s="594">
        <v>0</v>
      </c>
      <c r="J29" s="106" t="s">
        <v>12</v>
      </c>
      <c r="K29" s="591" t="s">
        <v>337</v>
      </c>
      <c r="L29" s="24"/>
      <c r="M29" s="593"/>
      <c r="N29" s="598" t="s">
        <v>338</v>
      </c>
      <c r="O29" s="595">
        <f>C206+C207+C209+C210+C212+C213</f>
        <v>71.400000000000006</v>
      </c>
      <c r="Q29" s="595">
        <f t="shared" si="1"/>
        <v>71.400000000000006</v>
      </c>
    </row>
    <row r="30" spans="1:17" s="16" customFormat="1" ht="17.149999999999999" customHeight="1" x14ac:dyDescent="0.35">
      <c r="A30" s="589">
        <v>17</v>
      </c>
      <c r="B30" s="14" t="s">
        <v>216</v>
      </c>
      <c r="C30" s="15">
        <f t="shared" si="0"/>
        <v>4.18</v>
      </c>
      <c r="D30" s="590">
        <f>'[23]road inventory 2018'!C30</f>
        <v>4</v>
      </c>
      <c r="E30" s="594">
        <v>4.18</v>
      </c>
      <c r="F30" s="594">
        <v>0</v>
      </c>
      <c r="G30" s="594">
        <v>0</v>
      </c>
      <c r="H30" s="594">
        <v>0</v>
      </c>
      <c r="I30" s="594">
        <v>0</v>
      </c>
      <c r="J30" s="106" t="s">
        <v>12</v>
      </c>
      <c r="K30" s="591" t="s">
        <v>339</v>
      </c>
      <c r="L30" s="24"/>
      <c r="M30" s="593"/>
      <c r="N30" s="598" t="s">
        <v>193</v>
      </c>
      <c r="O30" s="595">
        <f>C221+C222+C223+C224+C226+C227+C228</f>
        <v>88.617000000000004</v>
      </c>
      <c r="Q30" s="595">
        <f t="shared" si="1"/>
        <v>88.617000000000004</v>
      </c>
    </row>
    <row r="31" spans="1:17" s="16" customFormat="1" ht="16.149999999999999" customHeight="1" x14ac:dyDescent="0.35">
      <c r="A31" s="589">
        <v>18</v>
      </c>
      <c r="B31" s="14" t="s">
        <v>27</v>
      </c>
      <c r="C31" s="15">
        <f t="shared" si="0"/>
        <v>10.52</v>
      </c>
      <c r="D31" s="590">
        <f>'[23]road inventory 2018'!C31</f>
        <v>10.5</v>
      </c>
      <c r="E31" s="594">
        <v>4.54</v>
      </c>
      <c r="F31" s="594">
        <v>0</v>
      </c>
      <c r="G31" s="594">
        <v>0</v>
      </c>
      <c r="H31" s="594">
        <v>5.98</v>
      </c>
      <c r="I31" s="594">
        <v>0</v>
      </c>
      <c r="J31" s="106" t="s">
        <v>12</v>
      </c>
      <c r="K31" s="591" t="s">
        <v>335</v>
      </c>
      <c r="L31" s="24"/>
      <c r="M31" s="593"/>
      <c r="N31" s="598" t="s">
        <v>194</v>
      </c>
      <c r="O31" s="595">
        <f>C237+C239</f>
        <v>9</v>
      </c>
      <c r="Q31" s="595">
        <f>O31</f>
        <v>9</v>
      </c>
    </row>
    <row r="32" spans="1:17" s="16" customFormat="1" ht="27" customHeight="1" x14ac:dyDescent="0.35">
      <c r="A32" s="589">
        <v>221</v>
      </c>
      <c r="B32" s="14" t="s">
        <v>219</v>
      </c>
      <c r="C32" s="15">
        <f t="shared" si="0"/>
        <v>4.53</v>
      </c>
      <c r="D32" s="590">
        <f>'[23]road inventory 2018'!C32</f>
        <v>5.2</v>
      </c>
      <c r="E32" s="594">
        <v>0</v>
      </c>
      <c r="F32" s="594">
        <v>0</v>
      </c>
      <c r="G32" s="594">
        <v>0</v>
      </c>
      <c r="H32" s="594">
        <v>4.53</v>
      </c>
      <c r="I32" s="594">
        <v>0</v>
      </c>
      <c r="J32" s="106" t="s">
        <v>12</v>
      </c>
      <c r="K32" s="591" t="s">
        <v>340</v>
      </c>
      <c r="L32" s="24"/>
      <c r="M32" s="593"/>
      <c r="N32" s="598" t="s">
        <v>195</v>
      </c>
      <c r="O32" s="595">
        <f>C248+C249+C250+C251+C252+C255+C256+C260+C261</f>
        <v>63.055</v>
      </c>
      <c r="Q32" s="595">
        <f>O32</f>
        <v>63.055</v>
      </c>
    </row>
    <row r="33" spans="1:17" s="677" customFormat="1" ht="15" customHeight="1" x14ac:dyDescent="0.35">
      <c r="A33" s="669">
        <v>20</v>
      </c>
      <c r="B33" s="771" t="s">
        <v>208</v>
      </c>
      <c r="C33" s="670">
        <v>7.6</v>
      </c>
      <c r="D33" s="671">
        <f>'[23]road inventory 2018'!C33</f>
        <v>7.6</v>
      </c>
      <c r="E33" s="772">
        <v>0</v>
      </c>
      <c r="F33" s="772">
        <v>0</v>
      </c>
      <c r="G33" s="772">
        <v>0</v>
      </c>
      <c r="H33" s="772">
        <f>C33</f>
        <v>7.6</v>
      </c>
      <c r="I33" s="772">
        <v>0</v>
      </c>
      <c r="J33" s="673" t="s">
        <v>41</v>
      </c>
      <c r="K33" s="674"/>
      <c r="L33" s="107"/>
      <c r="M33" s="675"/>
      <c r="N33" s="676" t="s">
        <v>196</v>
      </c>
      <c r="O33" s="773">
        <f>C270+C275+C276</f>
        <v>10.1</v>
      </c>
      <c r="Q33" s="677">
        <v>0</v>
      </c>
    </row>
    <row r="34" spans="1:17" ht="15" customHeight="1" x14ac:dyDescent="0.35">
      <c r="A34" s="601"/>
      <c r="B34" s="602"/>
      <c r="C34" s="603">
        <f t="shared" ref="C34:I34" si="2">SUM(C10:C33)</f>
        <v>98.729999999999976</v>
      </c>
      <c r="D34" s="604">
        <f t="shared" si="2"/>
        <v>98.550000000000011</v>
      </c>
      <c r="E34" s="603">
        <f t="shared" si="2"/>
        <v>45.43</v>
      </c>
      <c r="F34" s="603">
        <f t="shared" si="2"/>
        <v>0</v>
      </c>
      <c r="G34" s="603">
        <f t="shared" si="2"/>
        <v>0</v>
      </c>
      <c r="H34" s="603">
        <f t="shared" si="2"/>
        <v>53.300000000000004</v>
      </c>
      <c r="I34" s="603">
        <f t="shared" si="2"/>
        <v>0</v>
      </c>
      <c r="J34" s="109"/>
      <c r="K34" s="605"/>
      <c r="L34" s="28"/>
      <c r="N34" s="583" t="s">
        <v>197</v>
      </c>
      <c r="O34" s="38">
        <f>C287+C288+C290+C291+C293</f>
        <v>27.7</v>
      </c>
      <c r="Q34" s="38">
        <f>C288+C290+C291+C293</f>
        <v>15.010000000000002</v>
      </c>
    </row>
    <row r="35" spans="1:17" s="1" customFormat="1" ht="22.5" customHeight="1" thickBot="1" x14ac:dyDescent="0.4">
      <c r="A35" s="606" t="s">
        <v>341</v>
      </c>
      <c r="B35" s="18"/>
      <c r="C35" s="19">
        <f>E35+F35+G35+H35+I35</f>
        <v>98.73</v>
      </c>
      <c r="D35" s="607"/>
      <c r="E35" s="19">
        <f>SUM(E10:E33)</f>
        <v>45.43</v>
      </c>
      <c r="F35" s="19">
        <f>SUM(F10:F33)</f>
        <v>0</v>
      </c>
      <c r="G35" s="19">
        <f>SUM(G10:G33)</f>
        <v>0</v>
      </c>
      <c r="H35" s="19">
        <f>SUM(H10:H33)</f>
        <v>53.300000000000004</v>
      </c>
      <c r="I35" s="19">
        <f>SUM(I10:I33)</f>
        <v>0</v>
      </c>
      <c r="J35" s="608"/>
      <c r="K35" s="609"/>
      <c r="L35" s="97"/>
      <c r="M35" s="21"/>
      <c r="N35" s="581" t="s">
        <v>198</v>
      </c>
      <c r="O35" s="22">
        <f>C303+C304+C305+C306+C311+C312</f>
        <v>8.82</v>
      </c>
      <c r="Q35" s="22">
        <f>C303+C304+C305+C306+C312</f>
        <v>8.02</v>
      </c>
    </row>
    <row r="36" spans="1:17" s="1" customFormat="1" ht="16" thickBot="1" x14ac:dyDescent="0.4">
      <c r="A36" s="544"/>
      <c r="B36" s="21"/>
      <c r="C36" s="22"/>
      <c r="D36" s="610"/>
      <c r="E36" s="22"/>
      <c r="F36" s="22"/>
      <c r="G36" s="22"/>
      <c r="H36" s="22"/>
      <c r="I36" s="22"/>
      <c r="K36" s="21"/>
      <c r="L36" s="611"/>
      <c r="M36" s="21"/>
      <c r="N36" s="581" t="s">
        <v>199</v>
      </c>
      <c r="O36" s="22">
        <f>C320+C321</f>
        <v>7.25</v>
      </c>
      <c r="Q36" s="1">
        <v>0</v>
      </c>
    </row>
    <row r="37" spans="1:17" s="1" customFormat="1" x14ac:dyDescent="0.35">
      <c r="A37" s="1217" t="s">
        <v>342</v>
      </c>
      <c r="B37" s="1218"/>
      <c r="C37" s="1218"/>
      <c r="D37" s="1218"/>
      <c r="E37" s="1218"/>
      <c r="F37" s="1218"/>
      <c r="G37" s="1218"/>
      <c r="H37" s="1218"/>
      <c r="I37" s="1218"/>
      <c r="J37" s="1218"/>
      <c r="K37" s="1218"/>
      <c r="L37" s="1219"/>
      <c r="M37" s="584"/>
      <c r="N37" s="581" t="s">
        <v>200</v>
      </c>
      <c r="O37" s="22">
        <f>C329+C331+C332+C333+C334+C337+C338+C339+C341</f>
        <v>79.599999999999994</v>
      </c>
      <c r="Q37" s="22">
        <f>C329+C331+C332+C333+C334+C338+C339+C341</f>
        <v>77.180000000000007</v>
      </c>
    </row>
    <row r="38" spans="1:17" s="1" customFormat="1" ht="16" thickBot="1" x14ac:dyDescent="0.4">
      <c r="A38" s="585"/>
      <c r="B38" s="2"/>
      <c r="C38" s="5"/>
      <c r="D38" s="586"/>
      <c r="E38" s="5"/>
      <c r="F38" s="5"/>
      <c r="G38" s="5"/>
      <c r="H38" s="5"/>
      <c r="I38" s="5"/>
      <c r="J38" s="3"/>
      <c r="K38" s="21"/>
      <c r="L38" s="18"/>
      <c r="M38" s="21"/>
      <c r="N38" s="581" t="s">
        <v>201</v>
      </c>
      <c r="O38" s="612">
        <f>C351+C352+C354+C355</f>
        <v>34.027999999999999</v>
      </c>
      <c r="Q38" s="612">
        <f>C351+C352</f>
        <v>13.027999999999999</v>
      </c>
    </row>
    <row r="39" spans="1:17" s="1" customFormat="1" ht="21" customHeight="1" x14ac:dyDescent="0.35">
      <c r="A39" s="1206" t="s">
        <v>302</v>
      </c>
      <c r="B39" s="1208" t="s">
        <v>28</v>
      </c>
      <c r="C39" s="1210" t="s">
        <v>343</v>
      </c>
      <c r="D39" s="613"/>
      <c r="E39" s="1212" t="s">
        <v>305</v>
      </c>
      <c r="F39" s="1212"/>
      <c r="G39" s="1212"/>
      <c r="H39" s="1212"/>
      <c r="I39" s="1212"/>
      <c r="J39" s="1208" t="s">
        <v>29</v>
      </c>
      <c r="K39" s="1213" t="s">
        <v>306</v>
      </c>
      <c r="L39" s="1222" t="s">
        <v>307</v>
      </c>
      <c r="M39" s="588"/>
      <c r="N39" s="581" t="s">
        <v>202</v>
      </c>
      <c r="O39" s="612">
        <f>C364+C365+C366+C367</f>
        <v>24.68</v>
      </c>
      <c r="Q39" s="612">
        <f>C364+C365+C366+C367</f>
        <v>24.68</v>
      </c>
    </row>
    <row r="40" spans="1:17" s="1" customFormat="1" ht="21" customHeight="1" thickBot="1" x14ac:dyDescent="0.4">
      <c r="A40" s="1207"/>
      <c r="B40" s="1209"/>
      <c r="C40" s="1211"/>
      <c r="D40" s="614"/>
      <c r="E40" s="7" t="s">
        <v>308</v>
      </c>
      <c r="F40" s="7" t="s">
        <v>309</v>
      </c>
      <c r="G40" s="7" t="s">
        <v>310</v>
      </c>
      <c r="H40" s="7" t="s">
        <v>311</v>
      </c>
      <c r="I40" s="7" t="s">
        <v>312</v>
      </c>
      <c r="J40" s="1209"/>
      <c r="K40" s="1214"/>
      <c r="L40" s="1223"/>
      <c r="M40" s="588"/>
      <c r="N40" s="581" t="s">
        <v>344</v>
      </c>
      <c r="O40" s="22">
        <f>C375</f>
        <v>8.7409999999999997</v>
      </c>
      <c r="Q40" s="1">
        <v>0</v>
      </c>
    </row>
    <row r="41" spans="1:17" s="1" customFormat="1" ht="16.5" customHeight="1" x14ac:dyDescent="0.35">
      <c r="A41" s="596">
        <v>21</v>
      </c>
      <c r="B41" s="28" t="s">
        <v>241</v>
      </c>
      <c r="C41" s="10">
        <f>SUM(E41:I41)</f>
        <v>4.32</v>
      </c>
      <c r="D41" s="615">
        <f>'[23]road inventory 2018'!C41</f>
        <v>4.3</v>
      </c>
      <c r="E41" s="10">
        <v>4.1100000000000003</v>
      </c>
      <c r="F41" s="10">
        <v>0</v>
      </c>
      <c r="G41" s="10">
        <v>0</v>
      </c>
      <c r="H41" s="10">
        <v>0.21</v>
      </c>
      <c r="I41" s="10">
        <v>0</v>
      </c>
      <c r="J41" s="103" t="s">
        <v>10</v>
      </c>
      <c r="K41" s="597" t="s">
        <v>345</v>
      </c>
      <c r="L41" s="112"/>
      <c r="M41" s="2"/>
      <c r="N41" s="616" t="str">
        <f>N19</f>
        <v>GOOD TO FAIR (TOTAL LENGTH)</v>
      </c>
      <c r="O41" s="22">
        <f>SUM(O20:O40)</f>
        <v>891.14100000000008</v>
      </c>
      <c r="P41" s="22">
        <f>C380-O41</f>
        <v>352.87400000000002</v>
      </c>
      <c r="Q41" s="22">
        <f>SUM(Q20:Q40)</f>
        <v>828.14</v>
      </c>
    </row>
    <row r="42" spans="1:17" s="26" customFormat="1" ht="16.5" customHeight="1" x14ac:dyDescent="0.35">
      <c r="A42" s="589">
        <v>22</v>
      </c>
      <c r="B42" s="24" t="s">
        <v>225</v>
      </c>
      <c r="C42" s="10">
        <f t="shared" ref="C42:C67" si="3">SUM(E42:I42)</f>
        <v>4.01</v>
      </c>
      <c r="D42" s="615">
        <f>'[23]road inventory 2018'!C42</f>
        <v>3.9</v>
      </c>
      <c r="E42" s="15">
        <v>0</v>
      </c>
      <c r="F42" s="15">
        <v>0</v>
      </c>
      <c r="G42" s="15">
        <v>0</v>
      </c>
      <c r="H42" s="15">
        <v>4.01</v>
      </c>
      <c r="I42" s="15">
        <v>0</v>
      </c>
      <c r="J42" s="106" t="s">
        <v>12</v>
      </c>
      <c r="K42" s="591" t="s">
        <v>346</v>
      </c>
      <c r="L42" s="24"/>
      <c r="M42" s="593"/>
      <c r="N42" s="617"/>
    </row>
    <row r="43" spans="1:17" s="26" customFormat="1" ht="16.5" customHeight="1" x14ac:dyDescent="0.35">
      <c r="A43" s="589">
        <v>23</v>
      </c>
      <c r="B43" s="24" t="s">
        <v>237</v>
      </c>
      <c r="C43" s="10">
        <f t="shared" si="3"/>
        <v>4.42</v>
      </c>
      <c r="D43" s="615">
        <f>'[23]road inventory 2018'!C43</f>
        <v>4.3</v>
      </c>
      <c r="E43" s="15">
        <v>2.9</v>
      </c>
      <c r="F43" s="15">
        <v>0</v>
      </c>
      <c r="G43" s="15">
        <v>0</v>
      </c>
      <c r="H43" s="15">
        <v>1.52</v>
      </c>
      <c r="I43" s="15">
        <v>0</v>
      </c>
      <c r="J43" s="106" t="s">
        <v>12</v>
      </c>
      <c r="K43" s="591" t="s">
        <v>347</v>
      </c>
      <c r="L43" s="24"/>
      <c r="M43" s="593"/>
      <c r="N43" s="617"/>
    </row>
    <row r="44" spans="1:17" s="26" customFormat="1" ht="16.5" customHeight="1" x14ac:dyDescent="0.35">
      <c r="A44" s="589">
        <v>24</v>
      </c>
      <c r="B44" s="24" t="s">
        <v>236</v>
      </c>
      <c r="C44" s="10">
        <f t="shared" si="3"/>
        <v>8.25</v>
      </c>
      <c r="D44" s="615">
        <f>'[23]road inventory 2018'!C44</f>
        <v>7.5</v>
      </c>
      <c r="E44" s="15">
        <v>8.25</v>
      </c>
      <c r="F44" s="15">
        <v>0</v>
      </c>
      <c r="G44" s="15">
        <v>0</v>
      </c>
      <c r="H44" s="15">
        <v>0</v>
      </c>
      <c r="I44" s="15">
        <v>0</v>
      </c>
      <c r="J44" s="106" t="s">
        <v>10</v>
      </c>
      <c r="K44" s="591" t="s">
        <v>347</v>
      </c>
      <c r="L44" s="24"/>
      <c r="M44" s="593"/>
      <c r="N44" s="617"/>
    </row>
    <row r="45" spans="1:17" s="1" customFormat="1" ht="16.5" customHeight="1" x14ac:dyDescent="0.35">
      <c r="A45" s="596">
        <v>25</v>
      </c>
      <c r="B45" s="28" t="s">
        <v>30</v>
      </c>
      <c r="C45" s="10">
        <f t="shared" si="3"/>
        <v>0.88</v>
      </c>
      <c r="D45" s="10">
        <f>'[23]road inventory 2018'!C45</f>
        <v>1.7</v>
      </c>
      <c r="E45" s="10">
        <v>0</v>
      </c>
      <c r="F45" s="10">
        <v>0</v>
      </c>
      <c r="G45" s="10">
        <v>0</v>
      </c>
      <c r="H45" s="10">
        <v>0.88</v>
      </c>
      <c r="I45" s="10">
        <v>0</v>
      </c>
      <c r="J45" s="103" t="s">
        <v>12</v>
      </c>
      <c r="K45" s="597" t="s">
        <v>348</v>
      </c>
      <c r="L45" s="28" t="s">
        <v>833</v>
      </c>
      <c r="M45" s="2"/>
      <c r="N45" s="581" t="s">
        <v>349</v>
      </c>
    </row>
    <row r="46" spans="1:17" s="26" customFormat="1" ht="16.5" customHeight="1" x14ac:dyDescent="0.35">
      <c r="A46" s="589">
        <v>26</v>
      </c>
      <c r="B46" s="24" t="s">
        <v>350</v>
      </c>
      <c r="C46" s="10">
        <f t="shared" si="3"/>
        <v>6.0600000000000005</v>
      </c>
      <c r="D46" s="615">
        <f>'[23]road inventory 2018'!C46</f>
        <v>5.9</v>
      </c>
      <c r="E46" s="15">
        <v>2.85</v>
      </c>
      <c r="F46" s="15">
        <v>0</v>
      </c>
      <c r="G46" s="15">
        <v>0</v>
      </c>
      <c r="H46" s="15">
        <v>3.21</v>
      </c>
      <c r="I46" s="15">
        <v>0</v>
      </c>
      <c r="J46" s="24" t="s">
        <v>12</v>
      </c>
      <c r="K46" s="591" t="s">
        <v>348</v>
      </c>
      <c r="L46" s="24"/>
      <c r="M46" s="593"/>
      <c r="N46" s="617"/>
    </row>
    <row r="47" spans="1:17" s="26" customFormat="1" ht="16.5" customHeight="1" x14ac:dyDescent="0.35">
      <c r="A47" s="589">
        <v>27</v>
      </c>
      <c r="B47" s="24" t="s">
        <v>224</v>
      </c>
      <c r="C47" s="10">
        <f t="shared" si="3"/>
        <v>1.93</v>
      </c>
      <c r="D47" s="615">
        <f>'[23]road inventory 2018'!C47</f>
        <v>1.9</v>
      </c>
      <c r="E47" s="15">
        <v>0.28000000000000003</v>
      </c>
      <c r="F47" s="15">
        <v>0</v>
      </c>
      <c r="G47" s="15">
        <v>0</v>
      </c>
      <c r="H47" s="15">
        <v>1.65</v>
      </c>
      <c r="I47" s="15">
        <v>0</v>
      </c>
      <c r="J47" s="106" t="s">
        <v>12</v>
      </c>
      <c r="K47" s="591" t="s">
        <v>351</v>
      </c>
      <c r="L47" s="24"/>
      <c r="M47" s="593"/>
      <c r="N47" s="617"/>
    </row>
    <row r="48" spans="1:17" s="26" customFormat="1" ht="16.5" customHeight="1" x14ac:dyDescent="0.35">
      <c r="A48" s="589">
        <v>28</v>
      </c>
      <c r="B48" s="24" t="s">
        <v>233</v>
      </c>
      <c r="C48" s="10">
        <f t="shared" si="3"/>
        <v>5.62</v>
      </c>
      <c r="D48" s="615">
        <f>'[23]road inventory 2018'!C48</f>
        <v>5.6</v>
      </c>
      <c r="E48" s="15">
        <v>1.54</v>
      </c>
      <c r="F48" s="15">
        <v>0</v>
      </c>
      <c r="G48" s="15">
        <v>0</v>
      </c>
      <c r="H48" s="15">
        <v>4.08</v>
      </c>
      <c r="I48" s="15">
        <v>0</v>
      </c>
      <c r="J48" s="106" t="s">
        <v>10</v>
      </c>
      <c r="K48" s="591" t="s">
        <v>352</v>
      </c>
      <c r="L48" s="24"/>
      <c r="M48" s="593"/>
      <c r="N48" s="617"/>
    </row>
    <row r="49" spans="1:14" s="26" customFormat="1" ht="16.5" customHeight="1" x14ac:dyDescent="0.35">
      <c r="A49" s="589">
        <v>29</v>
      </c>
      <c r="B49" s="24" t="s">
        <v>239</v>
      </c>
      <c r="C49" s="10">
        <f t="shared" si="3"/>
        <v>0.86</v>
      </c>
      <c r="D49" s="615">
        <f>'[23]road inventory 2018'!C49</f>
        <v>0.8</v>
      </c>
      <c r="E49" s="15">
        <v>0.11</v>
      </c>
      <c r="F49" s="15">
        <v>0</v>
      </c>
      <c r="G49" s="15">
        <v>0</v>
      </c>
      <c r="H49" s="15">
        <v>0.75</v>
      </c>
      <c r="I49" s="15">
        <v>0</v>
      </c>
      <c r="J49" s="106" t="s">
        <v>12</v>
      </c>
      <c r="K49" s="591" t="s">
        <v>353</v>
      </c>
      <c r="L49" s="24"/>
      <c r="M49" s="593"/>
      <c r="N49" s="617"/>
    </row>
    <row r="50" spans="1:14" s="1" customFormat="1" ht="16.5" customHeight="1" x14ac:dyDescent="0.35">
      <c r="A50" s="596">
        <v>30</v>
      </c>
      <c r="B50" s="28" t="s">
        <v>354</v>
      </c>
      <c r="C50" s="10">
        <f t="shared" si="3"/>
        <v>2</v>
      </c>
      <c r="D50" s="615">
        <f>'[23]road inventory 2018'!C50</f>
        <v>2</v>
      </c>
      <c r="E50" s="10">
        <v>1.5</v>
      </c>
      <c r="F50" s="10">
        <v>0</v>
      </c>
      <c r="G50" s="10">
        <v>0</v>
      </c>
      <c r="H50" s="10">
        <v>0.5</v>
      </c>
      <c r="I50" s="10">
        <v>0</v>
      </c>
      <c r="J50" s="103" t="s">
        <v>10</v>
      </c>
      <c r="K50" s="597" t="s">
        <v>355</v>
      </c>
      <c r="L50" s="28" t="s">
        <v>356</v>
      </c>
      <c r="M50" s="2"/>
      <c r="N50" s="581" t="s">
        <v>357</v>
      </c>
    </row>
    <row r="51" spans="1:14" s="26" customFormat="1" ht="16.5" customHeight="1" x14ac:dyDescent="0.35">
      <c r="A51" s="589">
        <v>106</v>
      </c>
      <c r="B51" s="24" t="s">
        <v>238</v>
      </c>
      <c r="C51" s="10">
        <f t="shared" si="3"/>
        <v>3.21</v>
      </c>
      <c r="D51" s="615">
        <f>'[23]road inventory 2018'!C51</f>
        <v>3.2</v>
      </c>
      <c r="E51" s="15">
        <v>3.21</v>
      </c>
      <c r="F51" s="15">
        <v>0</v>
      </c>
      <c r="G51" s="15">
        <v>0</v>
      </c>
      <c r="H51" s="15">
        <v>0</v>
      </c>
      <c r="I51" s="15">
        <v>0</v>
      </c>
      <c r="J51" s="106" t="s">
        <v>10</v>
      </c>
      <c r="K51" s="591" t="s">
        <v>358</v>
      </c>
      <c r="L51" s="24"/>
      <c r="M51" s="593"/>
      <c r="N51" s="617"/>
    </row>
    <row r="52" spans="1:14" s="26" customFormat="1" ht="16.5" customHeight="1" x14ac:dyDescent="0.35">
      <c r="A52" s="589">
        <v>31</v>
      </c>
      <c r="B52" s="24" t="s">
        <v>359</v>
      </c>
      <c r="C52" s="10">
        <f t="shared" si="3"/>
        <v>0.78</v>
      </c>
      <c r="D52" s="615">
        <f>'[23]road inventory 2018'!C52</f>
        <v>0.8</v>
      </c>
      <c r="E52" s="15">
        <v>0.78</v>
      </c>
      <c r="F52" s="15">
        <v>0</v>
      </c>
      <c r="G52" s="15">
        <v>0</v>
      </c>
      <c r="H52" s="15">
        <v>0</v>
      </c>
      <c r="I52" s="15">
        <v>0</v>
      </c>
      <c r="J52" s="106" t="s">
        <v>10</v>
      </c>
      <c r="K52" s="591" t="s">
        <v>360</v>
      </c>
      <c r="L52" s="24"/>
      <c r="M52" s="593"/>
      <c r="N52" s="617"/>
    </row>
    <row r="53" spans="1:14" s="1" customFormat="1" ht="16.5" customHeight="1" x14ac:dyDescent="0.35">
      <c r="A53" s="596">
        <v>32</v>
      </c>
      <c r="B53" s="28" t="s">
        <v>232</v>
      </c>
      <c r="C53" s="10">
        <f t="shared" si="3"/>
        <v>3.01</v>
      </c>
      <c r="D53" s="615">
        <f>'[23]road inventory 2018'!C53</f>
        <v>3</v>
      </c>
      <c r="E53" s="10">
        <v>0</v>
      </c>
      <c r="F53" s="10">
        <v>0</v>
      </c>
      <c r="G53" s="10">
        <v>0</v>
      </c>
      <c r="H53" s="10">
        <v>3.01</v>
      </c>
      <c r="I53" s="10">
        <v>0</v>
      </c>
      <c r="J53" s="757" t="s">
        <v>41</v>
      </c>
      <c r="K53" s="597" t="s">
        <v>361</v>
      </c>
      <c r="L53" s="28"/>
      <c r="M53" s="2"/>
      <c r="N53" s="581"/>
    </row>
    <row r="54" spans="1:14" s="1" customFormat="1" ht="16.5" customHeight="1" x14ac:dyDescent="0.35">
      <c r="A54" s="596">
        <v>33</v>
      </c>
      <c r="B54" s="28" t="s">
        <v>34</v>
      </c>
      <c r="C54" s="10">
        <f t="shared" si="3"/>
        <v>2.4</v>
      </c>
      <c r="D54" s="615">
        <f>'[23]road inventory 2018'!C54</f>
        <v>2.4</v>
      </c>
      <c r="E54" s="10">
        <v>0.25</v>
      </c>
      <c r="F54" s="10">
        <v>0</v>
      </c>
      <c r="G54" s="10">
        <v>0</v>
      </c>
      <c r="H54" s="10">
        <v>2.15</v>
      </c>
      <c r="I54" s="10">
        <v>0</v>
      </c>
      <c r="J54" s="758" t="s">
        <v>33</v>
      </c>
      <c r="K54" s="597" t="s">
        <v>362</v>
      </c>
      <c r="L54" s="28"/>
      <c r="M54" s="2"/>
      <c r="N54" s="581"/>
    </row>
    <row r="55" spans="1:14" s="1" customFormat="1" ht="16.5" customHeight="1" x14ac:dyDescent="0.35">
      <c r="A55" s="596">
        <v>34</v>
      </c>
      <c r="B55" s="28" t="s">
        <v>235</v>
      </c>
      <c r="C55" s="10">
        <f t="shared" si="3"/>
        <v>4.3099999999999996</v>
      </c>
      <c r="D55" s="615">
        <f>'[23]road inventory 2018'!C55</f>
        <v>4.2</v>
      </c>
      <c r="E55" s="10">
        <v>0</v>
      </c>
      <c r="F55" s="10">
        <v>0</v>
      </c>
      <c r="G55" s="10">
        <v>0</v>
      </c>
      <c r="H55" s="10">
        <v>4.3099999999999996</v>
      </c>
      <c r="I55" s="10">
        <v>0</v>
      </c>
      <c r="J55" s="103" t="s">
        <v>12</v>
      </c>
      <c r="K55" s="597" t="s">
        <v>363</v>
      </c>
      <c r="L55" s="28"/>
      <c r="M55" s="2"/>
      <c r="N55" s="581"/>
    </row>
    <row r="56" spans="1:14" s="26" customFormat="1" ht="16.5" customHeight="1" x14ac:dyDescent="0.35">
      <c r="A56" s="589">
        <v>35</v>
      </c>
      <c r="B56" s="24" t="s">
        <v>364</v>
      </c>
      <c r="C56" s="10">
        <f t="shared" si="3"/>
        <v>2.9699999999999998</v>
      </c>
      <c r="D56" s="615">
        <f>'[23]road inventory 2018'!C56</f>
        <v>3</v>
      </c>
      <c r="E56" s="15">
        <v>0.4</v>
      </c>
      <c r="F56" s="15">
        <v>0</v>
      </c>
      <c r="G56" s="15">
        <v>0</v>
      </c>
      <c r="H56" s="15">
        <v>2.57</v>
      </c>
      <c r="I56" s="15">
        <v>0</v>
      </c>
      <c r="J56" s="106" t="s">
        <v>12</v>
      </c>
      <c r="K56" s="591" t="s">
        <v>365</v>
      </c>
      <c r="L56" s="24"/>
      <c r="M56" s="593"/>
      <c r="N56" s="617"/>
    </row>
    <row r="57" spans="1:14" s="26" customFormat="1" ht="16.5" customHeight="1" x14ac:dyDescent="0.35">
      <c r="A57" s="589">
        <v>36</v>
      </c>
      <c r="B57" s="24" t="s">
        <v>366</v>
      </c>
      <c r="C57" s="10">
        <f t="shared" si="3"/>
        <v>6.01</v>
      </c>
      <c r="D57" s="615">
        <f>'[23]road inventory 2018'!C57</f>
        <v>6.2</v>
      </c>
      <c r="E57" s="15">
        <v>0</v>
      </c>
      <c r="F57" s="15">
        <v>0</v>
      </c>
      <c r="G57" s="15">
        <v>0</v>
      </c>
      <c r="H57" s="15">
        <v>6.01</v>
      </c>
      <c r="I57" s="15">
        <v>0</v>
      </c>
      <c r="J57" s="106" t="s">
        <v>12</v>
      </c>
      <c r="K57" s="591" t="s">
        <v>367</v>
      </c>
      <c r="L57" s="24"/>
      <c r="M57" s="593"/>
      <c r="N57" s="617"/>
    </row>
    <row r="58" spans="1:14" s="26" customFormat="1" ht="16.5" customHeight="1" x14ac:dyDescent="0.35">
      <c r="A58" s="589">
        <v>37</v>
      </c>
      <c r="B58" s="24" t="s">
        <v>234</v>
      </c>
      <c r="C58" s="10">
        <f t="shared" si="3"/>
        <v>1.6</v>
      </c>
      <c r="D58" s="615">
        <f>'[23]road inventory 2018'!C58</f>
        <v>1.6</v>
      </c>
      <c r="E58" s="15">
        <v>0</v>
      </c>
      <c r="F58" s="15">
        <v>0</v>
      </c>
      <c r="G58" s="15">
        <v>0</v>
      </c>
      <c r="H58" s="15">
        <v>1.6</v>
      </c>
      <c r="I58" s="15">
        <v>0</v>
      </c>
      <c r="J58" s="106" t="s">
        <v>12</v>
      </c>
      <c r="K58" s="591" t="s">
        <v>368</v>
      </c>
      <c r="L58" s="24"/>
      <c r="M58" s="593"/>
      <c r="N58" s="617"/>
    </row>
    <row r="59" spans="1:14" s="625" customFormat="1" ht="16.5" customHeight="1" x14ac:dyDescent="0.35">
      <c r="A59" s="618">
        <v>38</v>
      </c>
      <c r="B59" s="619" t="s">
        <v>36</v>
      </c>
      <c r="C59" s="620">
        <f t="shared" si="3"/>
        <v>3.9</v>
      </c>
      <c r="D59" s="620">
        <f>'[23]road inventory 2018'!C59</f>
        <v>4.4000000000000004</v>
      </c>
      <c r="E59" s="620">
        <v>1.504</v>
      </c>
      <c r="F59" s="620">
        <v>0</v>
      </c>
      <c r="G59" s="620">
        <v>0</v>
      </c>
      <c r="H59" s="620">
        <v>2.3959999999999999</v>
      </c>
      <c r="I59" s="620">
        <v>0</v>
      </c>
      <c r="J59" s="621" t="s">
        <v>12</v>
      </c>
      <c r="K59" s="622" t="s">
        <v>369</v>
      </c>
      <c r="L59" s="619"/>
      <c r="M59" s="623"/>
      <c r="N59" s="624"/>
    </row>
    <row r="60" spans="1:14" s="26" customFormat="1" ht="16.5" customHeight="1" x14ac:dyDescent="0.35">
      <c r="A60" s="589">
        <v>39</v>
      </c>
      <c r="B60" s="24" t="s">
        <v>370</v>
      </c>
      <c r="C60" s="10">
        <f t="shared" si="3"/>
        <v>4.9400000000000004</v>
      </c>
      <c r="D60" s="615">
        <f>'[23]road inventory 2018'!C60</f>
        <v>4.9000000000000004</v>
      </c>
      <c r="E60" s="15">
        <v>0</v>
      </c>
      <c r="F60" s="15">
        <v>0</v>
      </c>
      <c r="G60" s="15">
        <v>0</v>
      </c>
      <c r="H60" s="15">
        <v>4.9400000000000004</v>
      </c>
      <c r="I60" s="15">
        <v>0</v>
      </c>
      <c r="J60" s="106" t="s">
        <v>12</v>
      </c>
      <c r="K60" s="591" t="s">
        <v>371</v>
      </c>
      <c r="L60" s="24"/>
      <c r="M60" s="593"/>
      <c r="N60" s="775">
        <f>C34+C68+C81+C88+C105+C144+C165+C174+C199+C214+C229+C241+C262+C280+C295+C313+C322+C342+C357+C368+C377</f>
        <v>1244.0150000000001</v>
      </c>
    </row>
    <row r="61" spans="1:14" s="26" customFormat="1" ht="16.5" customHeight="1" x14ac:dyDescent="0.35">
      <c r="A61" s="589">
        <v>105</v>
      </c>
      <c r="B61" s="24" t="s">
        <v>228</v>
      </c>
      <c r="C61" s="10">
        <f t="shared" si="3"/>
        <v>3.65</v>
      </c>
      <c r="D61" s="615">
        <f>'[23]road inventory 2018'!C61</f>
        <v>3.6</v>
      </c>
      <c r="E61" s="15">
        <v>0</v>
      </c>
      <c r="F61" s="15">
        <v>0</v>
      </c>
      <c r="G61" s="15">
        <v>0</v>
      </c>
      <c r="H61" s="15">
        <v>3.65</v>
      </c>
      <c r="I61" s="15">
        <v>0</v>
      </c>
      <c r="J61" s="106" t="s">
        <v>12</v>
      </c>
      <c r="K61" s="591" t="s">
        <v>372</v>
      </c>
      <c r="L61" s="24"/>
      <c r="M61" s="593"/>
      <c r="N61" s="617"/>
    </row>
    <row r="62" spans="1:14" s="1" customFormat="1" ht="16.5" customHeight="1" x14ac:dyDescent="0.35">
      <c r="A62" s="596">
        <v>40</v>
      </c>
      <c r="B62" s="28" t="s">
        <v>231</v>
      </c>
      <c r="C62" s="10">
        <f t="shared" si="3"/>
        <v>1.55</v>
      </c>
      <c r="D62" s="615">
        <f>'[23]road inventory 2018'!C62</f>
        <v>1.5</v>
      </c>
      <c r="E62" s="10">
        <v>1.22</v>
      </c>
      <c r="F62" s="10">
        <v>0</v>
      </c>
      <c r="G62" s="10">
        <v>0</v>
      </c>
      <c r="H62" s="10">
        <v>0.33</v>
      </c>
      <c r="I62" s="10">
        <v>0</v>
      </c>
      <c r="J62" s="757" t="s">
        <v>33</v>
      </c>
      <c r="K62" s="597" t="s">
        <v>373</v>
      </c>
      <c r="L62" s="28"/>
      <c r="M62" s="2"/>
      <c r="N62" s="581"/>
    </row>
    <row r="63" spans="1:14" s="1" customFormat="1" ht="16.5" customHeight="1" x14ac:dyDescent="0.35">
      <c r="A63" s="596">
        <v>41</v>
      </c>
      <c r="B63" s="28" t="s">
        <v>230</v>
      </c>
      <c r="C63" s="10">
        <f t="shared" si="3"/>
        <v>2.81</v>
      </c>
      <c r="D63" s="615">
        <f>'[23]road inventory 2018'!C63</f>
        <v>2.8</v>
      </c>
      <c r="E63" s="10">
        <v>0</v>
      </c>
      <c r="F63" s="10">
        <v>0</v>
      </c>
      <c r="G63" s="10">
        <v>0</v>
      </c>
      <c r="H63" s="10">
        <v>2.81</v>
      </c>
      <c r="I63" s="10">
        <v>0</v>
      </c>
      <c r="J63" s="757" t="s">
        <v>33</v>
      </c>
      <c r="K63" s="597" t="s">
        <v>374</v>
      </c>
      <c r="L63" s="28"/>
      <c r="M63" s="2"/>
      <c r="N63" s="581"/>
    </row>
    <row r="64" spans="1:14" s="26" customFormat="1" ht="16.5" customHeight="1" x14ac:dyDescent="0.35">
      <c r="A64" s="589">
        <v>42</v>
      </c>
      <c r="B64" s="24" t="s">
        <v>227</v>
      </c>
      <c r="C64" s="10">
        <f t="shared" si="3"/>
        <v>1.5</v>
      </c>
      <c r="D64" s="615">
        <f>'[23]road inventory 2018'!C64</f>
        <v>1.5</v>
      </c>
      <c r="E64" s="15">
        <v>0</v>
      </c>
      <c r="F64" s="15">
        <v>0</v>
      </c>
      <c r="G64" s="15">
        <v>0</v>
      </c>
      <c r="H64" s="15">
        <v>1.5</v>
      </c>
      <c r="I64" s="15">
        <v>0</v>
      </c>
      <c r="J64" s="106" t="s">
        <v>12</v>
      </c>
      <c r="K64" s="591" t="s">
        <v>375</v>
      </c>
      <c r="L64" s="24"/>
      <c r="M64" s="593"/>
      <c r="N64" s="617"/>
    </row>
    <row r="65" spans="1:17" s="1" customFormat="1" ht="16.5" customHeight="1" x14ac:dyDescent="0.35">
      <c r="A65" s="596">
        <v>43</v>
      </c>
      <c r="B65" s="28" t="s">
        <v>226</v>
      </c>
      <c r="C65" s="10">
        <v>12.7</v>
      </c>
      <c r="D65" s="615">
        <f>'[23]road inventory 2018'!C65</f>
        <v>12.7</v>
      </c>
      <c r="E65" s="10">
        <v>0.16</v>
      </c>
      <c r="F65" s="10">
        <v>0</v>
      </c>
      <c r="G65" s="10">
        <v>0</v>
      </c>
      <c r="H65" s="10">
        <f>C65-E65</f>
        <v>12.54</v>
      </c>
      <c r="I65" s="10">
        <v>0</v>
      </c>
      <c r="J65" s="757" t="s">
        <v>41</v>
      </c>
      <c r="K65" s="597" t="s">
        <v>376</v>
      </c>
      <c r="L65" s="28" t="s">
        <v>833</v>
      </c>
      <c r="M65" s="2"/>
      <c r="N65" s="581" t="s">
        <v>377</v>
      </c>
      <c r="Q65" s="22">
        <f>D65-C65</f>
        <v>0</v>
      </c>
    </row>
    <row r="66" spans="1:17" s="1" customFormat="1" ht="16.5" customHeight="1" x14ac:dyDescent="0.35">
      <c r="A66" s="596">
        <v>44</v>
      </c>
      <c r="B66" s="28" t="s">
        <v>229</v>
      </c>
      <c r="C66" s="10">
        <f t="shared" si="3"/>
        <v>5.52</v>
      </c>
      <c r="D66" s="615">
        <f>'[23]road inventory 2018'!C66</f>
        <v>5.3</v>
      </c>
      <c r="E66" s="10">
        <v>0</v>
      </c>
      <c r="F66" s="10">
        <v>0</v>
      </c>
      <c r="G66" s="10">
        <v>0</v>
      </c>
      <c r="H66" s="10">
        <v>5.52</v>
      </c>
      <c r="I66" s="10">
        <v>0</v>
      </c>
      <c r="J66" s="757" t="s">
        <v>41</v>
      </c>
      <c r="K66" s="597" t="s">
        <v>378</v>
      </c>
      <c r="L66" s="28"/>
      <c r="M66" s="2"/>
      <c r="N66" s="581"/>
    </row>
    <row r="67" spans="1:17" s="26" customFormat="1" ht="16.5" customHeight="1" x14ac:dyDescent="0.35">
      <c r="A67" s="589">
        <v>104</v>
      </c>
      <c r="B67" s="24" t="s">
        <v>240</v>
      </c>
      <c r="C67" s="10">
        <f t="shared" si="3"/>
        <v>3.13</v>
      </c>
      <c r="D67" s="615">
        <f>'[23]road inventory 2018'!C67</f>
        <v>3.1</v>
      </c>
      <c r="E67" s="15">
        <v>0</v>
      </c>
      <c r="F67" s="15">
        <v>0</v>
      </c>
      <c r="G67" s="15">
        <v>0</v>
      </c>
      <c r="H67" s="15">
        <v>3.13</v>
      </c>
      <c r="I67" s="15">
        <v>0</v>
      </c>
      <c r="J67" s="106" t="s">
        <v>12</v>
      </c>
      <c r="K67" s="591" t="s">
        <v>379</v>
      </c>
      <c r="L67" s="24"/>
      <c r="M67" s="593"/>
      <c r="N67" s="617"/>
    </row>
    <row r="68" spans="1:17" s="26" customFormat="1" ht="16.5" customHeight="1" x14ac:dyDescent="0.35">
      <c r="A68" s="626"/>
      <c r="B68" s="60"/>
      <c r="C68" s="61">
        <f t="shared" ref="C68:I68" si="4">SUM(C41:C67)</f>
        <v>102.33999999999999</v>
      </c>
      <c r="D68" s="627">
        <f t="shared" si="4"/>
        <v>102.1</v>
      </c>
      <c r="E68" s="61">
        <f t="shared" si="4"/>
        <v>29.064</v>
      </c>
      <c r="F68" s="61">
        <f t="shared" si="4"/>
        <v>0</v>
      </c>
      <c r="G68" s="61">
        <f t="shared" si="4"/>
        <v>0</v>
      </c>
      <c r="H68" s="61">
        <f t="shared" si="4"/>
        <v>73.275999999999996</v>
      </c>
      <c r="I68" s="61">
        <f t="shared" si="4"/>
        <v>0</v>
      </c>
      <c r="J68" s="628"/>
      <c r="K68" s="629"/>
      <c r="L68" s="24"/>
      <c r="M68" s="593"/>
      <c r="N68" s="617"/>
    </row>
    <row r="69" spans="1:17" s="1" customFormat="1" ht="24" customHeight="1" thickBot="1" x14ac:dyDescent="0.4">
      <c r="A69" s="53" t="s">
        <v>341</v>
      </c>
      <c r="B69" s="34"/>
      <c r="C69" s="31">
        <f>SUM(E69:I69)</f>
        <v>102.34</v>
      </c>
      <c r="D69" s="630"/>
      <c r="E69" s="31">
        <f>SUM(E41:E67)</f>
        <v>29.064</v>
      </c>
      <c r="F69" s="31">
        <f>SUM(F41:F67)</f>
        <v>0</v>
      </c>
      <c r="G69" s="31">
        <f>SUM(G41:G67)</f>
        <v>0</v>
      </c>
      <c r="H69" s="31">
        <f>SUM(H41:H67)</f>
        <v>73.275999999999996</v>
      </c>
      <c r="I69" s="31">
        <f>SUM(I41:I67)</f>
        <v>0</v>
      </c>
      <c r="J69" s="608"/>
      <c r="K69" s="609"/>
      <c r="L69" s="97"/>
      <c r="M69" s="21"/>
      <c r="N69" s="581"/>
    </row>
    <row r="70" spans="1:17" s="1" customFormat="1" x14ac:dyDescent="0.35">
      <c r="A70" s="1217" t="s">
        <v>380</v>
      </c>
      <c r="B70" s="1218"/>
      <c r="C70" s="1218"/>
      <c r="D70" s="1218"/>
      <c r="E70" s="1218"/>
      <c r="F70" s="1218"/>
      <c r="G70" s="1218"/>
      <c r="H70" s="1218"/>
      <c r="I70" s="1218"/>
      <c r="J70" s="1218"/>
      <c r="K70" s="1218"/>
      <c r="L70" s="1219"/>
      <c r="M70" s="584"/>
      <c r="N70" s="581"/>
    </row>
    <row r="71" spans="1:17" s="1" customFormat="1" ht="16" thickBot="1" x14ac:dyDescent="0.4">
      <c r="A71" s="585"/>
      <c r="B71" s="2"/>
      <c r="C71" s="5"/>
      <c r="D71" s="586"/>
      <c r="E71" s="5"/>
      <c r="F71" s="5"/>
      <c r="G71" s="5"/>
      <c r="H71" s="5"/>
      <c r="I71" s="5"/>
      <c r="J71" s="3"/>
      <c r="K71" s="21"/>
      <c r="L71" s="631"/>
      <c r="M71" s="21"/>
      <c r="N71" s="581"/>
    </row>
    <row r="72" spans="1:17" s="1" customFormat="1" ht="21" customHeight="1" x14ac:dyDescent="0.35">
      <c r="A72" s="1206" t="s">
        <v>302</v>
      </c>
      <c r="B72" s="1208" t="s">
        <v>28</v>
      </c>
      <c r="C72" s="1210" t="s">
        <v>343</v>
      </c>
      <c r="D72" s="613"/>
      <c r="E72" s="1212" t="s">
        <v>305</v>
      </c>
      <c r="F72" s="1212"/>
      <c r="G72" s="1212"/>
      <c r="H72" s="1212"/>
      <c r="I72" s="1212"/>
      <c r="J72" s="1208" t="s">
        <v>29</v>
      </c>
      <c r="K72" s="1213" t="s">
        <v>306</v>
      </c>
      <c r="L72" s="1226" t="s">
        <v>307</v>
      </c>
      <c r="M72" s="588"/>
      <c r="N72" s="581"/>
    </row>
    <row r="73" spans="1:17" s="1" customFormat="1" ht="21" customHeight="1" thickBot="1" x14ac:dyDescent="0.4">
      <c r="A73" s="1207"/>
      <c r="B73" s="1209"/>
      <c r="C73" s="1211"/>
      <c r="D73" s="614"/>
      <c r="E73" s="7" t="s">
        <v>308</v>
      </c>
      <c r="F73" s="7" t="s">
        <v>309</v>
      </c>
      <c r="G73" s="7" t="s">
        <v>310</v>
      </c>
      <c r="H73" s="7" t="s">
        <v>311</v>
      </c>
      <c r="I73" s="7" t="s">
        <v>312</v>
      </c>
      <c r="J73" s="1209"/>
      <c r="K73" s="1214"/>
      <c r="L73" s="1227"/>
      <c r="M73" s="588"/>
      <c r="N73" s="581"/>
    </row>
    <row r="74" spans="1:17" s="26" customFormat="1" ht="16.5" customHeight="1" x14ac:dyDescent="0.35">
      <c r="A74" s="589">
        <v>107</v>
      </c>
      <c r="B74" s="24" t="s">
        <v>381</v>
      </c>
      <c r="C74" s="15">
        <f>SUM(E74:I74)</f>
        <v>2.59</v>
      </c>
      <c r="D74" s="590">
        <f>'[23]road inventory 2018'!C73</f>
        <v>2.5</v>
      </c>
      <c r="E74" s="632">
        <v>1.07</v>
      </c>
      <c r="F74" s="632">
        <v>0</v>
      </c>
      <c r="G74" s="632">
        <v>0</v>
      </c>
      <c r="H74" s="15">
        <v>1.52</v>
      </c>
      <c r="I74" s="15">
        <v>0</v>
      </c>
      <c r="J74" s="106" t="s">
        <v>12</v>
      </c>
      <c r="K74" s="591" t="s">
        <v>382</v>
      </c>
      <c r="L74" s="592"/>
      <c r="M74" s="593"/>
      <c r="N74" s="617"/>
    </row>
    <row r="75" spans="1:17" s="26" customFormat="1" ht="16.5" customHeight="1" x14ac:dyDescent="0.35">
      <c r="A75" s="589">
        <v>102</v>
      </c>
      <c r="B75" s="24" t="s">
        <v>242</v>
      </c>
      <c r="C75" s="15">
        <f t="shared" ref="C75:C80" si="5">SUM(E75:I75)</f>
        <v>1.33</v>
      </c>
      <c r="D75" s="590">
        <f>'[23]road inventory 2018'!C74</f>
        <v>1.3</v>
      </c>
      <c r="E75" s="632">
        <v>0</v>
      </c>
      <c r="F75" s="632">
        <v>0</v>
      </c>
      <c r="G75" s="632">
        <v>0</v>
      </c>
      <c r="H75" s="15">
        <v>1.33</v>
      </c>
      <c r="I75" s="15">
        <v>0</v>
      </c>
      <c r="J75" s="106" t="s">
        <v>12</v>
      </c>
      <c r="K75" s="591" t="s">
        <v>383</v>
      </c>
      <c r="L75" s="24"/>
      <c r="M75" s="593"/>
      <c r="N75" s="617"/>
    </row>
    <row r="76" spans="1:17" s="1" customFormat="1" ht="16.5" customHeight="1" x14ac:dyDescent="0.35">
      <c r="A76" s="596">
        <v>101</v>
      </c>
      <c r="B76" s="28" t="s">
        <v>384</v>
      </c>
      <c r="C76" s="15">
        <f t="shared" si="5"/>
        <v>0</v>
      </c>
      <c r="D76" s="615">
        <f>'[23]road inventory 2018'!C75</f>
        <v>0.6</v>
      </c>
      <c r="E76" s="633">
        <v>0</v>
      </c>
      <c r="F76" s="633">
        <v>0</v>
      </c>
      <c r="G76" s="633">
        <v>0</v>
      </c>
      <c r="H76" s="10">
        <v>0</v>
      </c>
      <c r="I76" s="10">
        <v>0</v>
      </c>
      <c r="J76" s="103" t="s">
        <v>10</v>
      </c>
      <c r="K76" s="597" t="s">
        <v>385</v>
      </c>
      <c r="L76" s="28" t="s">
        <v>356</v>
      </c>
      <c r="M76" s="2"/>
      <c r="N76" s="581" t="s">
        <v>386</v>
      </c>
    </row>
    <row r="77" spans="1:17" s="26" customFormat="1" ht="16.5" customHeight="1" x14ac:dyDescent="0.35">
      <c r="A77" s="589">
        <v>47</v>
      </c>
      <c r="B77" s="24" t="s">
        <v>38</v>
      </c>
      <c r="C77" s="15">
        <f t="shared" si="5"/>
        <v>17.2</v>
      </c>
      <c r="D77" s="590">
        <f>'[23]road inventory 2018'!C76</f>
        <v>17</v>
      </c>
      <c r="E77" s="15">
        <v>0.27</v>
      </c>
      <c r="F77" s="632">
        <v>0</v>
      </c>
      <c r="G77" s="632">
        <v>0</v>
      </c>
      <c r="H77" s="15">
        <v>16.93</v>
      </c>
      <c r="I77" s="15">
        <v>0</v>
      </c>
      <c r="J77" s="106" t="s">
        <v>12</v>
      </c>
      <c r="K77" s="591" t="s">
        <v>387</v>
      </c>
      <c r="L77" s="24"/>
      <c r="M77" s="593"/>
      <c r="N77" s="617"/>
    </row>
    <row r="78" spans="1:17" s="26" customFormat="1" ht="16.5" customHeight="1" x14ac:dyDescent="0.35">
      <c r="A78" s="589">
        <v>48</v>
      </c>
      <c r="B78" s="24" t="s">
        <v>388</v>
      </c>
      <c r="C78" s="15">
        <f t="shared" si="5"/>
        <v>2.63</v>
      </c>
      <c r="D78" s="590">
        <f>'[23]road inventory 2018'!C77</f>
        <v>2.6</v>
      </c>
      <c r="E78" s="632">
        <v>0</v>
      </c>
      <c r="F78" s="632">
        <v>0</v>
      </c>
      <c r="G78" s="632">
        <v>0</v>
      </c>
      <c r="H78" s="15">
        <v>2.63</v>
      </c>
      <c r="I78" s="15">
        <v>0</v>
      </c>
      <c r="J78" s="106" t="s">
        <v>12</v>
      </c>
      <c r="K78" s="591" t="s">
        <v>389</v>
      </c>
      <c r="L78" s="24"/>
      <c r="M78" s="593"/>
      <c r="N78" s="617"/>
    </row>
    <row r="79" spans="1:17" s="26" customFormat="1" ht="16.5" customHeight="1" x14ac:dyDescent="0.35">
      <c r="A79" s="589">
        <v>90</v>
      </c>
      <c r="B79" s="24" t="s">
        <v>390</v>
      </c>
      <c r="C79" s="15">
        <f t="shared" si="5"/>
        <v>4.2699999999999996</v>
      </c>
      <c r="D79" s="590">
        <f>'[23]road inventory 2018'!C78</f>
        <v>4.3499999999999996</v>
      </c>
      <c r="E79" s="632">
        <v>0</v>
      </c>
      <c r="F79" s="632">
        <v>0</v>
      </c>
      <c r="G79" s="632">
        <v>0</v>
      </c>
      <c r="H79" s="15">
        <v>4.2699999999999996</v>
      </c>
      <c r="I79" s="15">
        <v>0</v>
      </c>
      <c r="J79" s="106" t="s">
        <v>12</v>
      </c>
      <c r="K79" s="591" t="s">
        <v>391</v>
      </c>
      <c r="L79" s="24"/>
      <c r="M79" s="593"/>
      <c r="N79" s="617"/>
    </row>
    <row r="80" spans="1:17" s="625" customFormat="1" ht="16.5" customHeight="1" x14ac:dyDescent="0.35">
      <c r="A80" s="618">
        <v>99</v>
      </c>
      <c r="B80" s="619" t="s">
        <v>392</v>
      </c>
      <c r="C80" s="620">
        <f t="shared" si="5"/>
        <v>14.139999999999999</v>
      </c>
      <c r="D80" s="634">
        <f>'[23]road inventory 2018'!C79</f>
        <v>14.1</v>
      </c>
      <c r="E80" s="620">
        <v>2.1</v>
      </c>
      <c r="F80" s="620">
        <v>0</v>
      </c>
      <c r="G80" s="620">
        <v>0</v>
      </c>
      <c r="H80" s="620">
        <v>12.04</v>
      </c>
      <c r="I80" s="620">
        <v>0</v>
      </c>
      <c r="J80" s="621" t="s">
        <v>12</v>
      </c>
      <c r="K80" s="622" t="s">
        <v>393</v>
      </c>
      <c r="L80" s="619"/>
      <c r="M80" s="623"/>
      <c r="N80" s="624"/>
    </row>
    <row r="81" spans="1:14" s="1" customFormat="1" ht="16.5" customHeight="1" x14ac:dyDescent="0.35">
      <c r="A81" s="635"/>
      <c r="B81" s="40"/>
      <c r="C81" s="41">
        <f t="shared" ref="C81:H81" si="6">SUM(C74:C80)</f>
        <v>42.16</v>
      </c>
      <c r="D81" s="636">
        <f t="shared" si="6"/>
        <v>42.45</v>
      </c>
      <c r="E81" s="41">
        <f t="shared" si="6"/>
        <v>3.4400000000000004</v>
      </c>
      <c r="F81" s="41">
        <f t="shared" si="6"/>
        <v>0</v>
      </c>
      <c r="G81" s="41">
        <f t="shared" si="6"/>
        <v>0</v>
      </c>
      <c r="H81" s="41">
        <f t="shared" si="6"/>
        <v>38.72</v>
      </c>
      <c r="I81" s="41"/>
      <c r="J81" s="109"/>
      <c r="K81" s="605"/>
      <c r="L81" s="28"/>
      <c r="M81" s="2"/>
      <c r="N81" s="581"/>
    </row>
    <row r="82" spans="1:14" s="1" customFormat="1" ht="23.25" customHeight="1" thickBot="1" x14ac:dyDescent="0.4">
      <c r="A82" s="53" t="s">
        <v>341</v>
      </c>
      <c r="B82" s="34"/>
      <c r="C82" s="31">
        <f>SUM(E82:I82)</f>
        <v>42.16</v>
      </c>
      <c r="D82" s="630"/>
      <c r="E82" s="31">
        <f>SUM(E74:E80)</f>
        <v>3.4400000000000004</v>
      </c>
      <c r="F82" s="31">
        <f>SUM(F74:F80)</f>
        <v>0</v>
      </c>
      <c r="G82" s="31">
        <f>SUM(G74:G80)</f>
        <v>0</v>
      </c>
      <c r="H82" s="31">
        <f>SUM(H74:H80)</f>
        <v>38.72</v>
      </c>
      <c r="I82" s="31">
        <f>SUM(I74:I80)</f>
        <v>0</v>
      </c>
      <c r="J82" s="608"/>
      <c r="K82" s="609"/>
      <c r="L82" s="97"/>
      <c r="M82" s="21"/>
      <c r="N82" s="581"/>
    </row>
    <row r="83" spans="1:14" s="1" customFormat="1" ht="15" customHeight="1" thickBot="1" x14ac:dyDescent="0.4">
      <c r="A83" s="544"/>
      <c r="B83" s="35"/>
      <c r="C83" s="22"/>
      <c r="D83" s="610"/>
      <c r="E83" s="22"/>
      <c r="F83" s="22"/>
      <c r="G83" s="22"/>
      <c r="H83" s="22"/>
      <c r="I83" s="22"/>
      <c r="K83" s="21"/>
      <c r="L83" s="611"/>
      <c r="M83" s="21"/>
      <c r="N83" s="581"/>
    </row>
    <row r="84" spans="1:14" s="1" customFormat="1" x14ac:dyDescent="0.35">
      <c r="A84" s="1217" t="s">
        <v>394</v>
      </c>
      <c r="B84" s="1218"/>
      <c r="C84" s="1218"/>
      <c r="D84" s="1218"/>
      <c r="E84" s="1218"/>
      <c r="F84" s="1218"/>
      <c r="G84" s="1218"/>
      <c r="H84" s="1218"/>
      <c r="I84" s="1218"/>
      <c r="J84" s="1218"/>
      <c r="K84" s="1218"/>
      <c r="L84" s="1219"/>
      <c r="M84" s="584"/>
      <c r="N84" s="581"/>
    </row>
    <row r="85" spans="1:14" s="1" customFormat="1" ht="16" thickBot="1" x14ac:dyDescent="0.4">
      <c r="A85" s="585"/>
      <c r="B85" s="2"/>
      <c r="C85" s="5"/>
      <c r="D85" s="586"/>
      <c r="E85" s="5"/>
      <c r="F85" s="5"/>
      <c r="G85" s="5"/>
      <c r="H85" s="5"/>
      <c r="I85" s="5"/>
      <c r="J85" s="3"/>
      <c r="K85" s="21"/>
      <c r="L85" s="637"/>
      <c r="M85" s="21"/>
      <c r="N85" s="581"/>
    </row>
    <row r="86" spans="1:14" s="1" customFormat="1" ht="21" customHeight="1" x14ac:dyDescent="0.35">
      <c r="A86" s="1206" t="s">
        <v>302</v>
      </c>
      <c r="B86" s="1208" t="s">
        <v>28</v>
      </c>
      <c r="C86" s="1210" t="s">
        <v>343</v>
      </c>
      <c r="D86" s="613"/>
      <c r="E86" s="1212" t="s">
        <v>305</v>
      </c>
      <c r="F86" s="1212"/>
      <c r="G86" s="1212"/>
      <c r="H86" s="1212"/>
      <c r="I86" s="1212"/>
      <c r="J86" s="1208" t="s">
        <v>29</v>
      </c>
      <c r="K86" s="1213" t="s">
        <v>306</v>
      </c>
      <c r="L86" s="1226" t="s">
        <v>307</v>
      </c>
      <c r="M86" s="588"/>
      <c r="N86" s="581"/>
    </row>
    <row r="87" spans="1:14" s="1" customFormat="1" ht="21" customHeight="1" thickBot="1" x14ac:dyDescent="0.4">
      <c r="A87" s="1207"/>
      <c r="B87" s="1209"/>
      <c r="C87" s="1211"/>
      <c r="D87" s="614"/>
      <c r="E87" s="7" t="s">
        <v>308</v>
      </c>
      <c r="F87" s="7" t="s">
        <v>309</v>
      </c>
      <c r="G87" s="7" t="s">
        <v>310</v>
      </c>
      <c r="H87" s="7" t="s">
        <v>311</v>
      </c>
      <c r="I87" s="7" t="s">
        <v>312</v>
      </c>
      <c r="J87" s="1209"/>
      <c r="K87" s="1214"/>
      <c r="L87" s="1227"/>
      <c r="M87" s="588"/>
      <c r="N87" s="581"/>
    </row>
    <row r="88" spans="1:14" s="642" customFormat="1" ht="36.75" customHeight="1" x14ac:dyDescent="0.35">
      <c r="A88" s="638">
        <v>108</v>
      </c>
      <c r="B88" s="24" t="s">
        <v>395</v>
      </c>
      <c r="C88" s="639">
        <f>E88+F88+G88+H88+I88</f>
        <v>3.28</v>
      </c>
      <c r="D88" s="640">
        <f>'[23]road inventory 2018'!C86</f>
        <v>3.1</v>
      </c>
      <c r="E88" s="639">
        <v>0.48</v>
      </c>
      <c r="F88" s="639">
        <v>0</v>
      </c>
      <c r="G88" s="639">
        <v>0</v>
      </c>
      <c r="H88" s="110">
        <v>2.8</v>
      </c>
      <c r="I88" s="110">
        <v>0</v>
      </c>
      <c r="J88" s="24" t="s">
        <v>12</v>
      </c>
      <c r="K88" s="591" t="s">
        <v>396</v>
      </c>
      <c r="L88" s="592"/>
      <c r="M88" s="593"/>
      <c r="N88" s="641"/>
    </row>
    <row r="89" spans="1:14" s="1" customFormat="1" ht="26.25" customHeight="1" thickBot="1" x14ac:dyDescent="0.4">
      <c r="A89" s="53" t="s">
        <v>341</v>
      </c>
      <c r="B89" s="34"/>
      <c r="C89" s="31">
        <f>SUM(C88:C88)</f>
        <v>3.28</v>
      </c>
      <c r="D89" s="630"/>
      <c r="E89" s="31">
        <f>SUM(E88:E88)</f>
        <v>0.48</v>
      </c>
      <c r="F89" s="31">
        <f>SUM(F88:F88)</f>
        <v>0</v>
      </c>
      <c r="G89" s="31">
        <f>SUM(G88:G88)</f>
        <v>0</v>
      </c>
      <c r="H89" s="31">
        <f>SUM(H88:H88)</f>
        <v>2.8</v>
      </c>
      <c r="I89" s="31">
        <f>SUM(I88:I88)</f>
        <v>0</v>
      </c>
      <c r="J89" s="643"/>
      <c r="K89" s="644"/>
      <c r="L89" s="40"/>
      <c r="M89" s="2"/>
      <c r="N89" s="581"/>
    </row>
    <row r="90" spans="1:14" s="1" customFormat="1" ht="14.25" customHeight="1" thickBot="1" x14ac:dyDescent="0.4">
      <c r="A90" s="95"/>
      <c r="B90" s="37"/>
      <c r="C90" s="38"/>
      <c r="D90" s="645"/>
      <c r="E90" s="38"/>
      <c r="F90" s="38"/>
      <c r="G90" s="38"/>
      <c r="H90" s="38"/>
      <c r="I90" s="38"/>
      <c r="J90" s="3"/>
      <c r="K90" s="2"/>
      <c r="L90" s="646"/>
      <c r="M90" s="2"/>
      <c r="N90" s="581"/>
    </row>
    <row r="91" spans="1:14" s="1" customFormat="1" x14ac:dyDescent="0.35">
      <c r="A91" s="1217" t="s">
        <v>397</v>
      </c>
      <c r="B91" s="1218"/>
      <c r="C91" s="1218"/>
      <c r="D91" s="1218"/>
      <c r="E91" s="1218"/>
      <c r="F91" s="1218"/>
      <c r="G91" s="1218"/>
      <c r="H91" s="1218"/>
      <c r="I91" s="1218"/>
      <c r="J91" s="1218"/>
      <c r="K91" s="1218"/>
      <c r="L91" s="1219"/>
      <c r="M91" s="584"/>
      <c r="N91" s="581"/>
    </row>
    <row r="92" spans="1:14" s="1" customFormat="1" ht="16" thickBot="1" x14ac:dyDescent="0.4">
      <c r="A92" s="585"/>
      <c r="B92" s="2"/>
      <c r="C92" s="5"/>
      <c r="D92" s="586"/>
      <c r="E92" s="5"/>
      <c r="F92" s="5"/>
      <c r="G92" s="5"/>
      <c r="H92" s="5"/>
      <c r="I92" s="5"/>
      <c r="J92" s="3"/>
      <c r="K92" s="21"/>
      <c r="L92" s="97"/>
      <c r="M92" s="21"/>
      <c r="N92" s="581"/>
    </row>
    <row r="93" spans="1:14" s="1" customFormat="1" ht="21" customHeight="1" x14ac:dyDescent="0.35">
      <c r="A93" s="1206" t="s">
        <v>302</v>
      </c>
      <c r="B93" s="1208" t="s">
        <v>28</v>
      </c>
      <c r="C93" s="1210" t="s">
        <v>343</v>
      </c>
      <c r="D93" s="613"/>
      <c r="E93" s="1212" t="s">
        <v>305</v>
      </c>
      <c r="F93" s="1212"/>
      <c r="G93" s="1212"/>
      <c r="H93" s="1212"/>
      <c r="I93" s="1212"/>
      <c r="J93" s="1208" t="s">
        <v>29</v>
      </c>
      <c r="K93" s="1213" t="s">
        <v>306</v>
      </c>
      <c r="L93" s="1226" t="s">
        <v>307</v>
      </c>
      <c r="M93" s="588"/>
      <c r="N93" s="581"/>
    </row>
    <row r="94" spans="1:14" s="1" customFormat="1" ht="21" customHeight="1" thickBot="1" x14ac:dyDescent="0.4">
      <c r="A94" s="1207"/>
      <c r="B94" s="1209"/>
      <c r="C94" s="1211"/>
      <c r="D94" s="614"/>
      <c r="E94" s="7" t="s">
        <v>308</v>
      </c>
      <c r="F94" s="7" t="s">
        <v>309</v>
      </c>
      <c r="G94" s="7" t="s">
        <v>310</v>
      </c>
      <c r="H94" s="7" t="s">
        <v>311</v>
      </c>
      <c r="I94" s="7" t="s">
        <v>312</v>
      </c>
      <c r="J94" s="1209"/>
      <c r="K94" s="1214"/>
      <c r="L94" s="1227"/>
      <c r="M94" s="588"/>
      <c r="N94" s="581"/>
    </row>
    <row r="95" spans="1:14" s="1" customFormat="1" ht="16.5" customHeight="1" x14ac:dyDescent="0.35">
      <c r="A95" s="596">
        <v>223</v>
      </c>
      <c r="B95" s="28" t="s">
        <v>42</v>
      </c>
      <c r="C95" s="10">
        <f>SUM(E95:I95)</f>
        <v>4.18</v>
      </c>
      <c r="D95" s="615">
        <f>'[23]road inventory 2018'!C93</f>
        <v>4.0999999999999996</v>
      </c>
      <c r="E95" s="10">
        <v>0</v>
      </c>
      <c r="F95" s="10">
        <v>0</v>
      </c>
      <c r="G95" s="10">
        <v>0</v>
      </c>
      <c r="H95" s="10">
        <v>4.18</v>
      </c>
      <c r="I95" s="10">
        <v>0</v>
      </c>
      <c r="J95" s="757" t="s">
        <v>33</v>
      </c>
      <c r="K95" s="597" t="s">
        <v>398</v>
      </c>
      <c r="L95" s="112"/>
      <c r="M95" s="2"/>
      <c r="N95" s="581"/>
    </row>
    <row r="96" spans="1:14" s="625" customFormat="1" ht="16.5" customHeight="1" x14ac:dyDescent="0.35">
      <c r="A96" s="618">
        <v>224</v>
      </c>
      <c r="B96" s="619" t="s">
        <v>44</v>
      </c>
      <c r="C96" s="620">
        <f t="shared" ref="C96:C104" si="7">SUM(E96:I96)</f>
        <v>7.24</v>
      </c>
      <c r="D96" s="634">
        <f>'[23]road inventory 2018'!C94</f>
        <v>7.2</v>
      </c>
      <c r="E96" s="620">
        <v>1.98</v>
      </c>
      <c r="F96" s="620">
        <v>0</v>
      </c>
      <c r="G96" s="620">
        <v>0</v>
      </c>
      <c r="H96" s="620">
        <v>5.26</v>
      </c>
      <c r="I96" s="620">
        <v>0</v>
      </c>
      <c r="J96" s="621" t="s">
        <v>12</v>
      </c>
      <c r="K96" s="622" t="s">
        <v>399</v>
      </c>
      <c r="L96" s="619"/>
      <c r="M96" s="623"/>
      <c r="N96" s="624"/>
    </row>
    <row r="97" spans="1:14" s="1" customFormat="1" ht="16.5" customHeight="1" x14ac:dyDescent="0.35">
      <c r="A97" s="596">
        <v>45</v>
      </c>
      <c r="B97" s="28" t="s">
        <v>400</v>
      </c>
      <c r="C97" s="10">
        <f t="shared" si="7"/>
        <v>7.44</v>
      </c>
      <c r="D97" s="615">
        <f>'[23]road inventory 2018'!C95</f>
        <v>7.8999999999999995</v>
      </c>
      <c r="E97" s="10">
        <v>0.71</v>
      </c>
      <c r="F97" s="10">
        <v>0</v>
      </c>
      <c r="G97" s="10">
        <v>0</v>
      </c>
      <c r="H97" s="10">
        <v>6.73</v>
      </c>
      <c r="I97" s="10">
        <v>0</v>
      </c>
      <c r="J97" s="757" t="s">
        <v>33</v>
      </c>
      <c r="K97" s="597" t="s">
        <v>401</v>
      </c>
      <c r="L97" s="28"/>
      <c r="M97" s="2"/>
      <c r="N97" s="581"/>
    </row>
    <row r="98" spans="1:14" s="26" customFormat="1" ht="16.5" customHeight="1" x14ac:dyDescent="0.35">
      <c r="A98" s="589">
        <v>217</v>
      </c>
      <c r="B98" s="24" t="s">
        <v>243</v>
      </c>
      <c r="C98" s="10">
        <f t="shared" si="7"/>
        <v>1.1399999999999999</v>
      </c>
      <c r="D98" s="615">
        <f>'[23]road inventory 2018'!C96</f>
        <v>1.1000000000000001</v>
      </c>
      <c r="E98" s="15">
        <v>1.1399999999999999</v>
      </c>
      <c r="F98" s="15">
        <v>0</v>
      </c>
      <c r="G98" s="15">
        <v>0</v>
      </c>
      <c r="H98" s="15">
        <v>0</v>
      </c>
      <c r="I98" s="15">
        <v>0</v>
      </c>
      <c r="J98" s="106" t="s">
        <v>10</v>
      </c>
      <c r="K98" s="591" t="s">
        <v>402</v>
      </c>
      <c r="L98" s="24"/>
      <c r="M98" s="593"/>
      <c r="N98" s="617"/>
    </row>
    <row r="99" spans="1:14" s="26" customFormat="1" ht="16.5" customHeight="1" x14ac:dyDescent="0.35">
      <c r="A99" s="589">
        <v>225</v>
      </c>
      <c r="B99" s="24" t="s">
        <v>403</v>
      </c>
      <c r="C99" s="10">
        <f t="shared" si="7"/>
        <v>0.36</v>
      </c>
      <c r="D99" s="615">
        <f>'[23]road inventory 2018'!C97</f>
        <v>0.4</v>
      </c>
      <c r="E99" s="15">
        <v>0</v>
      </c>
      <c r="F99" s="15">
        <v>0</v>
      </c>
      <c r="G99" s="15">
        <v>0</v>
      </c>
      <c r="H99" s="15">
        <v>0.36</v>
      </c>
      <c r="I99" s="15">
        <v>0</v>
      </c>
      <c r="J99" s="106" t="s">
        <v>10</v>
      </c>
      <c r="K99" s="591" t="s">
        <v>404</v>
      </c>
      <c r="L99" s="24"/>
      <c r="M99" s="593"/>
      <c r="N99" s="617"/>
    </row>
    <row r="100" spans="1:14" s="26" customFormat="1" ht="16.5" customHeight="1" x14ac:dyDescent="0.35">
      <c r="A100" s="589">
        <v>226</v>
      </c>
      <c r="B100" s="24" t="s">
        <v>45</v>
      </c>
      <c r="C100" s="10">
        <f t="shared" si="7"/>
        <v>4.01</v>
      </c>
      <c r="D100" s="615">
        <f>'[23]road inventory 2018'!C98</f>
        <v>4.8</v>
      </c>
      <c r="E100" s="15">
        <v>0.86</v>
      </c>
      <c r="F100" s="15">
        <v>0</v>
      </c>
      <c r="G100" s="15">
        <v>0</v>
      </c>
      <c r="H100" s="15">
        <v>3.15</v>
      </c>
      <c r="I100" s="15">
        <v>0</v>
      </c>
      <c r="J100" s="106" t="s">
        <v>10</v>
      </c>
      <c r="K100" s="591" t="s">
        <v>405</v>
      </c>
      <c r="L100" s="24"/>
      <c r="M100" s="593"/>
      <c r="N100" s="617"/>
    </row>
    <row r="101" spans="1:14" s="26" customFormat="1" ht="16.5" customHeight="1" x14ac:dyDescent="0.35">
      <c r="A101" s="589">
        <v>116</v>
      </c>
      <c r="B101" s="24" t="s">
        <v>47</v>
      </c>
      <c r="C101" s="10">
        <f t="shared" si="7"/>
        <v>12.3</v>
      </c>
      <c r="D101" s="615">
        <f>'[23]road inventory 2018'!C99</f>
        <v>12.3</v>
      </c>
      <c r="E101" s="15">
        <v>6.67</v>
      </c>
      <c r="F101" s="15">
        <v>0</v>
      </c>
      <c r="G101" s="15">
        <v>0</v>
      </c>
      <c r="H101" s="15">
        <v>5.63</v>
      </c>
      <c r="I101" s="15">
        <v>0</v>
      </c>
      <c r="J101" s="106" t="s">
        <v>12</v>
      </c>
      <c r="K101" s="591" t="s">
        <v>405</v>
      </c>
      <c r="L101" s="24"/>
      <c r="M101" s="593"/>
      <c r="N101" s="617"/>
    </row>
    <row r="102" spans="1:14" s="26" customFormat="1" ht="16.5" customHeight="1" x14ac:dyDescent="0.35">
      <c r="A102" s="589">
        <v>46</v>
      </c>
      <c r="B102" s="24" t="s">
        <v>406</v>
      </c>
      <c r="C102" s="10">
        <f t="shared" si="7"/>
        <v>1.3</v>
      </c>
      <c r="D102" s="615">
        <f>'[23]road inventory 2018'!C100</f>
        <v>1.3</v>
      </c>
      <c r="E102" s="15">
        <v>1.3</v>
      </c>
      <c r="F102" s="15">
        <v>0</v>
      </c>
      <c r="G102" s="15">
        <v>0</v>
      </c>
      <c r="H102" s="15">
        <v>0</v>
      </c>
      <c r="I102" s="15">
        <v>0</v>
      </c>
      <c r="J102" s="106" t="s">
        <v>10</v>
      </c>
      <c r="K102" s="591" t="s">
        <v>407</v>
      </c>
      <c r="L102" s="24"/>
      <c r="M102" s="593"/>
      <c r="N102" s="617"/>
    </row>
    <row r="103" spans="1:14" s="1" customFormat="1" ht="16.5" customHeight="1" x14ac:dyDescent="0.35">
      <c r="A103" s="596">
        <v>227</v>
      </c>
      <c r="B103" s="28" t="s">
        <v>408</v>
      </c>
      <c r="C103" s="10">
        <f t="shared" si="7"/>
        <v>7.43</v>
      </c>
      <c r="D103" s="615">
        <f>'[23]road inventory 2018'!C101</f>
        <v>7.2</v>
      </c>
      <c r="E103" s="10">
        <v>0</v>
      </c>
      <c r="F103" s="10">
        <v>0</v>
      </c>
      <c r="G103" s="10">
        <v>0</v>
      </c>
      <c r="H103" s="10">
        <v>7.43</v>
      </c>
      <c r="I103" s="10">
        <v>0</v>
      </c>
      <c r="J103" s="757" t="s">
        <v>33</v>
      </c>
      <c r="K103" s="597" t="s">
        <v>409</v>
      </c>
      <c r="L103" s="28"/>
      <c r="M103" s="2"/>
      <c r="N103" s="581"/>
    </row>
    <row r="104" spans="1:14" s="625" customFormat="1" ht="16.5" customHeight="1" x14ac:dyDescent="0.35">
      <c r="A104" s="618">
        <v>100</v>
      </c>
      <c r="B104" s="619" t="s">
        <v>50</v>
      </c>
      <c r="C104" s="620">
        <f t="shared" si="7"/>
        <v>7.8</v>
      </c>
      <c r="D104" s="634">
        <f>'[23]road inventory 2018'!C102</f>
        <v>7.8</v>
      </c>
      <c r="E104" s="620">
        <v>2</v>
      </c>
      <c r="F104" s="620">
        <v>0</v>
      </c>
      <c r="G104" s="620">
        <v>5.8</v>
      </c>
      <c r="H104" s="620">
        <v>0</v>
      </c>
      <c r="I104" s="620">
        <v>0</v>
      </c>
      <c r="J104" s="621" t="s">
        <v>12</v>
      </c>
      <c r="K104" s="622" t="s">
        <v>410</v>
      </c>
      <c r="L104" s="619"/>
      <c r="M104" s="623"/>
      <c r="N104" s="624"/>
    </row>
    <row r="105" spans="1:14" s="1" customFormat="1" ht="16.5" customHeight="1" x14ac:dyDescent="0.35">
      <c r="A105" s="635"/>
      <c r="B105" s="40"/>
      <c r="C105" s="41">
        <f t="shared" ref="C105:H105" si="8">SUM(C95:C104)</f>
        <v>53.199999999999996</v>
      </c>
      <c r="D105" s="627">
        <f t="shared" si="8"/>
        <v>54.099999999999994</v>
      </c>
      <c r="E105" s="41">
        <f t="shared" si="8"/>
        <v>14.66</v>
      </c>
      <c r="F105" s="41">
        <f t="shared" si="8"/>
        <v>0</v>
      </c>
      <c r="G105" s="41">
        <f t="shared" si="8"/>
        <v>5.8</v>
      </c>
      <c r="H105" s="41">
        <f t="shared" si="8"/>
        <v>32.739999999999995</v>
      </c>
      <c r="I105" s="41"/>
      <c r="J105" s="109"/>
      <c r="K105" s="605"/>
      <c r="L105" s="28"/>
      <c r="M105" s="2"/>
      <c r="N105" s="581"/>
    </row>
    <row r="106" spans="1:14" s="1" customFormat="1" ht="22.5" customHeight="1" thickBot="1" x14ac:dyDescent="0.4">
      <c r="A106" s="53" t="s">
        <v>341</v>
      </c>
      <c r="B106" s="34"/>
      <c r="C106" s="31">
        <f>SUM(E106:I106)</f>
        <v>53.199999999999996</v>
      </c>
      <c r="D106" s="630"/>
      <c r="E106" s="31">
        <f>SUM(E95:E104)</f>
        <v>14.66</v>
      </c>
      <c r="F106" s="31">
        <f>SUM(F95:F104)</f>
        <v>0</v>
      </c>
      <c r="G106" s="31">
        <f>SUM(G95:G104)</f>
        <v>5.8</v>
      </c>
      <c r="H106" s="31">
        <f>SUM(H95:H104)</f>
        <v>32.739999999999995</v>
      </c>
      <c r="I106" s="31">
        <f>SUM(I95:I104)</f>
        <v>0</v>
      </c>
      <c r="J106" s="608"/>
      <c r="K106" s="609"/>
      <c r="L106" s="97"/>
      <c r="M106" s="21"/>
      <c r="N106" s="581"/>
    </row>
    <row r="107" spans="1:14" s="1" customFormat="1" ht="22.5" customHeight="1" x14ac:dyDescent="0.35">
      <c r="A107" s="544"/>
      <c r="B107" s="35"/>
      <c r="C107" s="22"/>
      <c r="D107" s="610"/>
      <c r="E107" s="22"/>
      <c r="F107" s="22"/>
      <c r="G107" s="22"/>
      <c r="H107" s="22"/>
      <c r="I107" s="22"/>
      <c r="K107" s="21"/>
      <c r="L107" s="647"/>
      <c r="M107" s="21"/>
      <c r="N107" s="581"/>
    </row>
    <row r="108" spans="1:14" s="1" customFormat="1" x14ac:dyDescent="0.35">
      <c r="A108" s="1203" t="s">
        <v>411</v>
      </c>
      <c r="B108" s="1204"/>
      <c r="C108" s="1204"/>
      <c r="D108" s="1204"/>
      <c r="E108" s="1204"/>
      <c r="F108" s="1204"/>
      <c r="G108" s="1204"/>
      <c r="H108" s="1204"/>
      <c r="I108" s="1204"/>
      <c r="J108" s="1204"/>
      <c r="K108" s="1204"/>
      <c r="L108" s="1205"/>
      <c r="M108" s="584"/>
      <c r="N108" s="581"/>
    </row>
    <row r="109" spans="1:14" s="1" customFormat="1" ht="16" thickBot="1" x14ac:dyDescent="0.4">
      <c r="A109" s="585"/>
      <c r="B109" s="2"/>
      <c r="C109" s="5"/>
      <c r="D109" s="586"/>
      <c r="E109" s="5"/>
      <c r="F109" s="5"/>
      <c r="G109" s="5"/>
      <c r="H109" s="5"/>
      <c r="I109" s="5"/>
      <c r="J109" s="3"/>
      <c r="K109" s="21"/>
      <c r="L109" s="631"/>
      <c r="M109" s="21"/>
      <c r="N109" s="581"/>
    </row>
    <row r="110" spans="1:14" s="1" customFormat="1" ht="21" customHeight="1" x14ac:dyDescent="0.35">
      <c r="A110" s="1206" t="s">
        <v>302</v>
      </c>
      <c r="B110" s="1208" t="s">
        <v>28</v>
      </c>
      <c r="C110" s="1210" t="s">
        <v>343</v>
      </c>
      <c r="D110" s="613"/>
      <c r="E110" s="1212" t="s">
        <v>305</v>
      </c>
      <c r="F110" s="1212"/>
      <c r="G110" s="1212"/>
      <c r="H110" s="1212"/>
      <c r="I110" s="1212"/>
      <c r="J110" s="1208" t="s">
        <v>29</v>
      </c>
      <c r="K110" s="1213" t="s">
        <v>306</v>
      </c>
      <c r="L110" s="1226" t="s">
        <v>307</v>
      </c>
      <c r="M110" s="588"/>
      <c r="N110" s="581"/>
    </row>
    <row r="111" spans="1:14" s="1" customFormat="1" ht="21" customHeight="1" thickBot="1" x14ac:dyDescent="0.4">
      <c r="A111" s="1207"/>
      <c r="B111" s="1209"/>
      <c r="C111" s="1211"/>
      <c r="D111" s="614"/>
      <c r="E111" s="7" t="s">
        <v>308</v>
      </c>
      <c r="F111" s="7" t="s">
        <v>309</v>
      </c>
      <c r="G111" s="7" t="s">
        <v>310</v>
      </c>
      <c r="H111" s="7" t="s">
        <v>311</v>
      </c>
      <c r="I111" s="7" t="s">
        <v>312</v>
      </c>
      <c r="J111" s="1209"/>
      <c r="K111" s="1214"/>
      <c r="L111" s="1227"/>
      <c r="M111" s="588"/>
      <c r="N111" s="581"/>
    </row>
    <row r="112" spans="1:14" s="26" customFormat="1" ht="16" customHeight="1" x14ac:dyDescent="0.35">
      <c r="A112" s="589">
        <v>48</v>
      </c>
      <c r="B112" s="43" t="s">
        <v>254</v>
      </c>
      <c r="C112" s="15">
        <f>SUM(E112:I112)</f>
        <v>2.19</v>
      </c>
      <c r="D112" s="590">
        <f>'[23]road inventory 2018'!C109</f>
        <v>2.1</v>
      </c>
      <c r="E112" s="15">
        <v>0</v>
      </c>
      <c r="F112" s="15">
        <v>0</v>
      </c>
      <c r="G112" s="15">
        <v>0</v>
      </c>
      <c r="H112" s="15">
        <v>2.19</v>
      </c>
      <c r="I112" s="15">
        <v>0</v>
      </c>
      <c r="J112" s="106" t="s">
        <v>12</v>
      </c>
      <c r="K112" s="591" t="s">
        <v>412</v>
      </c>
      <c r="L112" s="592"/>
      <c r="M112" s="593"/>
      <c r="N112" s="617"/>
    </row>
    <row r="113" spans="1:14" s="26" customFormat="1" ht="16" customHeight="1" x14ac:dyDescent="0.35">
      <c r="A113" s="589">
        <v>50</v>
      </c>
      <c r="B113" s="43" t="s">
        <v>255</v>
      </c>
      <c r="C113" s="15">
        <f t="shared" ref="C113:C143" si="9">SUM(E113:I113)</f>
        <v>7.69</v>
      </c>
      <c r="D113" s="590">
        <f>'[23]road inventory 2018'!C110</f>
        <v>7.6</v>
      </c>
      <c r="E113" s="15">
        <v>1.79</v>
      </c>
      <c r="F113" s="15">
        <v>0</v>
      </c>
      <c r="G113" s="15">
        <v>0</v>
      </c>
      <c r="H113" s="15">
        <v>5.9</v>
      </c>
      <c r="I113" s="15">
        <v>0</v>
      </c>
      <c r="J113" s="106" t="s">
        <v>12</v>
      </c>
      <c r="K113" s="591" t="s">
        <v>413</v>
      </c>
      <c r="L113" s="24"/>
      <c r="M113" s="593"/>
      <c r="N113" s="617"/>
    </row>
    <row r="114" spans="1:14" s="26" customFormat="1" ht="16" customHeight="1" x14ac:dyDescent="0.35">
      <c r="A114" s="589">
        <v>51</v>
      </c>
      <c r="B114" s="43" t="s">
        <v>248</v>
      </c>
      <c r="C114" s="15">
        <f t="shared" si="9"/>
        <v>3.96</v>
      </c>
      <c r="D114" s="590">
        <f>'[23]road inventory 2018'!C111</f>
        <v>3</v>
      </c>
      <c r="E114" s="15">
        <v>0</v>
      </c>
      <c r="F114" s="15">
        <v>0</v>
      </c>
      <c r="G114" s="15">
        <v>0</v>
      </c>
      <c r="H114" s="15">
        <v>3.96</v>
      </c>
      <c r="I114" s="15">
        <v>0</v>
      </c>
      <c r="J114" s="106" t="s">
        <v>12</v>
      </c>
      <c r="K114" s="591" t="s">
        <v>414</v>
      </c>
      <c r="L114" s="24"/>
      <c r="M114" s="593"/>
      <c r="N114" s="617"/>
    </row>
    <row r="115" spans="1:14" s="26" customFormat="1" ht="16" customHeight="1" x14ac:dyDescent="0.35">
      <c r="A115" s="589">
        <v>52</v>
      </c>
      <c r="B115" s="43" t="s">
        <v>251</v>
      </c>
      <c r="C115" s="15">
        <f t="shared" si="9"/>
        <v>6.64</v>
      </c>
      <c r="D115" s="590">
        <f>'[23]road inventory 2018'!C112</f>
        <v>6.5</v>
      </c>
      <c r="E115" s="15">
        <v>0</v>
      </c>
      <c r="F115" s="15">
        <v>0</v>
      </c>
      <c r="G115" s="15">
        <v>0</v>
      </c>
      <c r="H115" s="15">
        <v>6.64</v>
      </c>
      <c r="I115" s="15">
        <v>0</v>
      </c>
      <c r="J115" s="106" t="s">
        <v>12</v>
      </c>
      <c r="K115" s="591" t="s">
        <v>415</v>
      </c>
      <c r="L115" s="24"/>
      <c r="M115" s="593"/>
      <c r="N115" s="617"/>
    </row>
    <row r="116" spans="1:14" s="26" customFormat="1" ht="16" customHeight="1" x14ac:dyDescent="0.35">
      <c r="A116" s="589">
        <v>53</v>
      </c>
      <c r="B116" s="43" t="s">
        <v>249</v>
      </c>
      <c r="C116" s="15">
        <f t="shared" si="9"/>
        <v>6.46</v>
      </c>
      <c r="D116" s="590">
        <f>'[23]road inventory 2018'!C113</f>
        <v>6.4</v>
      </c>
      <c r="E116" s="15">
        <v>5.64</v>
      </c>
      <c r="F116" s="15">
        <v>0</v>
      </c>
      <c r="G116" s="15">
        <v>0</v>
      </c>
      <c r="H116" s="15">
        <v>0.82</v>
      </c>
      <c r="I116" s="15">
        <v>0</v>
      </c>
      <c r="J116" s="106" t="s">
        <v>12</v>
      </c>
      <c r="K116" s="591" t="s">
        <v>416</v>
      </c>
      <c r="L116" s="24"/>
      <c r="M116" s="593"/>
      <c r="N116" s="617"/>
    </row>
    <row r="117" spans="1:14" s="26" customFormat="1" ht="16" customHeight="1" x14ac:dyDescent="0.35">
      <c r="A117" s="589">
        <v>54</v>
      </c>
      <c r="B117" s="43" t="s">
        <v>252</v>
      </c>
      <c r="C117" s="15">
        <f t="shared" si="9"/>
        <v>1.69</v>
      </c>
      <c r="D117" s="590">
        <f>'[23]road inventory 2018'!C114</f>
        <v>1.6</v>
      </c>
      <c r="E117" s="15">
        <v>1.18</v>
      </c>
      <c r="F117" s="15">
        <v>0</v>
      </c>
      <c r="G117" s="15">
        <v>0</v>
      </c>
      <c r="H117" s="15">
        <v>0.51</v>
      </c>
      <c r="I117" s="15">
        <v>0</v>
      </c>
      <c r="J117" s="106" t="s">
        <v>10</v>
      </c>
      <c r="K117" s="591" t="s">
        <v>417</v>
      </c>
      <c r="L117" s="24"/>
      <c r="M117" s="593"/>
      <c r="N117" s="617"/>
    </row>
    <row r="118" spans="1:14" s="26" customFormat="1" ht="16" customHeight="1" x14ac:dyDescent="0.35">
      <c r="A118" s="589">
        <v>103</v>
      </c>
      <c r="B118" s="43" t="s">
        <v>245</v>
      </c>
      <c r="C118" s="15">
        <f t="shared" si="9"/>
        <v>1.27</v>
      </c>
      <c r="D118" s="590">
        <f>'[23]road inventory 2018'!C115</f>
        <v>1.2</v>
      </c>
      <c r="E118" s="15">
        <v>0.19</v>
      </c>
      <c r="F118" s="15">
        <v>0</v>
      </c>
      <c r="G118" s="15">
        <v>0</v>
      </c>
      <c r="H118" s="15">
        <v>1.08</v>
      </c>
      <c r="I118" s="15">
        <v>0</v>
      </c>
      <c r="J118" s="106" t="s">
        <v>10</v>
      </c>
      <c r="K118" s="591" t="s">
        <v>418</v>
      </c>
      <c r="L118" s="24"/>
      <c r="M118" s="593"/>
      <c r="N118" s="617"/>
    </row>
    <row r="119" spans="1:14" s="26" customFormat="1" ht="16" customHeight="1" x14ac:dyDescent="0.35">
      <c r="A119" s="589">
        <v>55</v>
      </c>
      <c r="B119" s="43" t="s">
        <v>244</v>
      </c>
      <c r="C119" s="15">
        <f t="shared" si="9"/>
        <v>4.18</v>
      </c>
      <c r="D119" s="590">
        <f>'[23]road inventory 2018'!C116</f>
        <v>4.0999999999999996</v>
      </c>
      <c r="E119" s="15">
        <v>0</v>
      </c>
      <c r="F119" s="15">
        <v>0</v>
      </c>
      <c r="G119" s="15">
        <v>0</v>
      </c>
      <c r="H119" s="15">
        <v>4.18</v>
      </c>
      <c r="I119" s="15">
        <v>0</v>
      </c>
      <c r="J119" s="106" t="s">
        <v>12</v>
      </c>
      <c r="K119" s="591" t="s">
        <v>419</v>
      </c>
      <c r="L119" s="24"/>
      <c r="M119" s="593"/>
      <c r="N119" s="617"/>
    </row>
    <row r="120" spans="1:14" s="26" customFormat="1" ht="16" customHeight="1" x14ac:dyDescent="0.35">
      <c r="A120" s="589">
        <v>57</v>
      </c>
      <c r="B120" s="43" t="s">
        <v>268</v>
      </c>
      <c r="C120" s="15">
        <f t="shared" si="9"/>
        <v>1.36</v>
      </c>
      <c r="D120" s="590">
        <f>'[23]road inventory 2018'!C117</f>
        <v>1.3</v>
      </c>
      <c r="E120" s="15">
        <v>0.3</v>
      </c>
      <c r="F120" s="15">
        <v>0</v>
      </c>
      <c r="G120" s="15">
        <v>0</v>
      </c>
      <c r="H120" s="15">
        <v>1.06</v>
      </c>
      <c r="I120" s="15">
        <v>0</v>
      </c>
      <c r="J120" s="106" t="s">
        <v>12</v>
      </c>
      <c r="K120" s="591" t="s">
        <v>420</v>
      </c>
      <c r="L120" s="24"/>
      <c r="M120" s="593"/>
      <c r="N120" s="617"/>
    </row>
    <row r="121" spans="1:14" s="1" customFormat="1" ht="16" customHeight="1" x14ac:dyDescent="0.35">
      <c r="A121" s="596">
        <v>58</v>
      </c>
      <c r="B121" s="45" t="s">
        <v>421</v>
      </c>
      <c r="C121" s="15">
        <f t="shared" si="9"/>
        <v>0.36</v>
      </c>
      <c r="D121" s="590">
        <f>'[23]road inventory 2018'!C118</f>
        <v>0.3</v>
      </c>
      <c r="E121" s="10">
        <v>0</v>
      </c>
      <c r="F121" s="10">
        <v>0</v>
      </c>
      <c r="G121" s="10">
        <v>0</v>
      </c>
      <c r="H121" s="10">
        <v>0.36</v>
      </c>
      <c r="I121" s="10">
        <v>0</v>
      </c>
      <c r="J121" s="757" t="s">
        <v>33</v>
      </c>
      <c r="K121" s="597" t="s">
        <v>422</v>
      </c>
      <c r="L121" s="28"/>
      <c r="M121" s="2"/>
      <c r="N121" s="581"/>
    </row>
    <row r="122" spans="1:14" s="1" customFormat="1" ht="16" customHeight="1" x14ac:dyDescent="0.35">
      <c r="A122" s="596">
        <v>59</v>
      </c>
      <c r="B122" s="45" t="s">
        <v>262</v>
      </c>
      <c r="C122" s="15">
        <f t="shared" si="9"/>
        <v>0.8</v>
      </c>
      <c r="D122" s="590">
        <f>'[23]road inventory 2018'!C119</f>
        <v>0.8</v>
      </c>
      <c r="E122" s="10">
        <v>0</v>
      </c>
      <c r="F122" s="10">
        <v>0</v>
      </c>
      <c r="G122" s="10">
        <v>0</v>
      </c>
      <c r="H122" s="10">
        <v>0.8</v>
      </c>
      <c r="I122" s="10">
        <v>0</v>
      </c>
      <c r="J122" s="757" t="s">
        <v>33</v>
      </c>
      <c r="K122" s="597" t="s">
        <v>422</v>
      </c>
      <c r="L122" s="28"/>
      <c r="M122" s="2"/>
      <c r="N122" s="581"/>
    </row>
    <row r="123" spans="1:14" s="26" customFormat="1" ht="16" customHeight="1" x14ac:dyDescent="0.35">
      <c r="A123" s="589">
        <v>97</v>
      </c>
      <c r="B123" s="43" t="s">
        <v>51</v>
      </c>
      <c r="C123" s="15">
        <f t="shared" si="9"/>
        <v>8.4499999999999993</v>
      </c>
      <c r="D123" s="590">
        <f>'[23]road inventory 2018'!C120</f>
        <v>8.3000000000000007</v>
      </c>
      <c r="E123" s="15">
        <v>8.4499999999999993</v>
      </c>
      <c r="F123" s="15">
        <v>0</v>
      </c>
      <c r="G123" s="15">
        <v>0</v>
      </c>
      <c r="H123" s="15">
        <v>0</v>
      </c>
      <c r="I123" s="15">
        <v>0</v>
      </c>
      <c r="J123" s="106" t="s">
        <v>10</v>
      </c>
      <c r="K123" s="591" t="s">
        <v>423</v>
      </c>
      <c r="L123" s="24"/>
      <c r="M123" s="593"/>
      <c r="N123" s="617"/>
    </row>
    <row r="124" spans="1:14" s="26" customFormat="1" ht="16" customHeight="1" x14ac:dyDescent="0.35">
      <c r="A124" s="589">
        <v>56</v>
      </c>
      <c r="B124" s="43" t="s">
        <v>250</v>
      </c>
      <c r="C124" s="15">
        <f t="shared" si="9"/>
        <v>5.7200000000000006</v>
      </c>
      <c r="D124" s="590">
        <f>'[23]road inventory 2018'!C121</f>
        <v>5.7</v>
      </c>
      <c r="E124" s="15">
        <v>1.73</v>
      </c>
      <c r="F124" s="15">
        <v>0</v>
      </c>
      <c r="G124" s="15">
        <v>0</v>
      </c>
      <c r="H124" s="15">
        <v>3.99</v>
      </c>
      <c r="I124" s="15">
        <v>0</v>
      </c>
      <c r="J124" s="106" t="s">
        <v>12</v>
      </c>
      <c r="K124" s="591" t="s">
        <v>414</v>
      </c>
      <c r="L124" s="24"/>
      <c r="M124" s="593"/>
      <c r="N124" s="617"/>
    </row>
    <row r="125" spans="1:14" s="26" customFormat="1" ht="16" customHeight="1" x14ac:dyDescent="0.35">
      <c r="A125" s="589">
        <v>60</v>
      </c>
      <c r="B125" s="43" t="s">
        <v>253</v>
      </c>
      <c r="C125" s="15">
        <f t="shared" si="9"/>
        <v>9.1999999999999993</v>
      </c>
      <c r="D125" s="590">
        <f>'[23]road inventory 2018'!C122</f>
        <v>9.1999999999999993</v>
      </c>
      <c r="E125" s="15">
        <v>7.1</v>
      </c>
      <c r="F125" s="15">
        <v>0</v>
      </c>
      <c r="G125" s="15">
        <v>0</v>
      </c>
      <c r="H125" s="15">
        <v>2.1</v>
      </c>
      <c r="I125" s="15">
        <v>0</v>
      </c>
      <c r="J125" s="106" t="s">
        <v>10</v>
      </c>
      <c r="K125" s="591" t="s">
        <v>424</v>
      </c>
      <c r="L125" s="24"/>
      <c r="M125" s="593"/>
      <c r="N125" s="617"/>
    </row>
    <row r="126" spans="1:14" s="26" customFormat="1" ht="16" customHeight="1" x14ac:dyDescent="0.35">
      <c r="A126" s="589">
        <v>61</v>
      </c>
      <c r="B126" s="43" t="s">
        <v>260</v>
      </c>
      <c r="C126" s="15">
        <f t="shared" si="9"/>
        <v>4.5</v>
      </c>
      <c r="D126" s="590">
        <f>'[23]road inventory 2018'!C123</f>
        <v>4.5</v>
      </c>
      <c r="E126" s="15">
        <v>1.63</v>
      </c>
      <c r="F126" s="15">
        <v>0</v>
      </c>
      <c r="G126" s="15">
        <v>0</v>
      </c>
      <c r="H126" s="15">
        <v>2.87</v>
      </c>
      <c r="I126" s="15">
        <v>0</v>
      </c>
      <c r="J126" s="106" t="s">
        <v>10</v>
      </c>
      <c r="K126" s="591" t="s">
        <v>425</v>
      </c>
      <c r="L126" s="24"/>
      <c r="M126" s="593"/>
      <c r="N126" s="617"/>
    </row>
    <row r="127" spans="1:14" s="26" customFormat="1" ht="16" customHeight="1" x14ac:dyDescent="0.35">
      <c r="A127" s="589">
        <v>62</v>
      </c>
      <c r="B127" s="43" t="s">
        <v>269</v>
      </c>
      <c r="C127" s="15">
        <f t="shared" si="9"/>
        <v>3.03</v>
      </c>
      <c r="D127" s="590">
        <f>'[23]road inventory 2018'!C124</f>
        <v>2</v>
      </c>
      <c r="E127" s="15">
        <v>0</v>
      </c>
      <c r="F127" s="15">
        <v>0</v>
      </c>
      <c r="G127" s="15">
        <v>0</v>
      </c>
      <c r="H127" s="15">
        <v>3.03</v>
      </c>
      <c r="I127" s="15">
        <v>0</v>
      </c>
      <c r="J127" s="106" t="s">
        <v>12</v>
      </c>
      <c r="K127" s="591" t="s">
        <v>426</v>
      </c>
      <c r="L127" s="24"/>
      <c r="M127" s="593"/>
      <c r="N127" s="617"/>
    </row>
    <row r="128" spans="1:14" s="26" customFormat="1" ht="16" customHeight="1" x14ac:dyDescent="0.35">
      <c r="A128" s="589">
        <v>63</v>
      </c>
      <c r="B128" s="43" t="s">
        <v>265</v>
      </c>
      <c r="C128" s="15">
        <f t="shared" si="9"/>
        <v>3.04</v>
      </c>
      <c r="D128" s="590">
        <f>'[23]road inventory 2018'!C125</f>
        <v>3</v>
      </c>
      <c r="E128" s="15">
        <v>0.11</v>
      </c>
      <c r="F128" s="15">
        <v>0</v>
      </c>
      <c r="G128" s="15">
        <v>0</v>
      </c>
      <c r="H128" s="15">
        <v>2.93</v>
      </c>
      <c r="I128" s="15">
        <v>0</v>
      </c>
      <c r="J128" s="106" t="s">
        <v>12</v>
      </c>
      <c r="K128" s="591" t="s">
        <v>427</v>
      </c>
      <c r="L128" s="24"/>
      <c r="M128" s="593"/>
      <c r="N128" s="617"/>
    </row>
    <row r="129" spans="1:14" s="26" customFormat="1" ht="16" customHeight="1" x14ac:dyDescent="0.35">
      <c r="A129" s="589">
        <v>98</v>
      </c>
      <c r="B129" s="43" t="s">
        <v>247</v>
      </c>
      <c r="C129" s="15">
        <f t="shared" si="9"/>
        <v>5.18</v>
      </c>
      <c r="D129" s="590">
        <f>'[23]road inventory 2018'!C126</f>
        <v>5.1000000000000005</v>
      </c>
      <c r="E129" s="15">
        <v>5.08</v>
      </c>
      <c r="F129" s="15">
        <v>0</v>
      </c>
      <c r="G129" s="15">
        <v>0</v>
      </c>
      <c r="H129" s="15">
        <v>0.1</v>
      </c>
      <c r="I129" s="15">
        <v>0</v>
      </c>
      <c r="J129" s="106" t="s">
        <v>12</v>
      </c>
      <c r="K129" s="591" t="s">
        <v>428</v>
      </c>
      <c r="L129" s="24"/>
      <c r="M129" s="593"/>
      <c r="N129" s="617"/>
    </row>
    <row r="130" spans="1:14" s="26" customFormat="1" ht="16" customHeight="1" x14ac:dyDescent="0.35">
      <c r="A130" s="589">
        <v>64</v>
      </c>
      <c r="B130" s="43" t="s">
        <v>246</v>
      </c>
      <c r="C130" s="15">
        <f t="shared" si="9"/>
        <v>3.64</v>
      </c>
      <c r="D130" s="590">
        <f>'[23]road inventory 2018'!C127</f>
        <v>3.6</v>
      </c>
      <c r="E130" s="15">
        <v>2.41</v>
      </c>
      <c r="F130" s="15">
        <v>0</v>
      </c>
      <c r="G130" s="15">
        <v>0</v>
      </c>
      <c r="H130" s="15">
        <v>1.23</v>
      </c>
      <c r="I130" s="15">
        <v>0</v>
      </c>
      <c r="J130" s="106" t="s">
        <v>12</v>
      </c>
      <c r="K130" s="591" t="s">
        <v>429</v>
      </c>
      <c r="L130" s="24"/>
      <c r="M130" s="593"/>
      <c r="N130" s="617"/>
    </row>
    <row r="131" spans="1:14" s="625" customFormat="1" ht="16" customHeight="1" x14ac:dyDescent="0.35">
      <c r="A131" s="618">
        <v>96</v>
      </c>
      <c r="B131" s="648" t="s">
        <v>270</v>
      </c>
      <c r="C131" s="620">
        <f>SUM(E131:I131)</f>
        <v>5.73</v>
      </c>
      <c r="D131" s="634">
        <f>'[23]road inventory 2018'!C128</f>
        <v>5.6999999999999993</v>
      </c>
      <c r="E131" s="620">
        <v>2.2669999999999999</v>
      </c>
      <c r="F131" s="620">
        <v>0</v>
      </c>
      <c r="G131" s="620">
        <v>0</v>
      </c>
      <c r="H131" s="620">
        <v>3.4630000000000001</v>
      </c>
      <c r="I131" s="620">
        <v>0</v>
      </c>
      <c r="J131" s="621" t="s">
        <v>12</v>
      </c>
      <c r="K131" s="622" t="s">
        <v>430</v>
      </c>
      <c r="L131" s="619"/>
      <c r="M131" s="623"/>
      <c r="N131" s="624"/>
    </row>
    <row r="132" spans="1:14" s="26" customFormat="1" ht="16" customHeight="1" x14ac:dyDescent="0.35">
      <c r="A132" s="589">
        <v>65</v>
      </c>
      <c r="B132" s="43" t="s">
        <v>261</v>
      </c>
      <c r="C132" s="15">
        <f t="shared" si="9"/>
        <v>2.7</v>
      </c>
      <c r="D132" s="590">
        <f>'[23]road inventory 2018'!C129</f>
        <v>1.65</v>
      </c>
      <c r="E132" s="15">
        <v>0</v>
      </c>
      <c r="F132" s="15">
        <v>0</v>
      </c>
      <c r="G132" s="15">
        <v>0</v>
      </c>
      <c r="H132" s="15">
        <v>2.7</v>
      </c>
      <c r="I132" s="15">
        <v>0</v>
      </c>
      <c r="J132" s="106" t="s">
        <v>12</v>
      </c>
      <c r="K132" s="591" t="s">
        <v>431</v>
      </c>
      <c r="L132" s="24"/>
      <c r="M132" s="593"/>
      <c r="N132" s="617"/>
    </row>
    <row r="133" spans="1:14" s="26" customFormat="1" ht="16" customHeight="1" x14ac:dyDescent="0.35">
      <c r="A133" s="589">
        <v>66</v>
      </c>
      <c r="B133" s="43" t="s">
        <v>432</v>
      </c>
      <c r="C133" s="15">
        <f t="shared" si="9"/>
        <v>3.8400000000000003</v>
      </c>
      <c r="D133" s="590">
        <f>'[23]road inventory 2018'!C130</f>
        <v>3.8000000000000003</v>
      </c>
      <c r="E133" s="15">
        <v>0.1</v>
      </c>
      <c r="F133" s="15">
        <v>0</v>
      </c>
      <c r="G133" s="15">
        <v>0</v>
      </c>
      <c r="H133" s="15">
        <v>3.74</v>
      </c>
      <c r="I133" s="15">
        <v>0</v>
      </c>
      <c r="J133" s="106" t="s">
        <v>12</v>
      </c>
      <c r="K133" s="591" t="s">
        <v>433</v>
      </c>
      <c r="L133" s="24"/>
      <c r="M133" s="593"/>
      <c r="N133" s="617"/>
    </row>
    <row r="134" spans="1:14" s="1" customFormat="1" ht="16" customHeight="1" x14ac:dyDescent="0.35">
      <c r="A134" s="596">
        <v>67</v>
      </c>
      <c r="B134" s="45" t="s">
        <v>267</v>
      </c>
      <c r="C134" s="15">
        <f t="shared" si="9"/>
        <v>1.9</v>
      </c>
      <c r="D134" s="590">
        <f>'[23]road inventory 2018'!C131</f>
        <v>1.9</v>
      </c>
      <c r="E134" s="10">
        <v>0</v>
      </c>
      <c r="F134" s="10">
        <v>0</v>
      </c>
      <c r="G134" s="10">
        <v>0</v>
      </c>
      <c r="H134" s="10">
        <v>1.9</v>
      </c>
      <c r="I134" s="10">
        <v>0</v>
      </c>
      <c r="J134" s="757" t="s">
        <v>33</v>
      </c>
      <c r="K134" s="597" t="s">
        <v>434</v>
      </c>
      <c r="L134" s="28"/>
      <c r="M134" s="2"/>
      <c r="N134" s="581"/>
    </row>
    <row r="135" spans="1:14" s="1" customFormat="1" ht="16" customHeight="1" x14ac:dyDescent="0.35">
      <c r="A135" s="596">
        <v>68</v>
      </c>
      <c r="B135" s="45" t="s">
        <v>266</v>
      </c>
      <c r="C135" s="15">
        <f t="shared" si="9"/>
        <v>1.65</v>
      </c>
      <c r="D135" s="590">
        <f>'[23]road inventory 2018'!C132</f>
        <v>1.5999999999999999</v>
      </c>
      <c r="E135" s="10">
        <v>0.25</v>
      </c>
      <c r="F135" s="10">
        <v>0</v>
      </c>
      <c r="G135" s="10">
        <v>0</v>
      </c>
      <c r="H135" s="10">
        <v>1.4</v>
      </c>
      <c r="I135" s="10">
        <v>0</v>
      </c>
      <c r="J135" s="757" t="s">
        <v>33</v>
      </c>
      <c r="K135" s="597" t="s">
        <v>434</v>
      </c>
      <c r="L135" s="28"/>
      <c r="M135" s="2"/>
      <c r="N135" s="581"/>
    </row>
    <row r="136" spans="1:14" s="26" customFormat="1" ht="16" customHeight="1" thickBot="1" x14ac:dyDescent="0.4">
      <c r="A136" s="649">
        <v>69</v>
      </c>
      <c r="B136" s="650" t="s">
        <v>264</v>
      </c>
      <c r="C136" s="15">
        <f t="shared" si="9"/>
        <v>1.68</v>
      </c>
      <c r="D136" s="590">
        <f>'[23]road inventory 2018'!C133</f>
        <v>1.6</v>
      </c>
      <c r="E136" s="65">
        <v>0</v>
      </c>
      <c r="F136" s="65">
        <v>0</v>
      </c>
      <c r="G136" s="65">
        <v>0</v>
      </c>
      <c r="H136" s="65">
        <v>1.68</v>
      </c>
      <c r="I136" s="65">
        <v>0</v>
      </c>
      <c r="J136" s="651" t="s">
        <v>12</v>
      </c>
      <c r="K136" s="652" t="s">
        <v>435</v>
      </c>
      <c r="L136" s="24"/>
      <c r="M136" s="593"/>
      <c r="N136" s="617"/>
    </row>
    <row r="137" spans="1:14" s="26" customFormat="1" ht="16" customHeight="1" x14ac:dyDescent="0.35">
      <c r="A137" s="589">
        <v>70</v>
      </c>
      <c r="B137" s="43" t="s">
        <v>263</v>
      </c>
      <c r="C137" s="15">
        <f t="shared" si="9"/>
        <v>2.77</v>
      </c>
      <c r="D137" s="590">
        <f>'[23]road inventory 2018'!C136</f>
        <v>2.6</v>
      </c>
      <c r="E137" s="15">
        <v>0</v>
      </c>
      <c r="F137" s="15">
        <v>0</v>
      </c>
      <c r="G137" s="15">
        <v>0</v>
      </c>
      <c r="H137" s="15">
        <v>2.77</v>
      </c>
      <c r="I137" s="15">
        <v>0</v>
      </c>
      <c r="J137" s="106" t="s">
        <v>12</v>
      </c>
      <c r="K137" s="591" t="s">
        <v>436</v>
      </c>
      <c r="L137" s="24"/>
      <c r="M137" s="593"/>
      <c r="N137" s="617"/>
    </row>
    <row r="138" spans="1:14" s="26" customFormat="1" ht="16" customHeight="1" x14ac:dyDescent="0.35">
      <c r="A138" s="589">
        <v>71</v>
      </c>
      <c r="B138" s="43" t="s">
        <v>54</v>
      </c>
      <c r="C138" s="15">
        <f t="shared" si="9"/>
        <v>2.69</v>
      </c>
      <c r="D138" s="590">
        <f>'[23]road inventory 2018'!C137</f>
        <v>2.7</v>
      </c>
      <c r="E138" s="15">
        <v>0</v>
      </c>
      <c r="F138" s="15">
        <v>0</v>
      </c>
      <c r="G138" s="15">
        <v>0</v>
      </c>
      <c r="H138" s="15">
        <v>2.69</v>
      </c>
      <c r="I138" s="15">
        <v>0</v>
      </c>
      <c r="J138" s="106" t="s">
        <v>12</v>
      </c>
      <c r="K138" s="591" t="s">
        <v>437</v>
      </c>
      <c r="L138" s="24"/>
      <c r="M138" s="593"/>
      <c r="N138" s="617"/>
    </row>
    <row r="139" spans="1:14" s="26" customFormat="1" ht="16" customHeight="1" x14ac:dyDescent="0.35">
      <c r="A139" s="589">
        <v>72</v>
      </c>
      <c r="B139" s="43" t="s">
        <v>56</v>
      </c>
      <c r="C139" s="15">
        <f t="shared" si="9"/>
        <v>1.8900000000000001</v>
      </c>
      <c r="D139" s="590">
        <f>'[23]road inventory 2018'!C138</f>
        <v>1.7</v>
      </c>
      <c r="E139" s="15">
        <v>0.83</v>
      </c>
      <c r="F139" s="15">
        <v>0</v>
      </c>
      <c r="G139" s="15">
        <v>0</v>
      </c>
      <c r="H139" s="15">
        <v>1.06</v>
      </c>
      <c r="I139" s="15">
        <v>0</v>
      </c>
      <c r="J139" s="106" t="s">
        <v>12</v>
      </c>
      <c r="K139" s="591" t="s">
        <v>438</v>
      </c>
      <c r="L139" s="24"/>
      <c r="M139" s="593"/>
      <c r="N139" s="617"/>
    </row>
    <row r="140" spans="1:14" s="26" customFormat="1" ht="16" customHeight="1" x14ac:dyDescent="0.35">
      <c r="A140" s="589">
        <v>73</v>
      </c>
      <c r="B140" s="24" t="s">
        <v>258</v>
      </c>
      <c r="C140" s="15">
        <f t="shared" si="9"/>
        <v>4.5599999999999996</v>
      </c>
      <c r="D140" s="590">
        <f>'[23]road inventory 2018'!C139</f>
        <v>5.5</v>
      </c>
      <c r="E140" s="15">
        <v>0</v>
      </c>
      <c r="F140" s="15">
        <v>0</v>
      </c>
      <c r="G140" s="15">
        <v>0</v>
      </c>
      <c r="H140" s="15">
        <v>4.5599999999999996</v>
      </c>
      <c r="I140" s="15">
        <v>0</v>
      </c>
      <c r="J140" s="106" t="s">
        <v>12</v>
      </c>
      <c r="K140" s="591" t="s">
        <v>439</v>
      </c>
      <c r="L140" s="24"/>
      <c r="M140" s="593"/>
      <c r="N140" s="617"/>
    </row>
    <row r="141" spans="1:14" s="26" customFormat="1" ht="16" customHeight="1" x14ac:dyDescent="0.35">
      <c r="A141" s="589">
        <v>74</v>
      </c>
      <c r="B141" s="24" t="s">
        <v>257</v>
      </c>
      <c r="C141" s="15">
        <f t="shared" si="9"/>
        <v>0.53</v>
      </c>
      <c r="D141" s="590">
        <f>'[23]road inventory 2018'!C140</f>
        <v>0.5</v>
      </c>
      <c r="E141" s="15">
        <v>0</v>
      </c>
      <c r="F141" s="15">
        <v>0</v>
      </c>
      <c r="G141" s="15">
        <v>0</v>
      </c>
      <c r="H141" s="15">
        <v>0.53</v>
      </c>
      <c r="I141" s="15">
        <v>0</v>
      </c>
      <c r="J141" s="757" t="s">
        <v>33</v>
      </c>
      <c r="K141" s="591" t="s">
        <v>439</v>
      </c>
      <c r="L141" s="24"/>
      <c r="M141" s="593"/>
      <c r="N141" s="617"/>
    </row>
    <row r="142" spans="1:14" s="1" customFormat="1" ht="16" customHeight="1" x14ac:dyDescent="0.35">
      <c r="A142" s="596">
        <v>75</v>
      </c>
      <c r="B142" s="28" t="s">
        <v>259</v>
      </c>
      <c r="C142" s="15">
        <f t="shared" si="9"/>
        <v>3.1</v>
      </c>
      <c r="D142" s="590">
        <f>'[23]road inventory 2018'!C141</f>
        <v>2.1</v>
      </c>
      <c r="E142" s="10">
        <v>0</v>
      </c>
      <c r="F142" s="10">
        <v>0</v>
      </c>
      <c r="G142" s="10">
        <v>0</v>
      </c>
      <c r="H142" s="10">
        <v>3.1</v>
      </c>
      <c r="I142" s="10">
        <v>0</v>
      </c>
      <c r="J142" s="103" t="s">
        <v>12</v>
      </c>
      <c r="K142" s="597" t="s">
        <v>440</v>
      </c>
      <c r="L142" s="28"/>
      <c r="M142" s="2"/>
      <c r="N142" s="581"/>
    </row>
    <row r="143" spans="1:14" s="26" customFormat="1" ht="16" customHeight="1" x14ac:dyDescent="0.35">
      <c r="A143" s="589">
        <v>76</v>
      </c>
      <c r="B143" s="24" t="s">
        <v>256</v>
      </c>
      <c r="C143" s="15">
        <f t="shared" si="9"/>
        <v>0.2</v>
      </c>
      <c r="D143" s="590">
        <f>'[23]road inventory 2018'!C142</f>
        <v>0.2</v>
      </c>
      <c r="E143" s="15">
        <v>0.2</v>
      </c>
      <c r="F143" s="15">
        <v>0</v>
      </c>
      <c r="G143" s="15">
        <v>0</v>
      </c>
      <c r="H143" s="15">
        <v>0</v>
      </c>
      <c r="I143" s="15">
        <v>0</v>
      </c>
      <c r="J143" s="106" t="s">
        <v>10</v>
      </c>
      <c r="K143" s="591" t="s">
        <v>425</v>
      </c>
      <c r="L143" s="24"/>
      <c r="M143" s="593"/>
      <c r="N143" s="617"/>
    </row>
    <row r="144" spans="1:14" s="26" customFormat="1" ht="16" customHeight="1" x14ac:dyDescent="0.35">
      <c r="A144" s="626"/>
      <c r="B144" s="60"/>
      <c r="C144" s="61">
        <f t="shared" ref="C144:I144" si="10">SUM(C112:C143)</f>
        <v>112.60000000000002</v>
      </c>
      <c r="D144" s="636">
        <f t="shared" si="10"/>
        <v>107.84999999999998</v>
      </c>
      <c r="E144" s="61">
        <f t="shared" si="10"/>
        <v>39.257000000000005</v>
      </c>
      <c r="F144" s="61">
        <f t="shared" si="10"/>
        <v>0</v>
      </c>
      <c r="G144" s="61">
        <f t="shared" si="10"/>
        <v>0</v>
      </c>
      <c r="H144" s="61">
        <f t="shared" si="10"/>
        <v>73.343000000000004</v>
      </c>
      <c r="I144" s="61">
        <f t="shared" si="10"/>
        <v>0</v>
      </c>
      <c r="J144" s="628"/>
      <c r="K144" s="629"/>
      <c r="L144" s="24"/>
      <c r="M144" s="593"/>
      <c r="N144" s="617"/>
    </row>
    <row r="145" spans="1:14" s="1" customFormat="1" ht="18" customHeight="1" thickBot="1" x14ac:dyDescent="0.4">
      <c r="A145" s="53" t="s">
        <v>341</v>
      </c>
      <c r="B145" s="34"/>
      <c r="C145" s="31">
        <f>E145+H145</f>
        <v>112.60000000000001</v>
      </c>
      <c r="D145" s="630"/>
      <c r="E145" s="31">
        <f>SUM(E112:E143)</f>
        <v>39.257000000000005</v>
      </c>
      <c r="F145" s="31">
        <f>SUM(F112:F143)</f>
        <v>0</v>
      </c>
      <c r="G145" s="31">
        <f>SUM(G112:G143)</f>
        <v>0</v>
      </c>
      <c r="H145" s="31">
        <f>SUM(H112:H143)</f>
        <v>73.343000000000004</v>
      </c>
      <c r="I145" s="31">
        <f>SUM(I112:I143)</f>
        <v>0</v>
      </c>
      <c r="J145" s="608"/>
      <c r="K145" s="609"/>
      <c r="L145" s="653"/>
      <c r="M145" s="21"/>
      <c r="N145" s="581"/>
    </row>
    <row r="146" spans="1:14" s="1" customFormat="1" ht="18" customHeight="1" x14ac:dyDescent="0.35">
      <c r="A146" s="544"/>
      <c r="B146" s="35"/>
      <c r="C146" s="22"/>
      <c r="D146" s="610"/>
      <c r="E146" s="22"/>
      <c r="F146" s="22"/>
      <c r="G146" s="22"/>
      <c r="H146" s="22"/>
      <c r="I146" s="22"/>
      <c r="K146" s="21"/>
      <c r="L146" s="653"/>
      <c r="M146" s="21"/>
      <c r="N146" s="581"/>
    </row>
    <row r="147" spans="1:14" s="1" customFormat="1" x14ac:dyDescent="0.35">
      <c r="A147" s="1203" t="s">
        <v>441</v>
      </c>
      <c r="B147" s="1204"/>
      <c r="C147" s="1204"/>
      <c r="D147" s="1204"/>
      <c r="E147" s="1204"/>
      <c r="F147" s="1204"/>
      <c r="G147" s="1204"/>
      <c r="H147" s="1204"/>
      <c r="I147" s="1204"/>
      <c r="J147" s="1204"/>
      <c r="K147" s="1204"/>
      <c r="L147" s="1205"/>
      <c r="M147" s="584"/>
      <c r="N147" s="581"/>
    </row>
    <row r="148" spans="1:14" s="1" customFormat="1" ht="16" thickBot="1" x14ac:dyDescent="0.4">
      <c r="A148" s="585"/>
      <c r="B148" s="2"/>
      <c r="C148" s="5"/>
      <c r="D148" s="586"/>
      <c r="E148" s="5"/>
      <c r="F148" s="5"/>
      <c r="G148" s="5"/>
      <c r="H148" s="5"/>
      <c r="I148" s="5"/>
      <c r="J148" s="3"/>
      <c r="K148" s="21"/>
      <c r="L148" s="97"/>
      <c r="M148" s="21"/>
      <c r="N148" s="581"/>
    </row>
    <row r="149" spans="1:14" s="1" customFormat="1" ht="21" customHeight="1" x14ac:dyDescent="0.35">
      <c r="A149" s="1206" t="s">
        <v>302</v>
      </c>
      <c r="B149" s="1208" t="s">
        <v>28</v>
      </c>
      <c r="C149" s="1210" t="s">
        <v>343</v>
      </c>
      <c r="D149" s="613"/>
      <c r="E149" s="1212" t="s">
        <v>305</v>
      </c>
      <c r="F149" s="1212"/>
      <c r="G149" s="1212"/>
      <c r="H149" s="1212"/>
      <c r="I149" s="1212"/>
      <c r="J149" s="1208" t="s">
        <v>29</v>
      </c>
      <c r="K149" s="1213" t="s">
        <v>306</v>
      </c>
      <c r="L149" s="1226" t="s">
        <v>307</v>
      </c>
      <c r="M149" s="588"/>
      <c r="N149" s="581"/>
    </row>
    <row r="150" spans="1:14" s="1" customFormat="1" ht="21" customHeight="1" thickBot="1" x14ac:dyDescent="0.4">
      <c r="A150" s="1207"/>
      <c r="B150" s="1209"/>
      <c r="C150" s="1211"/>
      <c r="D150" s="614"/>
      <c r="E150" s="7" t="s">
        <v>308</v>
      </c>
      <c r="F150" s="7" t="s">
        <v>309</v>
      </c>
      <c r="G150" s="7" t="s">
        <v>310</v>
      </c>
      <c r="H150" s="7" t="s">
        <v>311</v>
      </c>
      <c r="I150" s="7" t="s">
        <v>312</v>
      </c>
      <c r="J150" s="1209"/>
      <c r="K150" s="1214"/>
      <c r="L150" s="1227"/>
      <c r="M150" s="588"/>
      <c r="N150" s="581"/>
    </row>
    <row r="151" spans="1:14" s="26" customFormat="1" ht="16.5" customHeight="1" x14ac:dyDescent="0.35">
      <c r="A151" s="626">
        <v>95</v>
      </c>
      <c r="B151" s="43" t="s">
        <v>276</v>
      </c>
      <c r="C151" s="61">
        <f>SUM(E151:I151)</f>
        <v>2.3200000000000003</v>
      </c>
      <c r="D151" s="636">
        <f>'[23]road inventory 2018'!C149</f>
        <v>3</v>
      </c>
      <c r="E151" s="15">
        <v>1.02</v>
      </c>
      <c r="F151" s="15">
        <v>0</v>
      </c>
      <c r="G151" s="15">
        <v>0</v>
      </c>
      <c r="H151" s="61">
        <v>1.3</v>
      </c>
      <c r="I151" s="15">
        <v>0</v>
      </c>
      <c r="J151" s="106" t="s">
        <v>10</v>
      </c>
      <c r="K151" s="591" t="s">
        <v>442</v>
      </c>
      <c r="L151" s="592"/>
      <c r="M151" s="593"/>
      <c r="N151" s="617"/>
    </row>
    <row r="152" spans="1:14" s="26" customFormat="1" ht="15" customHeight="1" x14ac:dyDescent="0.35">
      <c r="A152" s="589">
        <v>77</v>
      </c>
      <c r="B152" s="43" t="s">
        <v>271</v>
      </c>
      <c r="C152" s="61">
        <f t="shared" ref="C152:C164" si="11">SUM(E152:I152)</f>
        <v>0.76</v>
      </c>
      <c r="D152" s="636">
        <f>'[23]road inventory 2018'!C150</f>
        <v>0.7</v>
      </c>
      <c r="E152" s="15">
        <v>0.76</v>
      </c>
      <c r="F152" s="15">
        <v>0</v>
      </c>
      <c r="G152" s="15">
        <v>0</v>
      </c>
      <c r="H152" s="15">
        <v>0</v>
      </c>
      <c r="I152" s="15">
        <v>0</v>
      </c>
      <c r="J152" s="106" t="s">
        <v>10</v>
      </c>
      <c r="K152" s="591" t="s">
        <v>443</v>
      </c>
      <c r="L152" s="24"/>
      <c r="M152" s="593"/>
      <c r="N152" s="617"/>
    </row>
    <row r="153" spans="1:14" s="26" customFormat="1" ht="15" customHeight="1" x14ac:dyDescent="0.35">
      <c r="A153" s="589">
        <v>94</v>
      </c>
      <c r="B153" s="43" t="s">
        <v>278</v>
      </c>
      <c r="C153" s="61">
        <f t="shared" si="11"/>
        <v>0.6</v>
      </c>
      <c r="D153" s="636">
        <f>'[23]road inventory 2018'!C151</f>
        <v>0.6</v>
      </c>
      <c r="E153" s="15">
        <v>0.5</v>
      </c>
      <c r="F153" s="15">
        <v>0</v>
      </c>
      <c r="G153" s="15">
        <v>0</v>
      </c>
      <c r="H153" s="15">
        <v>0.1</v>
      </c>
      <c r="I153" s="15">
        <v>0</v>
      </c>
      <c r="J153" s="106" t="s">
        <v>10</v>
      </c>
      <c r="K153" s="591" t="s">
        <v>444</v>
      </c>
      <c r="L153" s="24"/>
      <c r="M153" s="593"/>
      <c r="N153" s="617"/>
    </row>
    <row r="154" spans="1:14" s="1" customFormat="1" x14ac:dyDescent="0.35">
      <c r="A154" s="596">
        <v>78</v>
      </c>
      <c r="B154" s="45" t="s">
        <v>277</v>
      </c>
      <c r="C154" s="61">
        <f t="shared" si="11"/>
        <v>3.81</v>
      </c>
      <c r="D154" s="636">
        <f>'[23]road inventory 2018'!C152</f>
        <v>3.8</v>
      </c>
      <c r="E154" s="10">
        <v>0.69</v>
      </c>
      <c r="F154" s="10">
        <v>0</v>
      </c>
      <c r="G154" s="10">
        <v>0</v>
      </c>
      <c r="H154" s="10">
        <v>3.12</v>
      </c>
      <c r="I154" s="10">
        <v>0</v>
      </c>
      <c r="J154" s="757" t="s">
        <v>41</v>
      </c>
      <c r="K154" s="597" t="s">
        <v>445</v>
      </c>
      <c r="L154" s="28"/>
      <c r="M154" s="2"/>
      <c r="N154" s="581"/>
    </row>
    <row r="155" spans="1:14" s="1" customFormat="1" ht="16.5" customHeight="1" x14ac:dyDescent="0.35">
      <c r="A155" s="596">
        <v>79</v>
      </c>
      <c r="B155" s="45" t="s">
        <v>272</v>
      </c>
      <c r="C155" s="61">
        <f t="shared" si="11"/>
        <v>0.55000000000000004</v>
      </c>
      <c r="D155" s="636">
        <f>'[23]road inventory 2018'!C153</f>
        <v>1.9000000000000001</v>
      </c>
      <c r="E155" s="10">
        <v>0.12</v>
      </c>
      <c r="F155" s="10">
        <v>0</v>
      </c>
      <c r="G155" s="10">
        <v>0</v>
      </c>
      <c r="H155" s="10">
        <v>0.43</v>
      </c>
      <c r="I155" s="10">
        <v>0</v>
      </c>
      <c r="J155" s="757" t="s">
        <v>41</v>
      </c>
      <c r="K155" s="597" t="s">
        <v>446</v>
      </c>
      <c r="L155" s="28" t="s">
        <v>833</v>
      </c>
      <c r="M155" s="2"/>
      <c r="N155" s="581" t="s">
        <v>834</v>
      </c>
    </row>
    <row r="156" spans="1:14" s="1" customFormat="1" ht="31" x14ac:dyDescent="0.35">
      <c r="A156" s="596">
        <v>80</v>
      </c>
      <c r="B156" s="45" t="s">
        <v>282</v>
      </c>
      <c r="C156" s="61">
        <f t="shared" si="11"/>
        <v>15.75</v>
      </c>
      <c r="D156" s="636">
        <f>'[23]road inventory 2018'!C154</f>
        <v>15.7</v>
      </c>
      <c r="E156" s="10">
        <v>0.7</v>
      </c>
      <c r="F156" s="10">
        <v>0</v>
      </c>
      <c r="G156" s="10">
        <v>0</v>
      </c>
      <c r="H156" s="10">
        <v>15.05</v>
      </c>
      <c r="I156" s="10">
        <v>0</v>
      </c>
      <c r="J156" s="757" t="s">
        <v>41</v>
      </c>
      <c r="K156" s="597" t="s">
        <v>447</v>
      </c>
      <c r="L156" s="28"/>
      <c r="M156" s="2"/>
      <c r="N156" s="581"/>
    </row>
    <row r="157" spans="1:14" s="26" customFormat="1" ht="16.5" customHeight="1" x14ac:dyDescent="0.35">
      <c r="A157" s="589">
        <v>81</v>
      </c>
      <c r="B157" s="43" t="s">
        <v>279</v>
      </c>
      <c r="C157" s="61">
        <f t="shared" si="11"/>
        <v>3.89</v>
      </c>
      <c r="D157" s="636">
        <f>'[23]road inventory 2018'!C155</f>
        <v>3.8</v>
      </c>
      <c r="E157" s="15">
        <v>0.27</v>
      </c>
      <c r="F157" s="15">
        <v>0</v>
      </c>
      <c r="G157" s="15">
        <v>0</v>
      </c>
      <c r="H157" s="15">
        <v>3.62</v>
      </c>
      <c r="I157" s="15">
        <v>0</v>
      </c>
      <c r="J157" s="757" t="s">
        <v>33</v>
      </c>
      <c r="K157" s="591" t="s">
        <v>448</v>
      </c>
      <c r="L157" s="24"/>
      <c r="M157" s="593"/>
      <c r="N157" s="617"/>
    </row>
    <row r="158" spans="1:14" s="26" customFormat="1" ht="13.15" customHeight="1" x14ac:dyDescent="0.35">
      <c r="A158" s="589">
        <v>82</v>
      </c>
      <c r="B158" s="43" t="s">
        <v>283</v>
      </c>
      <c r="C158" s="61">
        <f t="shared" si="11"/>
        <v>5.6099999999999994</v>
      </c>
      <c r="D158" s="636">
        <f>'[23]road inventory 2018'!C156</f>
        <v>5.4</v>
      </c>
      <c r="E158" s="15">
        <v>1.23</v>
      </c>
      <c r="F158" s="15">
        <v>0</v>
      </c>
      <c r="G158" s="15">
        <v>0</v>
      </c>
      <c r="H158" s="15">
        <v>4.38</v>
      </c>
      <c r="I158" s="15">
        <v>0</v>
      </c>
      <c r="J158" s="757" t="s">
        <v>33</v>
      </c>
      <c r="K158" s="591" t="s">
        <v>449</v>
      </c>
      <c r="L158" s="24"/>
      <c r="M158" s="593"/>
      <c r="N158" s="617"/>
    </row>
    <row r="159" spans="1:14" s="1" customFormat="1" x14ac:dyDescent="0.35">
      <c r="A159" s="596">
        <v>83</v>
      </c>
      <c r="B159" s="45" t="s">
        <v>58</v>
      </c>
      <c r="C159" s="61">
        <f t="shared" si="11"/>
        <v>4.12</v>
      </c>
      <c r="D159" s="636">
        <f>'[23]road inventory 2018'!C157</f>
        <v>4.2</v>
      </c>
      <c r="E159" s="10">
        <v>0.34</v>
      </c>
      <c r="F159" s="10">
        <v>0</v>
      </c>
      <c r="G159" s="10">
        <v>0</v>
      </c>
      <c r="H159" s="10">
        <v>3.78</v>
      </c>
      <c r="I159" s="10">
        <v>0</v>
      </c>
      <c r="J159" s="103" t="s">
        <v>12</v>
      </c>
      <c r="K159" s="597" t="s">
        <v>447</v>
      </c>
      <c r="L159" s="28"/>
      <c r="M159" s="2"/>
      <c r="N159" s="581"/>
    </row>
    <row r="160" spans="1:14" s="1" customFormat="1" ht="31" x14ac:dyDescent="0.35">
      <c r="A160" s="596">
        <v>84</v>
      </c>
      <c r="B160" s="45" t="s">
        <v>274</v>
      </c>
      <c r="C160" s="61">
        <f t="shared" si="11"/>
        <v>1.27</v>
      </c>
      <c r="D160" s="636">
        <f>'[23]road inventory 2018'!C158</f>
        <v>1.2</v>
      </c>
      <c r="E160" s="10">
        <v>0</v>
      </c>
      <c r="F160" s="10">
        <v>0</v>
      </c>
      <c r="G160" s="10">
        <v>0</v>
      </c>
      <c r="H160" s="10">
        <v>1.27</v>
      </c>
      <c r="I160" s="10">
        <v>0</v>
      </c>
      <c r="J160" s="757" t="s">
        <v>41</v>
      </c>
      <c r="K160" s="597" t="s">
        <v>450</v>
      </c>
      <c r="L160" s="28"/>
      <c r="M160" s="2"/>
      <c r="N160" s="581"/>
    </row>
    <row r="161" spans="1:14" s="26" customFormat="1" ht="13.15" customHeight="1" x14ac:dyDescent="0.35">
      <c r="A161" s="589">
        <v>85</v>
      </c>
      <c r="B161" s="43" t="s">
        <v>281</v>
      </c>
      <c r="C161" s="61">
        <f t="shared" si="11"/>
        <v>2.86</v>
      </c>
      <c r="D161" s="636">
        <f>'[23]road inventory 2018'!C159</f>
        <v>2.8</v>
      </c>
      <c r="E161" s="15">
        <v>0</v>
      </c>
      <c r="F161" s="15">
        <v>0</v>
      </c>
      <c r="G161" s="15">
        <v>0</v>
      </c>
      <c r="H161" s="15">
        <v>2.86</v>
      </c>
      <c r="I161" s="15">
        <v>0</v>
      </c>
      <c r="J161" s="106" t="s">
        <v>10</v>
      </c>
      <c r="K161" s="591" t="s">
        <v>451</v>
      </c>
      <c r="L161" s="24"/>
      <c r="M161" s="593"/>
      <c r="N161" s="617"/>
    </row>
    <row r="162" spans="1:14" x14ac:dyDescent="0.35">
      <c r="A162" s="596">
        <v>86</v>
      </c>
      <c r="B162" s="45" t="s">
        <v>275</v>
      </c>
      <c r="C162" s="61">
        <f t="shared" si="11"/>
        <v>0.08</v>
      </c>
      <c r="D162" s="636">
        <f>'[23]road inventory 2018'!C160</f>
        <v>2.5</v>
      </c>
      <c r="E162" s="10">
        <v>0</v>
      </c>
      <c r="F162" s="10">
        <v>0</v>
      </c>
      <c r="G162" s="10">
        <v>0</v>
      </c>
      <c r="H162" s="10">
        <v>0.08</v>
      </c>
      <c r="I162" s="10">
        <v>0</v>
      </c>
      <c r="J162" s="757" t="s">
        <v>41</v>
      </c>
      <c r="K162" s="597" t="s">
        <v>452</v>
      </c>
      <c r="L162" s="28"/>
      <c r="N162" s="583" t="s">
        <v>453</v>
      </c>
    </row>
    <row r="163" spans="1:14" ht="31" x14ac:dyDescent="0.35">
      <c r="A163" s="596">
        <v>87</v>
      </c>
      <c r="B163" s="45" t="s">
        <v>273</v>
      </c>
      <c r="C163" s="61">
        <f t="shared" si="11"/>
        <v>0.51</v>
      </c>
      <c r="D163" s="636">
        <f>'[23]road inventory 2018'!C161</f>
        <v>0.5</v>
      </c>
      <c r="E163" s="10">
        <v>0</v>
      </c>
      <c r="F163" s="10">
        <v>0</v>
      </c>
      <c r="G163" s="10">
        <v>0</v>
      </c>
      <c r="H163" s="10">
        <v>0.51</v>
      </c>
      <c r="I163" s="10">
        <v>0</v>
      </c>
      <c r="J163" s="757" t="s">
        <v>41</v>
      </c>
      <c r="K163" s="597" t="s">
        <v>450</v>
      </c>
      <c r="L163" s="28"/>
    </row>
    <row r="164" spans="1:14" x14ac:dyDescent="0.35">
      <c r="A164" s="596">
        <v>88</v>
      </c>
      <c r="B164" s="45" t="s">
        <v>280</v>
      </c>
      <c r="C164" s="61">
        <f t="shared" si="11"/>
        <v>3.18</v>
      </c>
      <c r="D164" s="636">
        <f>'[23]road inventory 2018'!C162</f>
        <v>3.2</v>
      </c>
      <c r="E164" s="10">
        <v>0</v>
      </c>
      <c r="F164" s="10">
        <v>0</v>
      </c>
      <c r="G164" s="10">
        <v>0</v>
      </c>
      <c r="H164" s="10">
        <v>3.18</v>
      </c>
      <c r="I164" s="10">
        <v>0</v>
      </c>
      <c r="J164" s="757" t="s">
        <v>33</v>
      </c>
      <c r="K164" s="597" t="s">
        <v>454</v>
      </c>
      <c r="L164" s="28"/>
    </row>
    <row r="165" spans="1:14" x14ac:dyDescent="0.35">
      <c r="A165" s="635"/>
      <c r="B165" s="654"/>
      <c r="C165" s="41">
        <f>SUM(C151:C164)</f>
        <v>45.309999999999995</v>
      </c>
      <c r="D165" s="41">
        <f t="shared" ref="D165:I165" si="12">SUM(D151:D164)</f>
        <v>49.300000000000004</v>
      </c>
      <c r="E165" s="41">
        <f>SUM(E151:E164)</f>
        <v>5.6300000000000008</v>
      </c>
      <c r="F165" s="41">
        <f t="shared" si="12"/>
        <v>0</v>
      </c>
      <c r="G165" s="41">
        <f t="shared" si="12"/>
        <v>0</v>
      </c>
      <c r="H165" s="41">
        <f t="shared" si="12"/>
        <v>39.68</v>
      </c>
      <c r="I165" s="41">
        <f t="shared" si="12"/>
        <v>0</v>
      </c>
      <c r="J165" s="109"/>
      <c r="K165" s="605"/>
      <c r="L165" s="28"/>
    </row>
    <row r="166" spans="1:14" ht="18" customHeight="1" thickBot="1" x14ac:dyDescent="0.4">
      <c r="A166" s="53" t="s">
        <v>341</v>
      </c>
      <c r="B166" s="34"/>
      <c r="C166" s="31">
        <f>E166+H166</f>
        <v>45.31</v>
      </c>
      <c r="D166" s="630"/>
      <c r="E166" s="31">
        <f>SUM(E151:E164)</f>
        <v>5.6300000000000008</v>
      </c>
      <c r="F166" s="31">
        <f>SUM(F151:F164)</f>
        <v>0</v>
      </c>
      <c r="G166" s="31">
        <f>SUM(G151:G164)</f>
        <v>0</v>
      </c>
      <c r="H166" s="31">
        <f>SUM(H151:H164)</f>
        <v>39.68</v>
      </c>
      <c r="I166" s="31">
        <f>SUM(I151:I164)</f>
        <v>0</v>
      </c>
      <c r="J166" s="608"/>
      <c r="K166" s="609"/>
      <c r="L166" s="653"/>
      <c r="M166" s="21"/>
    </row>
    <row r="167" spans="1:14" ht="18" customHeight="1" thickBot="1" x14ac:dyDescent="0.4">
      <c r="A167" s="544"/>
      <c r="B167" s="35"/>
      <c r="C167" s="22"/>
      <c r="D167" s="610"/>
      <c r="E167" s="22"/>
      <c r="F167" s="22"/>
      <c r="G167" s="22"/>
      <c r="H167" s="22"/>
      <c r="I167" s="22"/>
      <c r="J167" s="1"/>
      <c r="K167" s="21"/>
      <c r="L167" s="97"/>
      <c r="M167" s="21"/>
    </row>
    <row r="168" spans="1:14" s="1" customFormat="1" x14ac:dyDescent="0.35">
      <c r="A168" s="1217" t="s">
        <v>455</v>
      </c>
      <c r="B168" s="1218"/>
      <c r="C168" s="1218"/>
      <c r="D168" s="1218"/>
      <c r="E168" s="1218"/>
      <c r="F168" s="1218"/>
      <c r="G168" s="1218"/>
      <c r="H168" s="1218"/>
      <c r="I168" s="1218"/>
      <c r="J168" s="1218"/>
      <c r="K168" s="1218"/>
      <c r="L168" s="1219"/>
      <c r="M168" s="584"/>
      <c r="N168" s="581"/>
    </row>
    <row r="169" spans="1:14" s="1" customFormat="1" ht="16" thickBot="1" x14ac:dyDescent="0.4">
      <c r="A169" s="585"/>
      <c r="B169" s="2"/>
      <c r="C169" s="5"/>
      <c r="D169" s="586"/>
      <c r="E169" s="5"/>
      <c r="F169" s="5"/>
      <c r="G169" s="5"/>
      <c r="H169" s="5"/>
      <c r="I169" s="5"/>
      <c r="J169" s="3"/>
      <c r="K169" s="21"/>
      <c r="L169" s="97"/>
      <c r="M169" s="21"/>
      <c r="N169" s="581"/>
    </row>
    <row r="170" spans="1:14" s="1" customFormat="1" ht="21" customHeight="1" x14ac:dyDescent="0.35">
      <c r="A170" s="1206" t="s">
        <v>302</v>
      </c>
      <c r="B170" s="1208" t="s">
        <v>28</v>
      </c>
      <c r="C170" s="1210" t="s">
        <v>343</v>
      </c>
      <c r="D170" s="613"/>
      <c r="E170" s="1212" t="s">
        <v>305</v>
      </c>
      <c r="F170" s="1212"/>
      <c r="G170" s="1212"/>
      <c r="H170" s="1212"/>
      <c r="I170" s="1212"/>
      <c r="J170" s="1208" t="s">
        <v>29</v>
      </c>
      <c r="K170" s="1213" t="s">
        <v>306</v>
      </c>
      <c r="L170" s="1226" t="s">
        <v>307</v>
      </c>
      <c r="M170" s="588"/>
      <c r="N170" s="581"/>
    </row>
    <row r="171" spans="1:14" s="1" customFormat="1" ht="21" customHeight="1" thickBot="1" x14ac:dyDescent="0.4">
      <c r="A171" s="1207"/>
      <c r="B171" s="1209"/>
      <c r="C171" s="1211"/>
      <c r="D171" s="614"/>
      <c r="E171" s="7" t="s">
        <v>308</v>
      </c>
      <c r="F171" s="7" t="s">
        <v>309</v>
      </c>
      <c r="G171" s="7" t="s">
        <v>310</v>
      </c>
      <c r="H171" s="7" t="s">
        <v>311</v>
      </c>
      <c r="I171" s="7" t="s">
        <v>312</v>
      </c>
      <c r="J171" s="1209"/>
      <c r="K171" s="1214"/>
      <c r="L171" s="1227"/>
      <c r="M171" s="588"/>
      <c r="N171" s="581"/>
    </row>
    <row r="172" spans="1:14" x14ac:dyDescent="0.35">
      <c r="A172" s="655">
        <v>91</v>
      </c>
      <c r="B172" s="47" t="s">
        <v>62</v>
      </c>
      <c r="C172" s="11">
        <f>SUM(E172:I172)</f>
        <v>13.07</v>
      </c>
      <c r="D172" s="656">
        <f>'[23]road inventory 2018'!C169</f>
        <v>12.9</v>
      </c>
      <c r="E172" s="11">
        <v>10</v>
      </c>
      <c r="F172" s="11">
        <v>0</v>
      </c>
      <c r="G172" s="11">
        <v>0</v>
      </c>
      <c r="H172" s="11">
        <v>3.07</v>
      </c>
      <c r="I172" s="11">
        <v>0</v>
      </c>
      <c r="J172" s="111" t="s">
        <v>10</v>
      </c>
      <c r="K172" s="657" t="s">
        <v>456</v>
      </c>
      <c r="L172" s="112"/>
    </row>
    <row r="173" spans="1:14" s="16" customFormat="1" x14ac:dyDescent="0.35">
      <c r="A173" s="589">
        <v>92</v>
      </c>
      <c r="B173" s="43" t="s">
        <v>457</v>
      </c>
      <c r="C173" s="11">
        <f>SUM(E173:I173)</f>
        <v>5.6</v>
      </c>
      <c r="D173" s="656">
        <f>'[23]road inventory 2018'!C170</f>
        <v>5.6</v>
      </c>
      <c r="E173" s="15">
        <v>3</v>
      </c>
      <c r="F173" s="15">
        <v>0</v>
      </c>
      <c r="G173" s="15">
        <v>0</v>
      </c>
      <c r="H173" s="15">
        <v>2.6</v>
      </c>
      <c r="I173" s="15">
        <v>0</v>
      </c>
      <c r="J173" s="106" t="s">
        <v>317</v>
      </c>
      <c r="K173" s="591" t="s">
        <v>459</v>
      </c>
      <c r="L173" s="24"/>
      <c r="M173" s="593"/>
      <c r="N173" s="598"/>
    </row>
    <row r="174" spans="1:14" x14ac:dyDescent="0.35">
      <c r="A174" s="658" t="s">
        <v>341</v>
      </c>
      <c r="B174" s="50"/>
      <c r="C174" s="51">
        <f t="shared" ref="C174:I174" si="13">SUM(C172:C173)</f>
        <v>18.670000000000002</v>
      </c>
      <c r="D174" s="51">
        <f t="shared" si="13"/>
        <v>18.5</v>
      </c>
      <c r="E174" s="51">
        <f t="shared" si="13"/>
        <v>13</v>
      </c>
      <c r="F174" s="51">
        <f t="shared" si="13"/>
        <v>0</v>
      </c>
      <c r="G174" s="51">
        <f t="shared" si="13"/>
        <v>0</v>
      </c>
      <c r="H174" s="51">
        <f t="shared" si="13"/>
        <v>5.67</v>
      </c>
      <c r="I174" s="51">
        <f t="shared" si="13"/>
        <v>0</v>
      </c>
      <c r="J174" s="102"/>
      <c r="K174" s="659"/>
      <c r="L174" s="653"/>
      <c r="M174" s="21"/>
    </row>
    <row r="175" spans="1:14" x14ac:dyDescent="0.35">
      <c r="A175" s="596"/>
      <c r="B175" s="45"/>
      <c r="C175" s="10"/>
      <c r="D175" s="615"/>
      <c r="E175" s="10"/>
      <c r="F175" s="10"/>
      <c r="G175" s="10"/>
      <c r="H175" s="10"/>
      <c r="I175" s="10"/>
      <c r="J175" s="103"/>
      <c r="K175" s="597"/>
      <c r="L175" s="28"/>
    </row>
    <row r="176" spans="1:14" ht="18" customHeight="1" thickBot="1" x14ac:dyDescent="0.4">
      <c r="A176" s="1224" t="s">
        <v>460</v>
      </c>
      <c r="B176" s="1225"/>
      <c r="C176" s="660">
        <f>C35+C69+C82+C89+C106+C145+C166+C174</f>
        <v>476.29</v>
      </c>
      <c r="D176" s="661">
        <f>D174+D165+D144+D105+D88+D81+D68+D34</f>
        <v>475.95</v>
      </c>
      <c r="E176" s="660">
        <f>+E174+E166+E145+E106+E89+E82+E69+E35</f>
        <v>150.96100000000001</v>
      </c>
      <c r="F176" s="660">
        <f>+F174+F166+F145+F106+F89+F82+F69+F35</f>
        <v>0</v>
      </c>
      <c r="G176" s="660">
        <f>+G174+G166+G145+G106+G89+G82+G69+G35</f>
        <v>5.8</v>
      </c>
      <c r="H176" s="660">
        <f>+H174+H166+H145+H106+H89+H82+H69+H35</f>
        <v>319.529</v>
      </c>
      <c r="I176" s="660">
        <f>+I174+I166+I145+I106+I89+I82+I69+I35</f>
        <v>0</v>
      </c>
      <c r="J176" s="662"/>
      <c r="K176" s="663"/>
      <c r="L176" s="664"/>
      <c r="M176" s="21"/>
    </row>
    <row r="177" spans="1:14" ht="18" customHeight="1" thickBot="1" x14ac:dyDescent="0.4">
      <c r="A177" s="544"/>
      <c r="B177" s="35"/>
      <c r="C177" s="22"/>
      <c r="D177" s="610"/>
      <c r="E177" s="22"/>
      <c r="F177" s="22"/>
      <c r="G177" s="22"/>
      <c r="H177" s="22"/>
      <c r="I177" s="22"/>
      <c r="J177" s="1"/>
      <c r="K177" s="21"/>
      <c r="L177" s="97"/>
      <c r="M177" s="21"/>
    </row>
    <row r="178" spans="1:14" s="1" customFormat="1" x14ac:dyDescent="0.35">
      <c r="A178" s="1217" t="s">
        <v>461</v>
      </c>
      <c r="B178" s="1218"/>
      <c r="C178" s="1218"/>
      <c r="D178" s="1218"/>
      <c r="E178" s="1218"/>
      <c r="F178" s="1218"/>
      <c r="G178" s="1218"/>
      <c r="H178" s="1218"/>
      <c r="I178" s="1218"/>
      <c r="J178" s="1218"/>
      <c r="K178" s="1218"/>
      <c r="L178" s="1219"/>
      <c r="M178" s="584"/>
      <c r="N178" s="581"/>
    </row>
    <row r="179" spans="1:14" s="1" customFormat="1" ht="16" thickBot="1" x14ac:dyDescent="0.4">
      <c r="A179" s="585"/>
      <c r="B179" s="2"/>
      <c r="C179" s="5"/>
      <c r="D179" s="586"/>
      <c r="E179" s="5"/>
      <c r="F179" s="5"/>
      <c r="G179" s="5"/>
      <c r="H179" s="5"/>
      <c r="I179" s="5"/>
      <c r="J179" s="3"/>
      <c r="K179" s="21"/>
      <c r="L179" s="97"/>
      <c r="M179" s="21"/>
      <c r="N179" s="581"/>
    </row>
    <row r="180" spans="1:14" s="1" customFormat="1" ht="21" customHeight="1" x14ac:dyDescent="0.35">
      <c r="A180" s="1206" t="s">
        <v>302</v>
      </c>
      <c r="B180" s="1208" t="s">
        <v>28</v>
      </c>
      <c r="C180" s="1210" t="s">
        <v>343</v>
      </c>
      <c r="D180" s="613"/>
      <c r="E180" s="1212" t="s">
        <v>305</v>
      </c>
      <c r="F180" s="1212"/>
      <c r="G180" s="1212"/>
      <c r="H180" s="1212"/>
      <c r="I180" s="1212"/>
      <c r="J180" s="1208" t="s">
        <v>29</v>
      </c>
      <c r="K180" s="1213" t="s">
        <v>306</v>
      </c>
      <c r="L180" s="1226" t="s">
        <v>307</v>
      </c>
      <c r="M180" s="588"/>
      <c r="N180" s="581"/>
    </row>
    <row r="181" spans="1:14" s="1" customFormat="1" ht="21" customHeight="1" thickBot="1" x14ac:dyDescent="0.4">
      <c r="A181" s="1207"/>
      <c r="B181" s="1209"/>
      <c r="C181" s="1211"/>
      <c r="D181" s="614"/>
      <c r="E181" s="7" t="s">
        <v>308</v>
      </c>
      <c r="F181" s="7" t="s">
        <v>309</v>
      </c>
      <c r="G181" s="7" t="s">
        <v>310</v>
      </c>
      <c r="H181" s="7" t="s">
        <v>311</v>
      </c>
      <c r="I181" s="7" t="s">
        <v>312</v>
      </c>
      <c r="J181" s="1209"/>
      <c r="K181" s="1214"/>
      <c r="L181" s="1227"/>
      <c r="M181" s="588"/>
      <c r="N181" s="581"/>
    </row>
    <row r="182" spans="1:14" s="16" customFormat="1" ht="18" customHeight="1" x14ac:dyDescent="0.35">
      <c r="A182" s="589">
        <v>89</v>
      </c>
      <c r="B182" s="24" t="s">
        <v>462</v>
      </c>
      <c r="C182" s="15">
        <f>SUM(E182:I182)</f>
        <v>0.63</v>
      </c>
      <c r="D182" s="590">
        <f>'[23]road inventory 2018'!C179</f>
        <v>0.63</v>
      </c>
      <c r="E182" s="15">
        <v>0.3</v>
      </c>
      <c r="F182" s="15">
        <v>0</v>
      </c>
      <c r="G182" s="15">
        <v>0</v>
      </c>
      <c r="H182" s="15">
        <v>0.33</v>
      </c>
      <c r="I182" s="15">
        <v>0</v>
      </c>
      <c r="J182" s="24" t="s">
        <v>10</v>
      </c>
      <c r="K182" s="591" t="s">
        <v>360</v>
      </c>
      <c r="L182" s="592"/>
      <c r="M182" s="593"/>
      <c r="N182" s="598"/>
    </row>
    <row r="183" spans="1:14" s="16" customFormat="1" x14ac:dyDescent="0.35">
      <c r="A183" s="589">
        <v>109</v>
      </c>
      <c r="B183" s="24" t="s">
        <v>285</v>
      </c>
      <c r="C183" s="15">
        <f t="shared" ref="C183:C198" si="14">SUM(E183:I183)</f>
        <v>2.5</v>
      </c>
      <c r="D183" s="590">
        <f>'[23]road inventory 2018'!C180</f>
        <v>2.5</v>
      </c>
      <c r="E183" s="15">
        <v>0.25700000000000001</v>
      </c>
      <c r="F183" s="15">
        <v>0</v>
      </c>
      <c r="G183" s="15">
        <v>0</v>
      </c>
      <c r="H183" s="15">
        <v>2.2429999999999999</v>
      </c>
      <c r="I183" s="15">
        <v>0</v>
      </c>
      <c r="J183" s="24" t="s">
        <v>10</v>
      </c>
      <c r="K183" s="591" t="s">
        <v>463</v>
      </c>
      <c r="L183" s="24"/>
      <c r="M183" s="593"/>
      <c r="N183" s="598"/>
    </row>
    <row r="184" spans="1:14" ht="31" x14ac:dyDescent="0.35">
      <c r="A184" s="596">
        <v>110</v>
      </c>
      <c r="B184" s="28" t="s">
        <v>65</v>
      </c>
      <c r="C184" s="15">
        <f t="shared" si="14"/>
        <v>7.12</v>
      </c>
      <c r="D184" s="590">
        <f>'[23]road inventory 2018'!C181</f>
        <v>7.3</v>
      </c>
      <c r="E184" s="10">
        <v>0</v>
      </c>
      <c r="F184" s="10">
        <v>0</v>
      </c>
      <c r="G184" s="10">
        <v>0</v>
      </c>
      <c r="H184" s="10">
        <v>7.12</v>
      </c>
      <c r="I184" s="10">
        <v>0</v>
      </c>
      <c r="J184" s="758" t="s">
        <v>33</v>
      </c>
      <c r="K184" s="597" t="s">
        <v>464</v>
      </c>
      <c r="L184" s="28"/>
    </row>
    <row r="185" spans="1:14" ht="31" x14ac:dyDescent="0.35">
      <c r="A185" s="596">
        <v>111</v>
      </c>
      <c r="B185" s="28" t="s">
        <v>66</v>
      </c>
      <c r="C185" s="15">
        <f t="shared" si="14"/>
        <v>15.379999999999999</v>
      </c>
      <c r="D185" s="590">
        <f>'[23]road inventory 2018'!C182</f>
        <v>15.4</v>
      </c>
      <c r="E185" s="10">
        <v>1.38</v>
      </c>
      <c r="F185" s="10">
        <v>0</v>
      </c>
      <c r="G185" s="10">
        <v>0</v>
      </c>
      <c r="H185" s="10">
        <v>14</v>
      </c>
      <c r="I185" s="10">
        <v>0</v>
      </c>
      <c r="J185" s="758" t="s">
        <v>33</v>
      </c>
      <c r="K185" s="597" t="s">
        <v>465</v>
      </c>
      <c r="L185" s="28"/>
    </row>
    <row r="186" spans="1:14" s="16" customFormat="1" ht="31" x14ac:dyDescent="0.35">
      <c r="A186" s="589">
        <v>112</v>
      </c>
      <c r="B186" s="24" t="s">
        <v>73</v>
      </c>
      <c r="C186" s="15">
        <f t="shared" si="14"/>
        <v>8.5100000000000016</v>
      </c>
      <c r="D186" s="590">
        <f>'[23]road inventory 2018'!C183</f>
        <v>8.4</v>
      </c>
      <c r="E186" s="15">
        <v>0.21</v>
      </c>
      <c r="F186" s="15">
        <v>0</v>
      </c>
      <c r="G186" s="15">
        <v>0</v>
      </c>
      <c r="H186" s="15">
        <v>8.3000000000000007</v>
      </c>
      <c r="I186" s="15">
        <v>0</v>
      </c>
      <c r="J186" s="24" t="s">
        <v>12</v>
      </c>
      <c r="K186" s="591" t="s">
        <v>466</v>
      </c>
      <c r="L186" s="24"/>
      <c r="M186" s="593"/>
      <c r="N186" s="598"/>
    </row>
    <row r="187" spans="1:14" x14ac:dyDescent="0.35">
      <c r="A187" s="596">
        <v>113</v>
      </c>
      <c r="B187" s="28" t="s">
        <v>75</v>
      </c>
      <c r="C187" s="15">
        <f t="shared" si="14"/>
        <v>1.52</v>
      </c>
      <c r="D187" s="590">
        <f>'[23]road inventory 2018'!C184</f>
        <v>1.5</v>
      </c>
      <c r="E187" s="10">
        <v>0.1</v>
      </c>
      <c r="F187" s="10">
        <v>0</v>
      </c>
      <c r="G187" s="10">
        <v>0</v>
      </c>
      <c r="H187" s="10">
        <v>1.42</v>
      </c>
      <c r="I187" s="10">
        <v>0</v>
      </c>
      <c r="J187" s="758" t="s">
        <v>33</v>
      </c>
      <c r="K187" s="597" t="s">
        <v>467</v>
      </c>
      <c r="L187" s="28"/>
    </row>
    <row r="188" spans="1:14" ht="31" x14ac:dyDescent="0.35">
      <c r="A188" s="596">
        <v>114</v>
      </c>
      <c r="B188" s="28" t="s">
        <v>468</v>
      </c>
      <c r="C188" s="15">
        <f t="shared" si="14"/>
        <v>9.5500000000000007</v>
      </c>
      <c r="D188" s="590">
        <f>'[23]road inventory 2018'!C185</f>
        <v>9.5</v>
      </c>
      <c r="E188" s="10">
        <v>0</v>
      </c>
      <c r="F188" s="10">
        <v>0</v>
      </c>
      <c r="G188" s="10">
        <v>0</v>
      </c>
      <c r="H188" s="10">
        <v>9.5500000000000007</v>
      </c>
      <c r="I188" s="10">
        <v>0</v>
      </c>
      <c r="J188" s="103" t="s">
        <v>12</v>
      </c>
      <c r="K188" s="597" t="s">
        <v>469</v>
      </c>
      <c r="L188" s="28"/>
    </row>
    <row r="189" spans="1:14" s="16" customFormat="1" ht="18" customHeight="1" x14ac:dyDescent="0.35">
      <c r="A189" s="589">
        <v>115</v>
      </c>
      <c r="B189" s="24" t="s">
        <v>77</v>
      </c>
      <c r="C189" s="15">
        <f t="shared" si="14"/>
        <v>10.71</v>
      </c>
      <c r="D189" s="590">
        <f>'[23]road inventory 2018'!C186</f>
        <v>10.700000000000001</v>
      </c>
      <c r="E189" s="15">
        <v>10.71</v>
      </c>
      <c r="F189" s="15">
        <v>0</v>
      </c>
      <c r="G189" s="15">
        <v>0</v>
      </c>
      <c r="H189" s="15">
        <v>0</v>
      </c>
      <c r="I189" s="15">
        <v>0</v>
      </c>
      <c r="J189" s="24" t="s">
        <v>10</v>
      </c>
      <c r="K189" s="591" t="s">
        <v>470</v>
      </c>
      <c r="L189" s="24"/>
      <c r="M189" s="593"/>
      <c r="N189" s="598"/>
    </row>
    <row r="190" spans="1:14" ht="18" customHeight="1" x14ac:dyDescent="0.35">
      <c r="A190" s="596">
        <v>117</v>
      </c>
      <c r="B190" s="28" t="s">
        <v>79</v>
      </c>
      <c r="C190" s="15">
        <f t="shared" si="14"/>
        <v>9.51</v>
      </c>
      <c r="D190" s="590">
        <f>'[23]road inventory 2018'!C187</f>
        <v>8.6</v>
      </c>
      <c r="E190" s="10">
        <v>1.7</v>
      </c>
      <c r="F190" s="10">
        <v>0</v>
      </c>
      <c r="G190" s="10">
        <v>0</v>
      </c>
      <c r="H190" s="10">
        <v>7.81</v>
      </c>
      <c r="I190" s="10">
        <v>0</v>
      </c>
      <c r="J190" s="103" t="s">
        <v>12</v>
      </c>
      <c r="K190" s="597" t="s">
        <v>471</v>
      </c>
      <c r="L190" s="28"/>
    </row>
    <row r="191" spans="1:14" ht="31" x14ac:dyDescent="0.35">
      <c r="A191" s="596">
        <v>118</v>
      </c>
      <c r="B191" s="28" t="s">
        <v>83</v>
      </c>
      <c r="C191" s="15">
        <f t="shared" si="14"/>
        <v>3.51</v>
      </c>
      <c r="D191" s="590">
        <f>'[23]road inventory 2018'!C188</f>
        <v>3.4</v>
      </c>
      <c r="E191" s="10">
        <v>0</v>
      </c>
      <c r="F191" s="10">
        <v>0</v>
      </c>
      <c r="G191" s="10">
        <v>0</v>
      </c>
      <c r="H191" s="10">
        <v>3.51</v>
      </c>
      <c r="I191" s="10">
        <v>0</v>
      </c>
      <c r="J191" s="757" t="s">
        <v>835</v>
      </c>
      <c r="K191" s="597" t="s">
        <v>472</v>
      </c>
      <c r="L191" s="28"/>
    </row>
    <row r="192" spans="1:14" s="16" customFormat="1" ht="31" x14ac:dyDescent="0.35">
      <c r="A192" s="589">
        <v>132</v>
      </c>
      <c r="B192" s="24" t="s">
        <v>85</v>
      </c>
      <c r="C192" s="15">
        <f t="shared" si="14"/>
        <v>13.5</v>
      </c>
      <c r="D192" s="590">
        <f>'[23]road inventory 2018'!C189</f>
        <v>13.5</v>
      </c>
      <c r="E192" s="15">
        <v>6.58</v>
      </c>
      <c r="F192" s="15">
        <v>0</v>
      </c>
      <c r="G192" s="15">
        <v>0</v>
      </c>
      <c r="H192" s="15">
        <v>6.9200000000000008</v>
      </c>
      <c r="I192" s="15">
        <v>0</v>
      </c>
      <c r="J192" s="106" t="s">
        <v>10</v>
      </c>
      <c r="K192" s="591" t="s">
        <v>473</v>
      </c>
      <c r="L192" s="24"/>
      <c r="M192" s="593"/>
      <c r="N192" s="598"/>
    </row>
    <row r="193" spans="1:14" s="16" customFormat="1" ht="18" customHeight="1" thickBot="1" x14ac:dyDescent="0.4">
      <c r="A193" s="649">
        <v>139</v>
      </c>
      <c r="B193" s="64" t="s">
        <v>474</v>
      </c>
      <c r="C193" s="15">
        <f t="shared" si="14"/>
        <v>9.1</v>
      </c>
      <c r="D193" s="590">
        <f>'[23]road inventory 2018'!C190</f>
        <v>8.9</v>
      </c>
      <c r="E193" s="65">
        <v>0</v>
      </c>
      <c r="F193" s="65">
        <v>0</v>
      </c>
      <c r="G193" s="65">
        <v>0</v>
      </c>
      <c r="H193" s="65">
        <v>9.1</v>
      </c>
      <c r="I193" s="65">
        <v>0</v>
      </c>
      <c r="J193" s="651" t="s">
        <v>12</v>
      </c>
      <c r="K193" s="652" t="s">
        <v>475</v>
      </c>
      <c r="L193" s="60"/>
      <c r="M193" s="593"/>
      <c r="N193" s="598"/>
    </row>
    <row r="194" spans="1:14" s="667" customFormat="1" ht="18" customHeight="1" x14ac:dyDescent="0.35">
      <c r="A194" s="618">
        <v>122</v>
      </c>
      <c r="B194" s="619" t="s">
        <v>476</v>
      </c>
      <c r="C194" s="620">
        <f t="shared" si="14"/>
        <v>3.4400000000000004</v>
      </c>
      <c r="D194" s="634">
        <f>'[23]road inventory 2018'!C193</f>
        <v>3.25</v>
      </c>
      <c r="E194" s="620">
        <v>2.0920000000000001</v>
      </c>
      <c r="F194" s="620">
        <v>0</v>
      </c>
      <c r="G194" s="620">
        <v>0</v>
      </c>
      <c r="H194" s="620">
        <v>1.3480000000000001</v>
      </c>
      <c r="I194" s="620">
        <v>0</v>
      </c>
      <c r="J194" s="621" t="s">
        <v>12</v>
      </c>
      <c r="K194" s="622" t="s">
        <v>477</v>
      </c>
      <c r="L194" s="665"/>
      <c r="M194" s="623"/>
      <c r="N194" s="666"/>
    </row>
    <row r="195" spans="1:14" s="16" customFormat="1" ht="18" customHeight="1" x14ac:dyDescent="0.35">
      <c r="A195" s="589">
        <v>216</v>
      </c>
      <c r="B195" s="24" t="s">
        <v>87</v>
      </c>
      <c r="C195" s="15">
        <f t="shared" si="14"/>
        <v>6.32</v>
      </c>
      <c r="D195" s="590">
        <f>'[23]road inventory 2018'!C194</f>
        <v>6.1</v>
      </c>
      <c r="E195" s="15">
        <v>0</v>
      </c>
      <c r="F195" s="15">
        <v>0</v>
      </c>
      <c r="G195" s="15">
        <v>0</v>
      </c>
      <c r="H195" s="15">
        <v>6.32</v>
      </c>
      <c r="I195" s="15">
        <v>0</v>
      </c>
      <c r="J195" s="106" t="s">
        <v>12</v>
      </c>
      <c r="K195" s="591" t="s">
        <v>478</v>
      </c>
      <c r="L195" s="24"/>
      <c r="M195" s="593"/>
      <c r="N195" s="598"/>
    </row>
    <row r="196" spans="1:14" s="16" customFormat="1" ht="18" customHeight="1" x14ac:dyDescent="0.35">
      <c r="A196" s="589">
        <v>133</v>
      </c>
      <c r="B196" s="24" t="s">
        <v>90</v>
      </c>
      <c r="C196" s="15">
        <f t="shared" si="14"/>
        <v>4.47</v>
      </c>
      <c r="D196" s="590">
        <f>'[23]road inventory 2018'!C195</f>
        <v>4.4000000000000004</v>
      </c>
      <c r="E196" s="15">
        <v>0</v>
      </c>
      <c r="F196" s="15">
        <v>0</v>
      </c>
      <c r="G196" s="15">
        <v>0</v>
      </c>
      <c r="H196" s="15">
        <v>4.47</v>
      </c>
      <c r="I196" s="15">
        <v>0</v>
      </c>
      <c r="J196" s="106" t="s">
        <v>12</v>
      </c>
      <c r="K196" s="591" t="s">
        <v>478</v>
      </c>
      <c r="L196" s="24"/>
      <c r="M196" s="593"/>
      <c r="N196" s="598"/>
    </row>
    <row r="197" spans="1:14" s="769" customFormat="1" ht="18" customHeight="1" x14ac:dyDescent="0.35">
      <c r="A197" s="760">
        <v>123</v>
      </c>
      <c r="B197" s="758" t="s">
        <v>91</v>
      </c>
      <c r="C197" s="762">
        <v>21.63</v>
      </c>
      <c r="D197" s="763">
        <f>'[23]road inventory 2018'!C196</f>
        <v>17</v>
      </c>
      <c r="E197" s="762">
        <v>14</v>
      </c>
      <c r="F197" s="762">
        <v>0</v>
      </c>
      <c r="G197" s="762">
        <v>0</v>
      </c>
      <c r="H197" s="762">
        <f>C197-E197</f>
        <v>7.629999999999999</v>
      </c>
      <c r="I197" s="762">
        <v>0</v>
      </c>
      <c r="J197" s="757" t="s">
        <v>12</v>
      </c>
      <c r="K197" s="765" t="s">
        <v>475</v>
      </c>
      <c r="L197" s="758"/>
      <c r="M197" s="766"/>
      <c r="N197" s="767"/>
    </row>
    <row r="198" spans="1:14" ht="18" customHeight="1" x14ac:dyDescent="0.35">
      <c r="A198" s="596">
        <v>134</v>
      </c>
      <c r="B198" s="45" t="s">
        <v>284</v>
      </c>
      <c r="C198" s="15">
        <f t="shared" si="14"/>
        <v>8.23</v>
      </c>
      <c r="D198" s="590">
        <f>'[23]road inventory 2018'!C197</f>
        <v>8.3000000000000007</v>
      </c>
      <c r="E198" s="10">
        <v>0</v>
      </c>
      <c r="F198" s="10">
        <v>0</v>
      </c>
      <c r="G198" s="10">
        <v>0</v>
      </c>
      <c r="H198" s="10">
        <v>8.23</v>
      </c>
      <c r="I198" s="10">
        <v>0</v>
      </c>
      <c r="J198" s="103" t="s">
        <v>317</v>
      </c>
      <c r="K198" s="597"/>
      <c r="L198" s="28"/>
    </row>
    <row r="199" spans="1:14" ht="18" customHeight="1" x14ac:dyDescent="0.35">
      <c r="A199" s="635"/>
      <c r="B199" s="654"/>
      <c r="C199" s="41">
        <f t="shared" ref="C199:I199" si="15">SUM(C182:C198)</f>
        <v>135.63</v>
      </c>
      <c r="D199" s="41">
        <f t="shared" si="15"/>
        <v>129.38000000000002</v>
      </c>
      <c r="E199" s="41">
        <f t="shared" si="15"/>
        <v>37.329000000000001</v>
      </c>
      <c r="F199" s="41">
        <f t="shared" si="15"/>
        <v>0</v>
      </c>
      <c r="G199" s="41">
        <f t="shared" si="15"/>
        <v>0</v>
      </c>
      <c r="H199" s="41">
        <f t="shared" si="15"/>
        <v>98.301000000000002</v>
      </c>
      <c r="I199" s="41">
        <f t="shared" si="15"/>
        <v>0</v>
      </c>
      <c r="J199" s="109"/>
      <c r="K199" s="605"/>
      <c r="L199" s="28"/>
    </row>
    <row r="200" spans="1:14" ht="18" customHeight="1" thickBot="1" x14ac:dyDescent="0.4">
      <c r="A200" s="53" t="s">
        <v>341</v>
      </c>
      <c r="B200" s="34"/>
      <c r="C200" s="31">
        <f>E200+H200</f>
        <v>135.63</v>
      </c>
      <c r="D200" s="630"/>
      <c r="E200" s="31">
        <f>SUM(E182:E198)</f>
        <v>37.329000000000001</v>
      </c>
      <c r="F200" s="31">
        <f>SUM(F182:F198)</f>
        <v>0</v>
      </c>
      <c r="G200" s="31">
        <f>SUM(G182:G198)</f>
        <v>0</v>
      </c>
      <c r="H200" s="31">
        <f>SUM(H182:H198)</f>
        <v>98.301000000000002</v>
      </c>
      <c r="I200" s="31">
        <f>SUM(I182:I198)</f>
        <v>0</v>
      </c>
      <c r="J200" s="608"/>
      <c r="K200" s="609"/>
      <c r="L200" s="653"/>
      <c r="M200" s="21"/>
    </row>
    <row r="201" spans="1:14" ht="18" customHeight="1" thickBot="1" x14ac:dyDescent="0.4">
      <c r="L201" s="28"/>
    </row>
    <row r="202" spans="1:14" s="1" customFormat="1" x14ac:dyDescent="0.35">
      <c r="A202" s="1217" t="s">
        <v>479</v>
      </c>
      <c r="B202" s="1218"/>
      <c r="C202" s="1218"/>
      <c r="D202" s="1218"/>
      <c r="E202" s="1218"/>
      <c r="F202" s="1218"/>
      <c r="G202" s="1218"/>
      <c r="H202" s="1218"/>
      <c r="I202" s="1218"/>
      <c r="J202" s="1218"/>
      <c r="K202" s="1218"/>
      <c r="L202" s="668"/>
      <c r="M202" s="584"/>
      <c r="N202" s="581"/>
    </row>
    <row r="203" spans="1:14" s="1" customFormat="1" ht="16" thickBot="1" x14ac:dyDescent="0.4">
      <c r="A203" s="585"/>
      <c r="B203" s="2"/>
      <c r="C203" s="5"/>
      <c r="D203" s="586"/>
      <c r="E203" s="5"/>
      <c r="F203" s="5"/>
      <c r="G203" s="5"/>
      <c r="H203" s="5"/>
      <c r="I203" s="5"/>
      <c r="J203" s="3"/>
      <c r="K203" s="21"/>
      <c r="L203" s="653"/>
      <c r="M203" s="21"/>
      <c r="N203" s="581"/>
    </row>
    <row r="204" spans="1:14" s="1" customFormat="1" ht="21" customHeight="1" x14ac:dyDescent="0.35">
      <c r="A204" s="1206" t="s">
        <v>302</v>
      </c>
      <c r="B204" s="1208" t="s">
        <v>28</v>
      </c>
      <c r="C204" s="1210" t="s">
        <v>343</v>
      </c>
      <c r="D204" s="613"/>
      <c r="E204" s="1212" t="s">
        <v>305</v>
      </c>
      <c r="F204" s="1212"/>
      <c r="G204" s="1212"/>
      <c r="H204" s="1212"/>
      <c r="I204" s="1212"/>
      <c r="J204" s="1208" t="s">
        <v>29</v>
      </c>
      <c r="K204" s="1213" t="s">
        <v>306</v>
      </c>
      <c r="L204" s="1215" t="s">
        <v>307</v>
      </c>
      <c r="M204" s="588"/>
      <c r="N204" s="581"/>
    </row>
    <row r="205" spans="1:14" s="1" customFormat="1" ht="21" customHeight="1" thickBot="1" x14ac:dyDescent="0.4">
      <c r="A205" s="1207"/>
      <c r="B205" s="1209"/>
      <c r="C205" s="1211"/>
      <c r="D205" s="614"/>
      <c r="E205" s="7" t="s">
        <v>308</v>
      </c>
      <c r="F205" s="7" t="s">
        <v>309</v>
      </c>
      <c r="G205" s="7" t="s">
        <v>310</v>
      </c>
      <c r="H205" s="7" t="s">
        <v>311</v>
      </c>
      <c r="I205" s="7" t="s">
        <v>312</v>
      </c>
      <c r="J205" s="1209"/>
      <c r="K205" s="1214"/>
      <c r="L205" s="1216"/>
      <c r="M205" s="588"/>
      <c r="N205" s="581"/>
    </row>
    <row r="206" spans="1:14" s="16" customFormat="1" ht="18" customHeight="1" x14ac:dyDescent="0.35">
      <c r="A206" s="589">
        <v>136</v>
      </c>
      <c r="B206" s="24" t="s">
        <v>93</v>
      </c>
      <c r="C206" s="15">
        <f>SUM(E206:I206)</f>
        <v>11.309999999999999</v>
      </c>
      <c r="D206" s="590">
        <f>'[23]road inventory 2018'!C204</f>
        <v>11.3</v>
      </c>
      <c r="E206" s="15">
        <v>8.6999999999999993</v>
      </c>
      <c r="F206" s="15">
        <v>0</v>
      </c>
      <c r="G206" s="15">
        <v>0</v>
      </c>
      <c r="H206" s="15">
        <v>2.61</v>
      </c>
      <c r="I206" s="15">
        <v>0</v>
      </c>
      <c r="J206" s="24" t="s">
        <v>10</v>
      </c>
      <c r="K206" s="591" t="s">
        <v>480</v>
      </c>
      <c r="L206" s="24"/>
      <c r="M206" s="593"/>
      <c r="N206" s="598"/>
    </row>
    <row r="207" spans="1:14" s="16" customFormat="1" ht="18" customHeight="1" x14ac:dyDescent="0.35">
      <c r="A207" s="589">
        <v>137</v>
      </c>
      <c r="B207" s="24" t="s">
        <v>95</v>
      </c>
      <c r="C207" s="15">
        <f t="shared" ref="C207:C213" si="16">SUM(E207:I207)</f>
        <v>12.59</v>
      </c>
      <c r="D207" s="590">
        <f>'[23]road inventory 2018'!C205</f>
        <v>12.5</v>
      </c>
      <c r="E207" s="15">
        <v>8.74</v>
      </c>
      <c r="F207" s="15">
        <v>0</v>
      </c>
      <c r="G207" s="15">
        <v>0</v>
      </c>
      <c r="H207" s="15">
        <v>3.85</v>
      </c>
      <c r="I207" s="15">
        <v>0</v>
      </c>
      <c r="J207" s="24" t="s">
        <v>10</v>
      </c>
      <c r="K207" s="591" t="s">
        <v>481</v>
      </c>
      <c r="L207" s="24"/>
      <c r="M207" s="593"/>
      <c r="N207" s="598"/>
    </row>
    <row r="208" spans="1:14" ht="18" customHeight="1" x14ac:dyDescent="0.35">
      <c r="A208" s="596">
        <v>119</v>
      </c>
      <c r="B208" s="28" t="s">
        <v>97</v>
      </c>
      <c r="C208" s="15">
        <f t="shared" si="16"/>
        <v>5.51</v>
      </c>
      <c r="D208" s="590">
        <f>'[23]road inventory 2018'!C206</f>
        <v>5.5</v>
      </c>
      <c r="E208" s="10">
        <v>0</v>
      </c>
      <c r="F208" s="10">
        <v>0</v>
      </c>
      <c r="G208" s="10">
        <v>0</v>
      </c>
      <c r="H208" s="10">
        <v>5.51</v>
      </c>
      <c r="I208" s="10">
        <v>0</v>
      </c>
      <c r="J208" s="758" t="s">
        <v>33</v>
      </c>
      <c r="K208" s="597" t="s">
        <v>482</v>
      </c>
      <c r="L208" s="28"/>
    </row>
    <row r="209" spans="1:15" s="16" customFormat="1" x14ac:dyDescent="0.35">
      <c r="A209" s="589">
        <v>120</v>
      </c>
      <c r="B209" s="24" t="s">
        <v>99</v>
      </c>
      <c r="C209" s="15">
        <f t="shared" si="16"/>
        <v>10.85</v>
      </c>
      <c r="D209" s="590">
        <f>'[23]road inventory 2018'!C207</f>
        <v>10.75</v>
      </c>
      <c r="E209" s="15">
        <v>10.24</v>
      </c>
      <c r="F209" s="15">
        <v>0</v>
      </c>
      <c r="G209" s="15">
        <v>0</v>
      </c>
      <c r="H209" s="15">
        <v>0.61</v>
      </c>
      <c r="I209" s="15">
        <v>0</v>
      </c>
      <c r="J209" s="24" t="s">
        <v>10</v>
      </c>
      <c r="K209" s="591" t="s">
        <v>483</v>
      </c>
      <c r="L209" s="24"/>
      <c r="M209" s="593"/>
      <c r="N209" s="598"/>
    </row>
    <row r="210" spans="1:15" s="16" customFormat="1" ht="31" x14ac:dyDescent="0.35">
      <c r="A210" s="589">
        <v>140</v>
      </c>
      <c r="B210" s="24" t="s">
        <v>101</v>
      </c>
      <c r="C210" s="15">
        <f t="shared" si="16"/>
        <v>18.149999999999999</v>
      </c>
      <c r="D210" s="590">
        <f>'[23]road inventory 2018'!C208</f>
        <v>19.52</v>
      </c>
      <c r="E210" s="15">
        <v>2.41</v>
      </c>
      <c r="F210" s="15">
        <v>0</v>
      </c>
      <c r="G210" s="15">
        <v>0</v>
      </c>
      <c r="H210" s="15">
        <v>15.74</v>
      </c>
      <c r="I210" s="15">
        <v>0</v>
      </c>
      <c r="J210" s="24" t="s">
        <v>12</v>
      </c>
      <c r="K210" s="591"/>
      <c r="L210" s="24"/>
      <c r="M210" s="593"/>
      <c r="N210" s="598"/>
    </row>
    <row r="211" spans="1:15" ht="31" x14ac:dyDescent="0.35">
      <c r="A211" s="596">
        <v>138</v>
      </c>
      <c r="B211" s="28" t="s">
        <v>103</v>
      </c>
      <c r="C211" s="15">
        <f t="shared" si="16"/>
        <v>5.98</v>
      </c>
      <c r="D211" s="590">
        <f>'[23]road inventory 2018'!C209</f>
        <v>5.0999999999999996</v>
      </c>
      <c r="E211" s="10">
        <v>0</v>
      </c>
      <c r="F211" s="10">
        <v>0</v>
      </c>
      <c r="G211" s="10">
        <v>0</v>
      </c>
      <c r="H211" s="10">
        <v>5.98</v>
      </c>
      <c r="I211" s="10">
        <v>0</v>
      </c>
      <c r="J211" s="757" t="s">
        <v>33</v>
      </c>
      <c r="K211" s="597" t="s">
        <v>484</v>
      </c>
      <c r="L211" s="28"/>
    </row>
    <row r="212" spans="1:15" ht="31" x14ac:dyDescent="0.35">
      <c r="A212" s="596">
        <v>124</v>
      </c>
      <c r="B212" s="28" t="s">
        <v>485</v>
      </c>
      <c r="C212" s="15">
        <f t="shared" si="16"/>
        <v>12.5</v>
      </c>
      <c r="D212" s="590">
        <f>'[23]road inventory 2018'!C210</f>
        <v>17</v>
      </c>
      <c r="E212" s="10">
        <v>3.52</v>
      </c>
      <c r="F212" s="10">
        <v>0</v>
      </c>
      <c r="G212" s="10">
        <v>0</v>
      </c>
      <c r="H212" s="10">
        <v>8.98</v>
      </c>
      <c r="I212" s="10">
        <v>0</v>
      </c>
      <c r="J212" s="103" t="s">
        <v>12</v>
      </c>
      <c r="K212" s="597"/>
      <c r="L212" s="28"/>
    </row>
    <row r="213" spans="1:15" s="16" customFormat="1" ht="18" customHeight="1" x14ac:dyDescent="0.35">
      <c r="A213" s="589">
        <v>141</v>
      </c>
      <c r="B213" s="24" t="s">
        <v>486</v>
      </c>
      <c r="C213" s="15">
        <f t="shared" si="16"/>
        <v>6</v>
      </c>
      <c r="D213" s="590">
        <f>'[23]road inventory 2018'!C211</f>
        <v>6</v>
      </c>
      <c r="E213" s="15">
        <v>0</v>
      </c>
      <c r="F213" s="15">
        <v>0</v>
      </c>
      <c r="G213" s="15">
        <v>0</v>
      </c>
      <c r="H213" s="15">
        <v>6</v>
      </c>
      <c r="I213" s="15">
        <v>0</v>
      </c>
      <c r="J213" s="106" t="s">
        <v>12</v>
      </c>
      <c r="K213" s="591" t="s">
        <v>487</v>
      </c>
      <c r="L213" s="24"/>
      <c r="M213" s="593"/>
      <c r="N213" s="598"/>
    </row>
    <row r="214" spans="1:15" s="16" customFormat="1" ht="18" customHeight="1" x14ac:dyDescent="0.35">
      <c r="A214" s="626"/>
      <c r="B214" s="60"/>
      <c r="C214" s="61">
        <f>SUM(C206:C213)</f>
        <v>82.89</v>
      </c>
      <c r="D214" s="61">
        <f t="shared" ref="D214:I214" si="17">SUM(D206:D213)</f>
        <v>87.669999999999987</v>
      </c>
      <c r="E214" s="61">
        <f t="shared" si="17"/>
        <v>33.61</v>
      </c>
      <c r="F214" s="61">
        <f t="shared" si="17"/>
        <v>0</v>
      </c>
      <c r="G214" s="61">
        <f t="shared" si="17"/>
        <v>0</v>
      </c>
      <c r="H214" s="61">
        <f t="shared" si="17"/>
        <v>49.28</v>
      </c>
      <c r="I214" s="61">
        <f t="shared" si="17"/>
        <v>0</v>
      </c>
      <c r="J214" s="628"/>
      <c r="K214" s="629"/>
      <c r="L214" s="24"/>
      <c r="M214" s="593"/>
      <c r="N214" s="598"/>
    </row>
    <row r="215" spans="1:15" ht="18" customHeight="1" thickBot="1" x14ac:dyDescent="0.4">
      <c r="A215" s="53" t="s">
        <v>341</v>
      </c>
      <c r="B215" s="34"/>
      <c r="C215" s="31">
        <f>SUM(C206:C213)</f>
        <v>82.89</v>
      </c>
      <c r="D215" s="630"/>
      <c r="E215" s="31">
        <f>SUM(E206:E213)</f>
        <v>33.61</v>
      </c>
      <c r="F215" s="31">
        <f>SUM(F206:F213)</f>
        <v>0</v>
      </c>
      <c r="G215" s="31">
        <f>SUM(G206:G213)</f>
        <v>0</v>
      </c>
      <c r="H215" s="31">
        <f>SUM(H206:H213)</f>
        <v>49.28</v>
      </c>
      <c r="I215" s="31">
        <f>SUM(I206:I213)</f>
        <v>0</v>
      </c>
      <c r="J215" s="608"/>
      <c r="K215" s="609"/>
      <c r="L215" s="653"/>
      <c r="M215" s="21"/>
    </row>
    <row r="216" spans="1:15" ht="18" customHeight="1" thickBot="1" x14ac:dyDescent="0.4">
      <c r="L216" s="28"/>
    </row>
    <row r="217" spans="1:15" s="1" customFormat="1" x14ac:dyDescent="0.35">
      <c r="A217" s="1217" t="s">
        <v>488</v>
      </c>
      <c r="B217" s="1218"/>
      <c r="C217" s="1218"/>
      <c r="D217" s="1218"/>
      <c r="E217" s="1218"/>
      <c r="F217" s="1218"/>
      <c r="G217" s="1218"/>
      <c r="H217" s="1218"/>
      <c r="I217" s="1218"/>
      <c r="J217" s="1218"/>
      <c r="K217" s="1218"/>
      <c r="L217" s="668"/>
      <c r="M217" s="584"/>
      <c r="N217" s="581"/>
    </row>
    <row r="218" spans="1:15" s="1" customFormat="1" ht="16" thickBot="1" x14ac:dyDescent="0.4">
      <c r="A218" s="585"/>
      <c r="B218" s="2"/>
      <c r="C218" s="5"/>
      <c r="D218" s="586"/>
      <c r="E218" s="5"/>
      <c r="F218" s="5"/>
      <c r="G218" s="5"/>
      <c r="H218" s="5"/>
      <c r="I218" s="5"/>
      <c r="J218" s="3"/>
      <c r="K218" s="21"/>
      <c r="L218" s="653"/>
      <c r="M218" s="21"/>
      <c r="N218" s="581"/>
    </row>
    <row r="219" spans="1:15" s="1" customFormat="1" ht="21" customHeight="1" x14ac:dyDescent="0.35">
      <c r="A219" s="1206" t="s">
        <v>302</v>
      </c>
      <c r="B219" s="1208" t="s">
        <v>28</v>
      </c>
      <c r="C219" s="1210" t="s">
        <v>343</v>
      </c>
      <c r="D219" s="613"/>
      <c r="E219" s="1212" t="s">
        <v>305</v>
      </c>
      <c r="F219" s="1212"/>
      <c r="G219" s="1212"/>
      <c r="H219" s="1212"/>
      <c r="I219" s="1212"/>
      <c r="J219" s="1208" t="s">
        <v>29</v>
      </c>
      <c r="K219" s="1213" t="s">
        <v>306</v>
      </c>
      <c r="L219" s="1215" t="str">
        <f>L204</f>
        <v>REMARKS</v>
      </c>
      <c r="M219" s="588"/>
      <c r="N219" s="581"/>
    </row>
    <row r="220" spans="1:15" s="1" customFormat="1" ht="21" customHeight="1" thickBot="1" x14ac:dyDescent="0.4">
      <c r="A220" s="1207"/>
      <c r="B220" s="1209"/>
      <c r="C220" s="1211"/>
      <c r="D220" s="614"/>
      <c r="E220" s="7" t="s">
        <v>308</v>
      </c>
      <c r="F220" s="7" t="s">
        <v>309</v>
      </c>
      <c r="G220" s="7" t="s">
        <v>310</v>
      </c>
      <c r="H220" s="7" t="s">
        <v>311</v>
      </c>
      <c r="I220" s="7" t="s">
        <v>312</v>
      </c>
      <c r="J220" s="1209"/>
      <c r="K220" s="1214"/>
      <c r="L220" s="1216"/>
      <c r="M220" s="588"/>
      <c r="N220" s="581"/>
    </row>
    <row r="221" spans="1:15" s="16" customFormat="1" ht="31" x14ac:dyDescent="0.35">
      <c r="A221" s="589">
        <v>142</v>
      </c>
      <c r="B221" s="24" t="s">
        <v>286</v>
      </c>
      <c r="C221" s="15">
        <f>SUM(E221:I221)</f>
        <v>21.69</v>
      </c>
      <c r="D221" s="590">
        <f>'[23]road inventory 2018'!C218</f>
        <v>19.299999999999997</v>
      </c>
      <c r="E221" s="15">
        <v>0.8</v>
      </c>
      <c r="F221" s="15">
        <v>0</v>
      </c>
      <c r="G221" s="15">
        <v>0</v>
      </c>
      <c r="H221" s="15">
        <v>20.89</v>
      </c>
      <c r="I221" s="15">
        <v>0</v>
      </c>
      <c r="J221" s="106" t="s">
        <v>12</v>
      </c>
      <c r="K221" s="591" t="s">
        <v>489</v>
      </c>
      <c r="L221" s="24"/>
      <c r="M221" s="593"/>
      <c r="N221" s="598"/>
    </row>
    <row r="222" spans="1:15" ht="31" x14ac:dyDescent="0.35">
      <c r="A222" s="596">
        <v>143</v>
      </c>
      <c r="B222" s="28" t="s">
        <v>287</v>
      </c>
      <c r="C222" s="15">
        <f t="shared" ref="C222:C228" si="18">SUM(E222:I222)</f>
        <v>8.91</v>
      </c>
      <c r="D222" s="590">
        <f>'[23]road inventory 2018'!C219</f>
        <v>8.7999999999999989</v>
      </c>
      <c r="E222" s="10">
        <v>0.2</v>
      </c>
      <c r="F222" s="10">
        <v>0</v>
      </c>
      <c r="G222" s="10">
        <v>0</v>
      </c>
      <c r="H222" s="10">
        <v>8.7100000000000009</v>
      </c>
      <c r="I222" s="10">
        <v>0</v>
      </c>
      <c r="J222" s="103" t="s">
        <v>12</v>
      </c>
      <c r="K222" s="597" t="s">
        <v>490</v>
      </c>
      <c r="L222" s="28"/>
      <c r="O222" s="3">
        <f>3750*4</f>
        <v>15000</v>
      </c>
    </row>
    <row r="223" spans="1:15" s="16" customFormat="1" ht="31" x14ac:dyDescent="0.35">
      <c r="A223" s="589">
        <v>144</v>
      </c>
      <c r="B223" s="24" t="s">
        <v>288</v>
      </c>
      <c r="C223" s="15">
        <f t="shared" si="18"/>
        <v>7.88</v>
      </c>
      <c r="D223" s="590">
        <f>'[23]road inventory 2018'!C220</f>
        <v>7.8999999999999995</v>
      </c>
      <c r="E223" s="15">
        <v>1.75</v>
      </c>
      <c r="F223" s="15">
        <v>0</v>
      </c>
      <c r="G223" s="15">
        <v>0</v>
      </c>
      <c r="H223" s="15">
        <v>6.13</v>
      </c>
      <c r="I223" s="15">
        <v>0</v>
      </c>
      <c r="J223" s="106" t="s">
        <v>12</v>
      </c>
      <c r="K223" s="591" t="s">
        <v>491</v>
      </c>
      <c r="L223" s="24"/>
      <c r="M223" s="593"/>
      <c r="N223" s="598"/>
    </row>
    <row r="224" spans="1:15" s="667" customFormat="1" x14ac:dyDescent="0.35">
      <c r="A224" s="618">
        <v>121</v>
      </c>
      <c r="B224" s="619" t="s">
        <v>104</v>
      </c>
      <c r="C224" s="620">
        <f t="shared" si="18"/>
        <v>23.3</v>
      </c>
      <c r="D224" s="634">
        <f>'[23]road inventory 2018'!C221</f>
        <v>23.2</v>
      </c>
      <c r="E224" s="620">
        <v>3.6030000000000002</v>
      </c>
      <c r="F224" s="620">
        <v>0</v>
      </c>
      <c r="G224" s="620">
        <v>1.72</v>
      </c>
      <c r="H224" s="620">
        <v>17.977</v>
      </c>
      <c r="I224" s="620">
        <v>0</v>
      </c>
      <c r="J224" s="621" t="s">
        <v>12</v>
      </c>
      <c r="K224" s="622" t="s">
        <v>492</v>
      </c>
      <c r="L224" s="619"/>
      <c r="M224" s="623"/>
      <c r="N224" s="666"/>
    </row>
    <row r="225" spans="1:14" ht="18" customHeight="1" x14ac:dyDescent="0.35">
      <c r="A225" s="596">
        <v>145</v>
      </c>
      <c r="B225" s="28" t="s">
        <v>109</v>
      </c>
      <c r="C225" s="15">
        <f t="shared" si="18"/>
        <v>3.6</v>
      </c>
      <c r="D225" s="590">
        <f>'[23]road inventory 2018'!C222</f>
        <v>3.3</v>
      </c>
      <c r="E225" s="10">
        <v>0</v>
      </c>
      <c r="F225" s="10">
        <v>0</v>
      </c>
      <c r="G225" s="10">
        <v>0</v>
      </c>
      <c r="H225" s="10">
        <v>3.6</v>
      </c>
      <c r="I225" s="10">
        <v>0</v>
      </c>
      <c r="J225" s="757" t="s">
        <v>41</v>
      </c>
      <c r="K225" s="597"/>
      <c r="L225" s="28"/>
    </row>
    <row r="226" spans="1:14" s="667" customFormat="1" ht="18" customHeight="1" x14ac:dyDescent="0.35">
      <c r="A226" s="618">
        <v>126</v>
      </c>
      <c r="B226" s="619" t="s">
        <v>110</v>
      </c>
      <c r="C226" s="620">
        <f t="shared" si="18"/>
        <v>10.097</v>
      </c>
      <c r="D226" s="634">
        <f>'[23]road inventory 2018'!C223</f>
        <v>9.6</v>
      </c>
      <c r="E226" s="620">
        <v>10.097</v>
      </c>
      <c r="F226" s="620">
        <v>0</v>
      </c>
      <c r="G226" s="620">
        <v>0</v>
      </c>
      <c r="H226" s="620">
        <v>0</v>
      </c>
      <c r="I226" s="620">
        <v>0</v>
      </c>
      <c r="J226" s="621" t="s">
        <v>836</v>
      </c>
      <c r="K226" s="622" t="s">
        <v>493</v>
      </c>
      <c r="L226" s="619"/>
      <c r="M226" s="623"/>
      <c r="N226" s="666"/>
    </row>
    <row r="227" spans="1:14" s="16" customFormat="1" ht="31" x14ac:dyDescent="0.35">
      <c r="A227" s="589">
        <v>146</v>
      </c>
      <c r="B227" s="24" t="s">
        <v>115</v>
      </c>
      <c r="C227" s="15">
        <f t="shared" si="18"/>
        <v>12.15</v>
      </c>
      <c r="D227" s="590">
        <f>'[23]road inventory 2018'!C224</f>
        <v>8.3000000000000007</v>
      </c>
      <c r="E227" s="15">
        <v>0</v>
      </c>
      <c r="F227" s="15">
        <v>0</v>
      </c>
      <c r="G227" s="15">
        <v>0</v>
      </c>
      <c r="H227" s="15">
        <v>12.15</v>
      </c>
      <c r="I227" s="15">
        <v>0</v>
      </c>
      <c r="J227" s="106" t="s">
        <v>12</v>
      </c>
      <c r="K227" s="591"/>
      <c r="L227" s="24"/>
      <c r="M227" s="593"/>
      <c r="N227" s="598"/>
    </row>
    <row r="228" spans="1:14" s="16" customFormat="1" ht="18" customHeight="1" x14ac:dyDescent="0.35">
      <c r="A228" s="589">
        <v>147</v>
      </c>
      <c r="B228" s="24" t="s">
        <v>289</v>
      </c>
      <c r="C228" s="15">
        <f t="shared" si="18"/>
        <v>4.59</v>
      </c>
      <c r="D228" s="590">
        <f>'[23]road inventory 2018'!C225</f>
        <v>4.2</v>
      </c>
      <c r="E228" s="15">
        <v>0.2</v>
      </c>
      <c r="F228" s="15">
        <v>0</v>
      </c>
      <c r="G228" s="15">
        <v>0</v>
      </c>
      <c r="H228" s="15">
        <v>4.3899999999999997</v>
      </c>
      <c r="I228" s="15">
        <v>0</v>
      </c>
      <c r="J228" s="106" t="s">
        <v>10</v>
      </c>
      <c r="K228" s="591"/>
      <c r="L228" s="24"/>
      <c r="M228" s="593"/>
      <c r="N228" s="598"/>
    </row>
    <row r="229" spans="1:14" s="16" customFormat="1" ht="18" customHeight="1" x14ac:dyDescent="0.35">
      <c r="A229" s="626"/>
      <c r="B229" s="60"/>
      <c r="C229" s="61">
        <f>SUM(C221:C228)</f>
        <v>92.216999999999999</v>
      </c>
      <c r="D229" s="61">
        <f t="shared" ref="D229:I229" si="19">SUM(D221:D228)</f>
        <v>84.59999999999998</v>
      </c>
      <c r="E229" s="61">
        <f t="shared" si="19"/>
        <v>16.649999999999999</v>
      </c>
      <c r="F229" s="61">
        <f t="shared" si="19"/>
        <v>0</v>
      </c>
      <c r="G229" s="61">
        <f t="shared" si="19"/>
        <v>1.72</v>
      </c>
      <c r="H229" s="61">
        <f t="shared" si="19"/>
        <v>73.847000000000008</v>
      </c>
      <c r="I229" s="61">
        <f t="shared" si="19"/>
        <v>0</v>
      </c>
      <c r="J229" s="628"/>
      <c r="K229" s="629"/>
      <c r="L229" s="24"/>
      <c r="M229" s="593"/>
      <c r="N229" s="598"/>
    </row>
    <row r="230" spans="1:14" ht="18" customHeight="1" thickBot="1" x14ac:dyDescent="0.4">
      <c r="A230" s="53" t="s">
        <v>341</v>
      </c>
      <c r="B230" s="34"/>
      <c r="C230" s="31">
        <f>SUM(C221:C228)</f>
        <v>92.216999999999999</v>
      </c>
      <c r="D230" s="630"/>
      <c r="E230" s="31">
        <f>SUM(E221:E228)</f>
        <v>16.649999999999999</v>
      </c>
      <c r="F230" s="31">
        <f>SUM(F221:F228)</f>
        <v>0</v>
      </c>
      <c r="G230" s="31">
        <f>SUM(G221:G228)</f>
        <v>1.72</v>
      </c>
      <c r="H230" s="31">
        <f>SUM(H221:H228)</f>
        <v>73.847000000000008</v>
      </c>
      <c r="I230" s="31">
        <f>SUM(I221:I228)</f>
        <v>0</v>
      </c>
      <c r="J230" s="608"/>
      <c r="K230" s="609"/>
      <c r="L230" s="653"/>
      <c r="M230" s="21"/>
    </row>
    <row r="231" spans="1:14" ht="18" customHeight="1" thickBot="1" x14ac:dyDescent="0.4">
      <c r="L231" s="28"/>
    </row>
    <row r="232" spans="1:14" s="1" customFormat="1" x14ac:dyDescent="0.35">
      <c r="A232" s="1217" t="s">
        <v>494</v>
      </c>
      <c r="B232" s="1218"/>
      <c r="C232" s="1218"/>
      <c r="D232" s="1218"/>
      <c r="E232" s="1218"/>
      <c r="F232" s="1218"/>
      <c r="G232" s="1218"/>
      <c r="H232" s="1218"/>
      <c r="I232" s="1218"/>
      <c r="J232" s="1218"/>
      <c r="K232" s="1218"/>
      <c r="L232" s="668"/>
      <c r="M232" s="584"/>
      <c r="N232" s="581"/>
    </row>
    <row r="233" spans="1:14" s="1" customFormat="1" ht="16" thickBot="1" x14ac:dyDescent="0.4">
      <c r="A233" s="585"/>
      <c r="B233" s="2"/>
      <c r="C233" s="5"/>
      <c r="D233" s="586"/>
      <c r="E233" s="5"/>
      <c r="F233" s="5"/>
      <c r="G233" s="5"/>
      <c r="H233" s="5"/>
      <c r="I233" s="5"/>
      <c r="J233" s="3"/>
      <c r="K233" s="21"/>
      <c r="L233" s="653"/>
      <c r="M233" s="21"/>
      <c r="N233" s="581"/>
    </row>
    <row r="234" spans="1:14" s="1" customFormat="1" ht="21" customHeight="1" x14ac:dyDescent="0.35">
      <c r="A234" s="1206" t="s">
        <v>302</v>
      </c>
      <c r="B234" s="1208" t="s">
        <v>28</v>
      </c>
      <c r="C234" s="1210" t="s">
        <v>343</v>
      </c>
      <c r="D234" s="613"/>
      <c r="E234" s="1212" t="s">
        <v>305</v>
      </c>
      <c r="F234" s="1212"/>
      <c r="G234" s="1212"/>
      <c r="H234" s="1212"/>
      <c r="I234" s="1212"/>
      <c r="J234" s="1208" t="s">
        <v>29</v>
      </c>
      <c r="K234" s="1213" t="s">
        <v>306</v>
      </c>
      <c r="L234" s="1215" t="str">
        <f>L219</f>
        <v>REMARKS</v>
      </c>
      <c r="M234" s="588"/>
      <c r="N234" s="581"/>
    </row>
    <row r="235" spans="1:14" s="1" customFormat="1" ht="21" customHeight="1" thickBot="1" x14ac:dyDescent="0.4">
      <c r="A235" s="1207"/>
      <c r="B235" s="1209"/>
      <c r="C235" s="1211"/>
      <c r="D235" s="614"/>
      <c r="E235" s="7" t="s">
        <v>308</v>
      </c>
      <c r="F235" s="7" t="s">
        <v>309</v>
      </c>
      <c r="G235" s="7" t="s">
        <v>310</v>
      </c>
      <c r="H235" s="7" t="s">
        <v>311</v>
      </c>
      <c r="I235" s="7" t="s">
        <v>312</v>
      </c>
      <c r="J235" s="1209"/>
      <c r="K235" s="1214"/>
      <c r="L235" s="1216"/>
      <c r="M235" s="588"/>
      <c r="N235" s="581"/>
    </row>
    <row r="236" spans="1:14" ht="18" customHeight="1" x14ac:dyDescent="0.35">
      <c r="A236" s="596">
        <v>148</v>
      </c>
      <c r="B236" s="28" t="s">
        <v>290</v>
      </c>
      <c r="C236" s="10">
        <f>SUM(E236:I236)</f>
        <v>3.0799999999999996</v>
      </c>
      <c r="D236" s="615">
        <f>'[23]road inventory 2018'!C232</f>
        <v>3</v>
      </c>
      <c r="E236" s="10">
        <v>0.32</v>
      </c>
      <c r="F236" s="10">
        <v>0</v>
      </c>
      <c r="G236" s="10">
        <v>0</v>
      </c>
      <c r="H236" s="10">
        <v>2.76</v>
      </c>
      <c r="I236" s="10">
        <v>0</v>
      </c>
      <c r="J236" s="757" t="s">
        <v>41</v>
      </c>
      <c r="K236" s="597" t="s">
        <v>495</v>
      </c>
      <c r="L236" s="28"/>
    </row>
    <row r="237" spans="1:14" s="16" customFormat="1" x14ac:dyDescent="0.35">
      <c r="A237" s="589">
        <v>149</v>
      </c>
      <c r="B237" s="24" t="s">
        <v>496</v>
      </c>
      <c r="C237" s="10">
        <f>SUM(E237:I237)</f>
        <v>5.01</v>
      </c>
      <c r="D237" s="615">
        <f>'[23]road inventory 2018'!C233</f>
        <v>5</v>
      </c>
      <c r="E237" s="15">
        <v>0.79</v>
      </c>
      <c r="F237" s="15">
        <v>0</v>
      </c>
      <c r="G237" s="15">
        <v>0</v>
      </c>
      <c r="H237" s="15">
        <v>4.22</v>
      </c>
      <c r="I237" s="15">
        <v>0</v>
      </c>
      <c r="J237" s="106" t="s">
        <v>12</v>
      </c>
      <c r="K237" s="591" t="s">
        <v>497</v>
      </c>
      <c r="L237" s="24"/>
      <c r="M237" s="593"/>
      <c r="N237" s="598"/>
    </row>
    <row r="238" spans="1:14" ht="18" customHeight="1" x14ac:dyDescent="0.35">
      <c r="A238" s="596">
        <v>150</v>
      </c>
      <c r="B238" s="28" t="s">
        <v>116</v>
      </c>
      <c r="C238" s="10">
        <f>SUM(E238:I238)</f>
        <v>11.27</v>
      </c>
      <c r="D238" s="615">
        <f>'[23]road inventory 2018'!C234</f>
        <v>11</v>
      </c>
      <c r="E238" s="10">
        <v>2.4500000000000002</v>
      </c>
      <c r="F238" s="10">
        <v>0</v>
      </c>
      <c r="G238" s="10">
        <v>0</v>
      </c>
      <c r="H238" s="10">
        <v>8.82</v>
      </c>
      <c r="I238" s="10">
        <v>0</v>
      </c>
      <c r="J238" s="757" t="s">
        <v>33</v>
      </c>
      <c r="K238" s="597" t="s">
        <v>498</v>
      </c>
      <c r="L238" s="28"/>
    </row>
    <row r="239" spans="1:14" s="16" customFormat="1" ht="18" customHeight="1" x14ac:dyDescent="0.35">
      <c r="A239" s="589">
        <v>151</v>
      </c>
      <c r="B239" s="24" t="s">
        <v>499</v>
      </c>
      <c r="C239" s="10">
        <f>SUM(E239:I239)</f>
        <v>3.99</v>
      </c>
      <c r="D239" s="615">
        <f>'[23]road inventory 2018'!C235</f>
        <v>4</v>
      </c>
      <c r="E239" s="15">
        <v>0</v>
      </c>
      <c r="F239" s="15">
        <v>0</v>
      </c>
      <c r="G239" s="15">
        <v>0</v>
      </c>
      <c r="H239" s="15">
        <v>3.99</v>
      </c>
      <c r="I239" s="15">
        <v>0</v>
      </c>
      <c r="J239" s="106" t="s">
        <v>12</v>
      </c>
      <c r="K239" s="591" t="s">
        <v>500</v>
      </c>
      <c r="L239" s="24"/>
      <c r="M239" s="593"/>
      <c r="N239" s="598"/>
    </row>
    <row r="240" spans="1:14" ht="18" customHeight="1" x14ac:dyDescent="0.35">
      <c r="A240" s="596">
        <v>152</v>
      </c>
      <c r="B240" s="28" t="s">
        <v>120</v>
      </c>
      <c r="C240" s="10">
        <f>SUM(E240:I240)</f>
        <v>4.82</v>
      </c>
      <c r="D240" s="615">
        <f>'[23]road inventory 2018'!C236</f>
        <v>4.5999999999999996</v>
      </c>
      <c r="E240" s="10">
        <v>0</v>
      </c>
      <c r="F240" s="10">
        <v>0</v>
      </c>
      <c r="G240" s="10">
        <v>0</v>
      </c>
      <c r="H240" s="10">
        <v>4.82</v>
      </c>
      <c r="I240" s="10">
        <v>0</v>
      </c>
      <c r="J240" s="757" t="s">
        <v>33</v>
      </c>
      <c r="K240" s="597"/>
      <c r="L240" s="28"/>
    </row>
    <row r="241" spans="1:14" ht="18" customHeight="1" x14ac:dyDescent="0.35">
      <c r="A241" s="635"/>
      <c r="B241" s="40"/>
      <c r="C241" s="41">
        <f>SUM(C236:C240)</f>
        <v>28.17</v>
      </c>
      <c r="D241" s="41">
        <f t="shared" ref="D241:I241" si="20">SUM(D236:D240)</f>
        <v>27.6</v>
      </c>
      <c r="E241" s="41">
        <f t="shared" si="20"/>
        <v>3.5600000000000005</v>
      </c>
      <c r="F241" s="41">
        <f t="shared" si="20"/>
        <v>0</v>
      </c>
      <c r="G241" s="41">
        <f t="shared" si="20"/>
        <v>0</v>
      </c>
      <c r="H241" s="41">
        <f t="shared" si="20"/>
        <v>24.61</v>
      </c>
      <c r="I241" s="41">
        <f t="shared" si="20"/>
        <v>0</v>
      </c>
      <c r="J241" s="109"/>
      <c r="K241" s="605"/>
      <c r="L241" s="28"/>
    </row>
    <row r="242" spans="1:14" ht="18" customHeight="1" thickBot="1" x14ac:dyDescent="0.4">
      <c r="A242" s="53" t="s">
        <v>341</v>
      </c>
      <c r="B242" s="34"/>
      <c r="C242" s="31">
        <f>SUM(C236:C240)</f>
        <v>28.17</v>
      </c>
      <c r="D242" s="630"/>
      <c r="E242" s="31">
        <f>SUM(E236:E240)</f>
        <v>3.5600000000000005</v>
      </c>
      <c r="F242" s="31">
        <f>SUM(F236:F240)</f>
        <v>0</v>
      </c>
      <c r="G242" s="31">
        <f>SUM(G236:G240)</f>
        <v>0</v>
      </c>
      <c r="H242" s="31">
        <f>SUM(H236:H240)</f>
        <v>24.61</v>
      </c>
      <c r="I242" s="31">
        <f>SUM(I236:I240)</f>
        <v>0</v>
      </c>
      <c r="J242" s="608"/>
      <c r="K242" s="609"/>
      <c r="L242" s="653"/>
      <c r="M242" s="21"/>
    </row>
    <row r="243" spans="1:14" ht="18" customHeight="1" thickBot="1" x14ac:dyDescent="0.4">
      <c r="L243" s="28"/>
    </row>
    <row r="244" spans="1:14" s="1" customFormat="1" x14ac:dyDescent="0.35">
      <c r="A244" s="1217" t="s">
        <v>501</v>
      </c>
      <c r="B244" s="1218"/>
      <c r="C244" s="1218"/>
      <c r="D244" s="1218"/>
      <c r="E244" s="1218"/>
      <c r="F244" s="1218"/>
      <c r="G244" s="1218"/>
      <c r="H244" s="1218"/>
      <c r="I244" s="1218"/>
      <c r="J244" s="1218"/>
      <c r="K244" s="1218"/>
      <c r="L244" s="668"/>
      <c r="M244" s="584"/>
      <c r="N244" s="581"/>
    </row>
    <row r="245" spans="1:14" s="1" customFormat="1" ht="16" thickBot="1" x14ac:dyDescent="0.4">
      <c r="A245" s="585"/>
      <c r="B245" s="2"/>
      <c r="C245" s="5"/>
      <c r="D245" s="586"/>
      <c r="E245" s="5"/>
      <c r="F245" s="5"/>
      <c r="G245" s="5"/>
      <c r="H245" s="5"/>
      <c r="I245" s="5"/>
      <c r="J245" s="3"/>
      <c r="K245" s="21"/>
      <c r="L245" s="653"/>
      <c r="M245" s="21"/>
      <c r="N245" s="581"/>
    </row>
    <row r="246" spans="1:14" s="1" customFormat="1" ht="21" customHeight="1" x14ac:dyDescent="0.35">
      <c r="A246" s="1206" t="s">
        <v>302</v>
      </c>
      <c r="B246" s="1208" t="s">
        <v>28</v>
      </c>
      <c r="C246" s="1210" t="s">
        <v>343</v>
      </c>
      <c r="D246" s="613"/>
      <c r="E246" s="1212" t="s">
        <v>305</v>
      </c>
      <c r="F246" s="1212"/>
      <c r="G246" s="1212"/>
      <c r="H246" s="1212"/>
      <c r="I246" s="1212"/>
      <c r="J246" s="1208" t="s">
        <v>29</v>
      </c>
      <c r="K246" s="1213" t="s">
        <v>306</v>
      </c>
      <c r="L246" s="1215" t="str">
        <f>L234</f>
        <v>REMARKS</v>
      </c>
      <c r="M246" s="588"/>
      <c r="N246" s="581"/>
    </row>
    <row r="247" spans="1:14" s="1" customFormat="1" ht="21" customHeight="1" thickBot="1" x14ac:dyDescent="0.4">
      <c r="A247" s="1207"/>
      <c r="B247" s="1209"/>
      <c r="C247" s="1211"/>
      <c r="D247" s="614"/>
      <c r="E247" s="7" t="s">
        <v>308</v>
      </c>
      <c r="F247" s="7" t="s">
        <v>309</v>
      </c>
      <c r="G247" s="7" t="s">
        <v>310</v>
      </c>
      <c r="H247" s="7" t="s">
        <v>311</v>
      </c>
      <c r="I247" s="7" t="s">
        <v>312</v>
      </c>
      <c r="J247" s="1209"/>
      <c r="K247" s="1214"/>
      <c r="L247" s="1216"/>
      <c r="M247" s="588"/>
      <c r="N247" s="581"/>
    </row>
    <row r="248" spans="1:14" s="677" customFormat="1" ht="18" customHeight="1" x14ac:dyDescent="0.35">
      <c r="A248" s="669">
        <v>153</v>
      </c>
      <c r="B248" s="107" t="s">
        <v>121</v>
      </c>
      <c r="C248" s="670">
        <f>SUM(E248:I248)</f>
        <v>11</v>
      </c>
      <c r="D248" s="671">
        <f>'[23]road inventory 2018'!C243</f>
        <v>11</v>
      </c>
      <c r="E248" s="670">
        <v>1.96</v>
      </c>
      <c r="F248" s="670">
        <f>[24]CARRIAGEWAY!$X$360</f>
        <v>0</v>
      </c>
      <c r="G248" s="670">
        <f>[24]CARRIAGEWAY!$Z$360</f>
        <v>0</v>
      </c>
      <c r="H248" s="672">
        <v>9.0399999999999991</v>
      </c>
      <c r="I248" s="670">
        <v>0</v>
      </c>
      <c r="J248" s="673" t="str">
        <f>[24]CARRIAGEWAY!$Z$361</f>
        <v>FAIR</v>
      </c>
      <c r="K248" s="674" t="s">
        <v>502</v>
      </c>
      <c r="L248" s="107"/>
      <c r="M248" s="675"/>
      <c r="N248" s="676"/>
    </row>
    <row r="249" spans="1:14" s="16" customFormat="1" ht="18" customHeight="1" x14ac:dyDescent="0.35">
      <c r="A249" s="589">
        <v>125</v>
      </c>
      <c r="B249" s="24" t="s">
        <v>125</v>
      </c>
      <c r="C249" s="670">
        <f t="shared" ref="C249:C261" si="21">SUM(E249:I249)</f>
        <v>2.9</v>
      </c>
      <c r="D249" s="671">
        <f>'[23]road inventory 2018'!C244</f>
        <v>2.9</v>
      </c>
      <c r="E249" s="15">
        <v>0</v>
      </c>
      <c r="F249" s="15">
        <v>0</v>
      </c>
      <c r="G249" s="15">
        <v>0</v>
      </c>
      <c r="H249" s="70">
        <v>2.9</v>
      </c>
      <c r="I249" s="15">
        <v>0</v>
      </c>
      <c r="J249" s="106" t="s">
        <v>12</v>
      </c>
      <c r="K249" s="591" t="s">
        <v>502</v>
      </c>
      <c r="L249" s="24"/>
      <c r="M249" s="593"/>
      <c r="N249" s="598"/>
    </row>
    <row r="250" spans="1:14" s="16" customFormat="1" ht="18" customHeight="1" x14ac:dyDescent="0.35">
      <c r="A250" s="589">
        <v>154</v>
      </c>
      <c r="B250" s="24" t="s">
        <v>127</v>
      </c>
      <c r="C250" s="670">
        <f t="shared" si="21"/>
        <v>7</v>
      </c>
      <c r="D250" s="671">
        <f>'[23]road inventory 2018'!C245</f>
        <v>7</v>
      </c>
      <c r="E250" s="15">
        <v>0</v>
      </c>
      <c r="F250" s="15">
        <v>0</v>
      </c>
      <c r="G250" s="15">
        <v>0</v>
      </c>
      <c r="H250" s="70">
        <v>7</v>
      </c>
      <c r="I250" s="15">
        <v>0</v>
      </c>
      <c r="J250" s="106" t="s">
        <v>12</v>
      </c>
      <c r="K250" s="591" t="s">
        <v>503</v>
      </c>
      <c r="L250" s="24"/>
      <c r="M250" s="593"/>
      <c r="N250" s="598"/>
    </row>
    <row r="251" spans="1:14" s="16" customFormat="1" x14ac:dyDescent="0.35">
      <c r="A251" s="589">
        <v>127</v>
      </c>
      <c r="B251" s="24" t="s">
        <v>504</v>
      </c>
      <c r="C251" s="670">
        <f t="shared" si="21"/>
        <v>2.7</v>
      </c>
      <c r="D251" s="590">
        <f>'[23]road inventory 2018'!C249</f>
        <v>2.7</v>
      </c>
      <c r="E251" s="15">
        <v>0</v>
      </c>
      <c r="F251" s="15">
        <v>0</v>
      </c>
      <c r="G251" s="15">
        <v>0</v>
      </c>
      <c r="H251" s="70">
        <v>2.7</v>
      </c>
      <c r="I251" s="15">
        <v>0</v>
      </c>
      <c r="J251" s="106" t="s">
        <v>12</v>
      </c>
      <c r="K251" s="591" t="s">
        <v>505</v>
      </c>
      <c r="L251" s="24"/>
      <c r="M251" s="593"/>
      <c r="N251" s="598" t="s">
        <v>506</v>
      </c>
    </row>
    <row r="252" spans="1:14" x14ac:dyDescent="0.35">
      <c r="A252" s="596">
        <v>128</v>
      </c>
      <c r="B252" s="28" t="s">
        <v>507</v>
      </c>
      <c r="C252" s="670">
        <f t="shared" si="21"/>
        <v>2.2999999999999998</v>
      </c>
      <c r="D252" s="590">
        <f>'[23]road inventory 2018'!C250</f>
        <v>2.3000000000000003</v>
      </c>
      <c r="E252" s="10">
        <v>2.2999999999999998</v>
      </c>
      <c r="F252" s="10">
        <v>0</v>
      </c>
      <c r="G252" s="10">
        <v>0</v>
      </c>
      <c r="H252" s="678">
        <v>0</v>
      </c>
      <c r="I252" s="10">
        <v>0</v>
      </c>
      <c r="J252" s="103" t="s">
        <v>10</v>
      </c>
      <c r="K252" s="597" t="s">
        <v>508</v>
      </c>
      <c r="L252" s="28"/>
    </row>
    <row r="253" spans="1:14" ht="31" x14ac:dyDescent="0.35">
      <c r="A253" s="596">
        <v>155</v>
      </c>
      <c r="B253" s="28" t="s">
        <v>509</v>
      </c>
      <c r="C253" s="670">
        <f t="shared" si="21"/>
        <v>3.7</v>
      </c>
      <c r="D253" s="590">
        <f>'[23]road inventory 2018'!C251</f>
        <v>3.7</v>
      </c>
      <c r="E253" s="10">
        <v>0</v>
      </c>
      <c r="F253" s="10">
        <v>0</v>
      </c>
      <c r="G253" s="10">
        <v>3.7</v>
      </c>
      <c r="H253" s="678">
        <v>0</v>
      </c>
      <c r="I253" s="10">
        <v>0</v>
      </c>
      <c r="J253" s="757" t="s">
        <v>41</v>
      </c>
      <c r="K253" s="597" t="s">
        <v>510</v>
      </c>
      <c r="L253" s="28"/>
    </row>
    <row r="254" spans="1:14" ht="18" customHeight="1" x14ac:dyDescent="0.35">
      <c r="A254" s="596">
        <v>129</v>
      </c>
      <c r="B254" s="28" t="s">
        <v>512</v>
      </c>
      <c r="C254" s="670">
        <f t="shared" si="21"/>
        <v>2.7</v>
      </c>
      <c r="D254" s="590">
        <f>'[23]road inventory 2018'!C252</f>
        <v>2.7</v>
      </c>
      <c r="E254" s="10">
        <v>0</v>
      </c>
      <c r="F254" s="10">
        <v>0</v>
      </c>
      <c r="G254" s="10">
        <v>0</v>
      </c>
      <c r="H254" s="678">
        <v>2.7</v>
      </c>
      <c r="I254" s="10">
        <v>0</v>
      </c>
      <c r="J254" s="757" t="s">
        <v>33</v>
      </c>
      <c r="K254" s="597" t="s">
        <v>513</v>
      </c>
      <c r="L254" s="28"/>
    </row>
    <row r="255" spans="1:14" s="667" customFormat="1" ht="18" customHeight="1" x14ac:dyDescent="0.35">
      <c r="A255" s="618">
        <v>156</v>
      </c>
      <c r="B255" s="619" t="s">
        <v>130</v>
      </c>
      <c r="C255" s="620">
        <f t="shared" si="21"/>
        <v>20</v>
      </c>
      <c r="D255" s="634">
        <f>'[23]road inventory 2018'!C253</f>
        <v>20</v>
      </c>
      <c r="E255" s="620">
        <v>8.2050000000000001</v>
      </c>
      <c r="F255" s="620">
        <v>0</v>
      </c>
      <c r="G255" s="620">
        <v>0</v>
      </c>
      <c r="H255" s="679">
        <v>11.795</v>
      </c>
      <c r="I255" s="620">
        <v>0</v>
      </c>
      <c r="J255" s="621" t="s">
        <v>10</v>
      </c>
      <c r="K255" s="622" t="s">
        <v>514</v>
      </c>
      <c r="L255" s="619"/>
      <c r="M255" s="623"/>
      <c r="N255" s="666"/>
    </row>
    <row r="256" spans="1:14" s="769" customFormat="1" ht="18" customHeight="1" x14ac:dyDescent="0.35">
      <c r="A256" s="760">
        <v>157</v>
      </c>
      <c r="B256" s="758" t="s">
        <v>515</v>
      </c>
      <c r="C256" s="762">
        <f>7.5-0.135+0.19</f>
        <v>7.5550000000000006</v>
      </c>
      <c r="D256" s="762">
        <f>'[23]road inventory 2018'!C254</f>
        <v>8.6999999999999993</v>
      </c>
      <c r="E256" s="762">
        <v>0</v>
      </c>
      <c r="F256" s="762">
        <v>0</v>
      </c>
      <c r="G256" s="762">
        <v>0</v>
      </c>
      <c r="H256" s="770">
        <f>C256</f>
        <v>7.5550000000000006</v>
      </c>
      <c r="I256" s="762">
        <v>0</v>
      </c>
      <c r="J256" s="757" t="str">
        <f>J254</f>
        <v>Poor</v>
      </c>
      <c r="K256" s="765"/>
      <c r="L256" s="758" t="s">
        <v>837</v>
      </c>
      <c r="M256" s="766"/>
      <c r="N256" s="1233" t="s">
        <v>516</v>
      </c>
    </row>
    <row r="257" spans="1:16" s="667" customFormat="1" ht="18" customHeight="1" x14ac:dyDescent="0.35">
      <c r="A257" s="618">
        <v>158</v>
      </c>
      <c r="B257" s="619" t="s">
        <v>517</v>
      </c>
      <c r="C257" s="620">
        <f t="shared" si="21"/>
        <v>7.2</v>
      </c>
      <c r="D257" s="620">
        <f>'[23]road inventory 2018'!C255</f>
        <v>7.1999999999999993</v>
      </c>
      <c r="E257" s="620">
        <v>4.08</v>
      </c>
      <c r="F257" s="620">
        <v>0</v>
      </c>
      <c r="G257" s="620">
        <v>3.12</v>
      </c>
      <c r="H257" s="679">
        <v>0</v>
      </c>
      <c r="I257" s="620">
        <v>0</v>
      </c>
      <c r="J257" s="621" t="s">
        <v>206</v>
      </c>
      <c r="K257" s="622"/>
      <c r="L257" s="619" t="s">
        <v>837</v>
      </c>
      <c r="M257" s="623"/>
      <c r="N257" s="1233"/>
    </row>
    <row r="258" spans="1:16" s="769" customFormat="1" ht="18" customHeight="1" x14ac:dyDescent="0.35">
      <c r="A258" s="760">
        <v>159</v>
      </c>
      <c r="B258" s="758" t="s">
        <v>518</v>
      </c>
      <c r="C258" s="762">
        <v>4.8</v>
      </c>
      <c r="D258" s="762">
        <f>'[23]road inventory 2018'!C256</f>
        <v>4.8</v>
      </c>
      <c r="E258" s="762">
        <v>0</v>
      </c>
      <c r="F258" s="762">
        <v>0</v>
      </c>
      <c r="G258" s="762">
        <v>0</v>
      </c>
      <c r="H258" s="770">
        <f>C258</f>
        <v>4.8</v>
      </c>
      <c r="I258" s="762">
        <v>0</v>
      </c>
      <c r="J258" s="757" t="s">
        <v>33</v>
      </c>
      <c r="K258" s="765"/>
      <c r="L258" s="758" t="s">
        <v>837</v>
      </c>
      <c r="M258" s="766"/>
      <c r="N258" s="1233"/>
    </row>
    <row r="259" spans="1:16" ht="18" customHeight="1" x14ac:dyDescent="0.35">
      <c r="A259" s="596">
        <v>130</v>
      </c>
      <c r="B259" s="28" t="s">
        <v>519</v>
      </c>
      <c r="C259" s="670">
        <f t="shared" si="21"/>
        <v>1.19</v>
      </c>
      <c r="D259" s="10">
        <f>'[23]road inventory 2018'!C257</f>
        <v>6</v>
      </c>
      <c r="E259" s="10">
        <f>[25]CARRIAGEWAY!$V$360</f>
        <v>0</v>
      </c>
      <c r="F259" s="10">
        <f>[25]CARRIAGEWAY!$X$360</f>
        <v>0</v>
      </c>
      <c r="G259" s="10">
        <v>1.19</v>
      </c>
      <c r="H259" s="678">
        <f>[25]CARRIAGEWAY!$Y$360</f>
        <v>0</v>
      </c>
      <c r="I259" s="10">
        <v>0</v>
      </c>
      <c r="J259" s="757" t="str">
        <f>[25]CARRIAGEWAY!$Z$361</f>
        <v>POOR</v>
      </c>
      <c r="K259" s="597" t="s">
        <v>520</v>
      </c>
      <c r="L259" s="28" t="s">
        <v>833</v>
      </c>
      <c r="M259" s="680"/>
      <c r="N259" s="681" t="s">
        <v>521</v>
      </c>
      <c r="O259" s="682" t="s">
        <v>522</v>
      </c>
      <c r="P259" s="683"/>
    </row>
    <row r="260" spans="1:16" s="16" customFormat="1" ht="18" customHeight="1" x14ac:dyDescent="0.35">
      <c r="A260" s="589">
        <v>131</v>
      </c>
      <c r="B260" s="24" t="s">
        <v>523</v>
      </c>
      <c r="C260" s="670">
        <f t="shared" si="21"/>
        <v>5.1999999999999993</v>
      </c>
      <c r="D260" s="590">
        <f>'[23]road inventory 2018'!C258</f>
        <v>5.2</v>
      </c>
      <c r="E260" s="15">
        <v>2.0099999999999998</v>
      </c>
      <c r="F260" s="15">
        <v>0</v>
      </c>
      <c r="G260" s="15">
        <v>0</v>
      </c>
      <c r="H260" s="70">
        <v>3.19</v>
      </c>
      <c r="I260" s="15">
        <v>0</v>
      </c>
      <c r="J260" s="106" t="s">
        <v>12</v>
      </c>
      <c r="K260" s="591"/>
      <c r="L260" s="24"/>
      <c r="M260" s="593"/>
      <c r="N260" s="598"/>
    </row>
    <row r="261" spans="1:16" s="16" customFormat="1" ht="18" customHeight="1" x14ac:dyDescent="0.35">
      <c r="A261" s="589">
        <v>135</v>
      </c>
      <c r="B261" s="24" t="s">
        <v>139</v>
      </c>
      <c r="C261" s="670">
        <f t="shared" si="21"/>
        <v>4.4000000000000004</v>
      </c>
      <c r="D261" s="590">
        <f>'[23]road inventory 2018'!C259</f>
        <v>4.4000000000000004</v>
      </c>
      <c r="E261" s="15">
        <v>0</v>
      </c>
      <c r="F261" s="15">
        <v>0</v>
      </c>
      <c r="G261" s="15">
        <v>0</v>
      </c>
      <c r="H261" s="70">
        <v>4.4000000000000004</v>
      </c>
      <c r="I261" s="15">
        <v>0</v>
      </c>
      <c r="J261" s="106" t="s">
        <v>12</v>
      </c>
      <c r="K261" s="591" t="s">
        <v>525</v>
      </c>
      <c r="L261" s="24"/>
      <c r="M261" s="593"/>
      <c r="N261" s="598"/>
    </row>
    <row r="262" spans="1:16" s="16" customFormat="1" ht="18" customHeight="1" x14ac:dyDescent="0.35">
      <c r="A262" s="626"/>
      <c r="B262" s="60"/>
      <c r="C262" s="61">
        <f t="shared" ref="C262:I262" si="22">SUM(C248:C261)</f>
        <v>82.644999999999996</v>
      </c>
      <c r="D262" s="61">
        <f t="shared" si="22"/>
        <v>88.600000000000009</v>
      </c>
      <c r="E262" s="61">
        <f t="shared" si="22"/>
        <v>18.555</v>
      </c>
      <c r="F262" s="61">
        <f t="shared" si="22"/>
        <v>0</v>
      </c>
      <c r="G262" s="61">
        <f t="shared" si="22"/>
        <v>8.01</v>
      </c>
      <c r="H262" s="61">
        <f t="shared" si="22"/>
        <v>56.079999999999991</v>
      </c>
      <c r="I262" s="61">
        <f t="shared" si="22"/>
        <v>0</v>
      </c>
      <c r="J262" s="628"/>
      <c r="K262" s="629"/>
      <c r="L262" s="24"/>
      <c r="M262" s="593"/>
      <c r="N262" s="598"/>
    </row>
    <row r="263" spans="1:16" ht="18" customHeight="1" thickBot="1" x14ac:dyDescent="0.4">
      <c r="A263" s="53" t="s">
        <v>341</v>
      </c>
      <c r="B263" s="34"/>
      <c r="C263" s="31">
        <f>SUM(E263:I263)</f>
        <v>82.644999999999982</v>
      </c>
      <c r="D263" s="630"/>
      <c r="E263" s="31">
        <f>SUM(E248:E261)</f>
        <v>18.555</v>
      </c>
      <c r="F263" s="31">
        <f>SUM(F248:F261)</f>
        <v>0</v>
      </c>
      <c r="G263" s="31">
        <f>SUM(G248:G261)</f>
        <v>8.01</v>
      </c>
      <c r="H263" s="31">
        <f>SUM(H248:H261)</f>
        <v>56.079999999999991</v>
      </c>
      <c r="I263" s="31">
        <f>SUM(I248:I261)</f>
        <v>0</v>
      </c>
      <c r="J263" s="608"/>
      <c r="K263" s="609"/>
      <c r="L263" s="653"/>
      <c r="M263" s="21"/>
    </row>
    <row r="264" spans="1:16" ht="18" customHeight="1" thickBot="1" x14ac:dyDescent="0.4">
      <c r="L264" s="40"/>
    </row>
    <row r="265" spans="1:16" s="1" customFormat="1" x14ac:dyDescent="0.35">
      <c r="A265" s="1217" t="s">
        <v>526</v>
      </c>
      <c r="B265" s="1218"/>
      <c r="C265" s="1218"/>
      <c r="D265" s="1218"/>
      <c r="E265" s="1218"/>
      <c r="F265" s="1218"/>
      <c r="G265" s="1218"/>
      <c r="H265" s="1218"/>
      <c r="I265" s="1218"/>
      <c r="J265" s="1218"/>
      <c r="K265" s="1218"/>
      <c r="L265" s="1219"/>
      <c r="M265" s="584"/>
      <c r="N265" s="581"/>
    </row>
    <row r="266" spans="1:16" s="1" customFormat="1" ht="16" thickBot="1" x14ac:dyDescent="0.4">
      <c r="A266" s="585"/>
      <c r="B266" s="2"/>
      <c r="C266" s="5"/>
      <c r="D266" s="586"/>
      <c r="E266" s="5"/>
      <c r="F266" s="5"/>
      <c r="G266" s="5"/>
      <c r="H266" s="5"/>
      <c r="I266" s="5"/>
      <c r="J266" s="3"/>
      <c r="K266" s="21"/>
      <c r="L266" s="18"/>
      <c r="M266" s="21"/>
      <c r="N266" s="581"/>
    </row>
    <row r="267" spans="1:16" s="1" customFormat="1" ht="21" customHeight="1" x14ac:dyDescent="0.35">
      <c r="A267" s="1206" t="s">
        <v>302</v>
      </c>
      <c r="B267" s="1208" t="s">
        <v>28</v>
      </c>
      <c r="C267" s="1210" t="s">
        <v>343</v>
      </c>
      <c r="D267" s="613"/>
      <c r="E267" s="1212" t="s">
        <v>305</v>
      </c>
      <c r="F267" s="1212"/>
      <c r="G267" s="1212"/>
      <c r="H267" s="1212"/>
      <c r="I267" s="1212"/>
      <c r="J267" s="1208" t="s">
        <v>29</v>
      </c>
      <c r="K267" s="1213" t="s">
        <v>306</v>
      </c>
      <c r="L267" s="1220" t="s">
        <v>307</v>
      </c>
      <c r="M267" s="588"/>
      <c r="N267" s="581"/>
    </row>
    <row r="268" spans="1:16" s="1" customFormat="1" ht="21" customHeight="1" thickBot="1" x14ac:dyDescent="0.4">
      <c r="A268" s="1207"/>
      <c r="B268" s="1209"/>
      <c r="C268" s="1211"/>
      <c r="D268" s="614"/>
      <c r="E268" s="7" t="s">
        <v>308</v>
      </c>
      <c r="F268" s="7" t="s">
        <v>309</v>
      </c>
      <c r="G268" s="7" t="s">
        <v>310</v>
      </c>
      <c r="H268" s="7" t="s">
        <v>311</v>
      </c>
      <c r="I268" s="7" t="s">
        <v>312</v>
      </c>
      <c r="J268" s="1209"/>
      <c r="K268" s="1214"/>
      <c r="L268" s="1221"/>
      <c r="M268" s="588"/>
      <c r="N268" s="581"/>
    </row>
    <row r="269" spans="1:16" s="16" customFormat="1" ht="18" customHeight="1" x14ac:dyDescent="0.35">
      <c r="A269" s="589">
        <v>160</v>
      </c>
      <c r="B269" s="24" t="s">
        <v>527</v>
      </c>
      <c r="C269" s="15">
        <f>SUM(E269:I269)</f>
        <v>28</v>
      </c>
      <c r="D269" s="590">
        <f>'[23]road inventory 2018'!C266</f>
        <v>28</v>
      </c>
      <c r="E269" s="15">
        <v>11.72</v>
      </c>
      <c r="F269" s="15">
        <v>0</v>
      </c>
      <c r="G269" s="15">
        <v>0</v>
      </c>
      <c r="H269" s="15">
        <v>16.28</v>
      </c>
      <c r="I269" s="15">
        <v>0</v>
      </c>
      <c r="J269" s="757" t="s">
        <v>33</v>
      </c>
      <c r="K269" s="591" t="s">
        <v>528</v>
      </c>
      <c r="L269" s="592"/>
      <c r="M269" s="593"/>
      <c r="N269" s="598"/>
    </row>
    <row r="270" spans="1:16" s="16" customFormat="1" ht="18" customHeight="1" x14ac:dyDescent="0.35">
      <c r="A270" s="589">
        <v>161</v>
      </c>
      <c r="B270" s="24" t="s">
        <v>529</v>
      </c>
      <c r="C270" s="15">
        <f t="shared" ref="C270:C279" si="23">SUM(E270:I270)</f>
        <v>1.8</v>
      </c>
      <c r="D270" s="590">
        <f>'[23]road inventory 2018'!C267</f>
        <v>1.8</v>
      </c>
      <c r="E270" s="15">
        <v>1.8</v>
      </c>
      <c r="F270" s="15">
        <v>0</v>
      </c>
      <c r="G270" s="15">
        <v>0</v>
      </c>
      <c r="H270" s="15">
        <v>0</v>
      </c>
      <c r="I270" s="15">
        <v>0</v>
      </c>
      <c r="J270" s="106" t="s">
        <v>12</v>
      </c>
      <c r="K270" s="591" t="s">
        <v>528</v>
      </c>
      <c r="L270" s="24"/>
      <c r="M270" s="593"/>
      <c r="N270" s="598"/>
    </row>
    <row r="271" spans="1:16" s="16" customFormat="1" ht="18" customHeight="1" x14ac:dyDescent="0.35">
      <c r="A271" s="589">
        <v>162</v>
      </c>
      <c r="B271" s="24" t="s">
        <v>530</v>
      </c>
      <c r="C271" s="15">
        <f t="shared" si="23"/>
        <v>1.9</v>
      </c>
      <c r="D271" s="590">
        <f>'[23]road inventory 2018'!C268</f>
        <v>1.9</v>
      </c>
      <c r="E271" s="15">
        <v>0</v>
      </c>
      <c r="F271" s="15">
        <v>0</v>
      </c>
      <c r="G271" s="15">
        <v>0</v>
      </c>
      <c r="H271" s="15">
        <v>1.9</v>
      </c>
      <c r="I271" s="15">
        <v>0</v>
      </c>
      <c r="J271" s="757" t="s">
        <v>33</v>
      </c>
      <c r="K271" s="591" t="s">
        <v>531</v>
      </c>
      <c r="L271" s="24"/>
      <c r="M271" s="593"/>
      <c r="N271" s="598"/>
    </row>
    <row r="272" spans="1:16" ht="18" customHeight="1" x14ac:dyDescent="0.35">
      <c r="A272" s="596">
        <v>163</v>
      </c>
      <c r="B272" s="28" t="s">
        <v>532</v>
      </c>
      <c r="C272" s="15">
        <f t="shared" si="23"/>
        <v>9</v>
      </c>
      <c r="D272" s="590">
        <f>'[23]road inventory 2018'!C269</f>
        <v>9</v>
      </c>
      <c r="E272" s="10">
        <v>0.65</v>
      </c>
      <c r="F272" s="10">
        <v>0</v>
      </c>
      <c r="G272" s="10">
        <v>0</v>
      </c>
      <c r="H272" s="10">
        <v>8.35</v>
      </c>
      <c r="I272" s="10">
        <v>0</v>
      </c>
      <c r="J272" s="757" t="s">
        <v>33</v>
      </c>
      <c r="K272" s="597" t="s">
        <v>533</v>
      </c>
      <c r="L272" s="28"/>
    </row>
    <row r="273" spans="1:14" s="16" customFormat="1" ht="18" customHeight="1" x14ac:dyDescent="0.35">
      <c r="A273" s="589">
        <v>164</v>
      </c>
      <c r="B273" s="24" t="s">
        <v>534</v>
      </c>
      <c r="C273" s="15">
        <f t="shared" si="23"/>
        <v>2.2000000000000002</v>
      </c>
      <c r="D273" s="590">
        <f>'[23]road inventory 2018'!C270</f>
        <v>2.2000000000000002</v>
      </c>
      <c r="E273" s="15">
        <v>0</v>
      </c>
      <c r="F273" s="15">
        <v>0</v>
      </c>
      <c r="G273" s="15">
        <v>0</v>
      </c>
      <c r="H273" s="15">
        <v>2.2000000000000002</v>
      </c>
      <c r="I273" s="15">
        <v>0</v>
      </c>
      <c r="J273" s="757" t="s">
        <v>33</v>
      </c>
      <c r="K273" s="591" t="s">
        <v>535</v>
      </c>
      <c r="L273" s="24"/>
      <c r="M273" s="593"/>
      <c r="N273" s="598"/>
    </row>
    <row r="274" spans="1:14" ht="18" customHeight="1" x14ac:dyDescent="0.35">
      <c r="A274" s="596">
        <v>165</v>
      </c>
      <c r="B274" s="28" t="s">
        <v>536</v>
      </c>
      <c r="C274" s="15">
        <f t="shared" si="23"/>
        <v>3.5</v>
      </c>
      <c r="D274" s="590">
        <f>'[23]road inventory 2018'!C271</f>
        <v>3.5</v>
      </c>
      <c r="E274" s="10">
        <v>0</v>
      </c>
      <c r="F274" s="10">
        <v>0</v>
      </c>
      <c r="G274" s="10">
        <v>0</v>
      </c>
      <c r="H274" s="10">
        <v>3.5</v>
      </c>
      <c r="I274" s="10">
        <v>0</v>
      </c>
      <c r="J274" s="757" t="s">
        <v>33</v>
      </c>
      <c r="K274" s="597" t="s">
        <v>537</v>
      </c>
      <c r="L274" s="28"/>
    </row>
    <row r="275" spans="1:14" s="16" customFormat="1" ht="18" customHeight="1" x14ac:dyDescent="0.35">
      <c r="A275" s="589">
        <v>166</v>
      </c>
      <c r="B275" s="24" t="s">
        <v>538</v>
      </c>
      <c r="C275" s="15">
        <f t="shared" si="23"/>
        <v>2.8</v>
      </c>
      <c r="D275" s="590">
        <f>'[23]road inventory 2018'!C272</f>
        <v>2.8</v>
      </c>
      <c r="E275" s="15">
        <v>0</v>
      </c>
      <c r="F275" s="15">
        <v>0</v>
      </c>
      <c r="G275" s="15">
        <v>0</v>
      </c>
      <c r="H275" s="15">
        <v>2.8</v>
      </c>
      <c r="I275" s="15">
        <v>0</v>
      </c>
      <c r="J275" s="106" t="s">
        <v>12</v>
      </c>
      <c r="K275" s="591" t="s">
        <v>539</v>
      </c>
      <c r="L275" s="24"/>
      <c r="M275" s="593"/>
      <c r="N275" s="598"/>
    </row>
    <row r="276" spans="1:14" ht="18" customHeight="1" x14ac:dyDescent="0.35">
      <c r="A276" s="596">
        <v>167</v>
      </c>
      <c r="B276" s="28" t="s">
        <v>540</v>
      </c>
      <c r="C276" s="15">
        <f t="shared" si="23"/>
        <v>5.5</v>
      </c>
      <c r="D276" s="590">
        <f>'[23]road inventory 2018'!C273</f>
        <v>5.5</v>
      </c>
      <c r="E276" s="10">
        <v>0</v>
      </c>
      <c r="F276" s="10">
        <v>0</v>
      </c>
      <c r="G276" s="10">
        <v>0</v>
      </c>
      <c r="H276" s="10">
        <v>5.5</v>
      </c>
      <c r="I276" s="10">
        <v>0</v>
      </c>
      <c r="J276" s="103" t="s">
        <v>12</v>
      </c>
      <c r="K276" s="597" t="s">
        <v>541</v>
      </c>
      <c r="L276" s="28"/>
    </row>
    <row r="277" spans="1:14" ht="18" customHeight="1" x14ac:dyDescent="0.35">
      <c r="A277" s="596">
        <v>168</v>
      </c>
      <c r="B277" s="28" t="s">
        <v>542</v>
      </c>
      <c r="C277" s="15">
        <f t="shared" si="23"/>
        <v>2.8</v>
      </c>
      <c r="D277" s="590">
        <f>'[23]road inventory 2018'!C274</f>
        <v>2.8</v>
      </c>
      <c r="E277" s="10">
        <v>0</v>
      </c>
      <c r="F277" s="10">
        <v>0</v>
      </c>
      <c r="G277" s="10">
        <v>0</v>
      </c>
      <c r="H277" s="10">
        <v>2.8</v>
      </c>
      <c r="I277" s="10">
        <v>0</v>
      </c>
      <c r="J277" s="757" t="s">
        <v>33</v>
      </c>
      <c r="K277" s="597" t="s">
        <v>543</v>
      </c>
      <c r="L277" s="28"/>
    </row>
    <row r="278" spans="1:14" ht="18" customHeight="1" x14ac:dyDescent="0.35">
      <c r="A278" s="596">
        <v>170</v>
      </c>
      <c r="B278" s="28" t="s">
        <v>544</v>
      </c>
      <c r="C278" s="15">
        <f t="shared" si="23"/>
        <v>1.3</v>
      </c>
      <c r="D278" s="590">
        <f>'[23]road inventory 2018'!C275</f>
        <v>1.3</v>
      </c>
      <c r="E278" s="10">
        <v>0</v>
      </c>
      <c r="F278" s="10">
        <v>0</v>
      </c>
      <c r="G278" s="10">
        <v>0</v>
      </c>
      <c r="H278" s="10">
        <v>1.3</v>
      </c>
      <c r="I278" s="10">
        <v>0</v>
      </c>
      <c r="J278" s="103" t="s">
        <v>33</v>
      </c>
      <c r="K278" s="597" t="s">
        <v>533</v>
      </c>
      <c r="L278" s="28"/>
    </row>
    <row r="279" spans="1:14" ht="18" customHeight="1" x14ac:dyDescent="0.35">
      <c r="A279" s="596">
        <v>169</v>
      </c>
      <c r="B279" s="28" t="s">
        <v>545</v>
      </c>
      <c r="C279" s="15">
        <f t="shared" si="23"/>
        <v>3.2</v>
      </c>
      <c r="D279" s="590">
        <f>'[23]road inventory 2018'!C276</f>
        <v>3.2</v>
      </c>
      <c r="E279" s="10">
        <v>0</v>
      </c>
      <c r="F279" s="10">
        <v>0</v>
      </c>
      <c r="G279" s="10">
        <v>0</v>
      </c>
      <c r="H279" s="10">
        <v>3.2</v>
      </c>
      <c r="I279" s="10">
        <v>0</v>
      </c>
      <c r="J279" s="757" t="s">
        <v>41</v>
      </c>
      <c r="K279" s="597" t="s">
        <v>546</v>
      </c>
      <c r="L279" s="28"/>
    </row>
    <row r="280" spans="1:14" ht="18" customHeight="1" x14ac:dyDescent="0.35">
      <c r="A280" s="635"/>
      <c r="B280" s="40"/>
      <c r="C280" s="41">
        <f>SUM(C269:C279)</f>
        <v>62</v>
      </c>
      <c r="D280" s="41">
        <f t="shared" ref="D280:I280" si="24">SUM(D269:D279)</f>
        <v>62</v>
      </c>
      <c r="E280" s="41">
        <f t="shared" si="24"/>
        <v>14.170000000000002</v>
      </c>
      <c r="F280" s="41">
        <f t="shared" si="24"/>
        <v>0</v>
      </c>
      <c r="G280" s="41">
        <f t="shared" si="24"/>
        <v>0</v>
      </c>
      <c r="H280" s="41">
        <f t="shared" si="24"/>
        <v>47.83</v>
      </c>
      <c r="I280" s="41">
        <f t="shared" si="24"/>
        <v>0</v>
      </c>
      <c r="J280" s="109"/>
      <c r="K280" s="605"/>
      <c r="L280" s="28"/>
    </row>
    <row r="281" spans="1:14" ht="18" customHeight="1" thickBot="1" x14ac:dyDescent="0.4">
      <c r="A281" s="53" t="s">
        <v>341</v>
      </c>
      <c r="B281" s="34"/>
      <c r="C281" s="31">
        <f>SUM(E281:I281)</f>
        <v>62</v>
      </c>
      <c r="D281" s="630"/>
      <c r="E281" s="31">
        <f>SUM(E269:E279)</f>
        <v>14.170000000000002</v>
      </c>
      <c r="F281" s="31">
        <f>SUM(F269:F279)</f>
        <v>0</v>
      </c>
      <c r="G281" s="31">
        <f>SUM(G269:G279)</f>
        <v>0</v>
      </c>
      <c r="H281" s="31">
        <f>SUM(H269:H279)</f>
        <v>47.83</v>
      </c>
      <c r="I281" s="31">
        <f>SUM(I269:I279)</f>
        <v>0</v>
      </c>
      <c r="J281" s="608"/>
      <c r="K281" s="609"/>
      <c r="L281" s="653"/>
      <c r="M281" s="21"/>
    </row>
    <row r="282" spans="1:14" ht="18" customHeight="1" thickBot="1" x14ac:dyDescent="0.4">
      <c r="L282" s="40"/>
    </row>
    <row r="283" spans="1:14" s="1" customFormat="1" x14ac:dyDescent="0.35">
      <c r="A283" s="1217" t="s">
        <v>547</v>
      </c>
      <c r="B283" s="1218"/>
      <c r="C283" s="1218"/>
      <c r="D283" s="1218"/>
      <c r="E283" s="1218"/>
      <c r="F283" s="1218"/>
      <c r="G283" s="1218"/>
      <c r="H283" s="1218"/>
      <c r="I283" s="1218"/>
      <c r="J283" s="1218"/>
      <c r="K283" s="1218"/>
      <c r="L283" s="684"/>
      <c r="M283" s="584"/>
      <c r="N283" s="581"/>
    </row>
    <row r="284" spans="1:14" s="1" customFormat="1" ht="16" thickBot="1" x14ac:dyDescent="0.4">
      <c r="A284" s="585"/>
      <c r="B284" s="2"/>
      <c r="C284" s="5"/>
      <c r="D284" s="586"/>
      <c r="E284" s="5"/>
      <c r="F284" s="5"/>
      <c r="G284" s="5"/>
      <c r="H284" s="5"/>
      <c r="I284" s="5"/>
      <c r="J284" s="3"/>
      <c r="K284" s="21"/>
      <c r="L284" s="97"/>
      <c r="M284" s="21"/>
      <c r="N284" s="581"/>
    </row>
    <row r="285" spans="1:14" s="1" customFormat="1" ht="21" customHeight="1" x14ac:dyDescent="0.35">
      <c r="A285" s="1206" t="s">
        <v>302</v>
      </c>
      <c r="B285" s="1208" t="s">
        <v>28</v>
      </c>
      <c r="C285" s="1210" t="s">
        <v>343</v>
      </c>
      <c r="D285" s="613"/>
      <c r="E285" s="1212" t="s">
        <v>305</v>
      </c>
      <c r="F285" s="1212"/>
      <c r="G285" s="1212"/>
      <c r="H285" s="1212"/>
      <c r="I285" s="1212"/>
      <c r="J285" s="1208" t="s">
        <v>29</v>
      </c>
      <c r="K285" s="1213" t="s">
        <v>306</v>
      </c>
      <c r="L285" s="1222" t="s">
        <v>307</v>
      </c>
      <c r="M285" s="588"/>
      <c r="N285" s="581"/>
    </row>
    <row r="286" spans="1:14" s="1" customFormat="1" ht="21" customHeight="1" thickBot="1" x14ac:dyDescent="0.4">
      <c r="A286" s="1207"/>
      <c r="B286" s="1209"/>
      <c r="C286" s="1211"/>
      <c r="D286" s="614"/>
      <c r="E286" s="7" t="s">
        <v>308</v>
      </c>
      <c r="F286" s="7" t="s">
        <v>309</v>
      </c>
      <c r="G286" s="7" t="s">
        <v>310</v>
      </c>
      <c r="H286" s="7" t="s">
        <v>311</v>
      </c>
      <c r="I286" s="7" t="s">
        <v>312</v>
      </c>
      <c r="J286" s="1209"/>
      <c r="K286" s="1214"/>
      <c r="L286" s="1223"/>
      <c r="M286" s="588"/>
      <c r="N286" s="581"/>
    </row>
    <row r="287" spans="1:14" ht="28.5" customHeight="1" x14ac:dyDescent="0.35">
      <c r="A287" s="596">
        <v>196</v>
      </c>
      <c r="B287" s="28" t="s">
        <v>548</v>
      </c>
      <c r="C287" s="10">
        <f>SUM(E287:I287)</f>
        <v>12.69</v>
      </c>
      <c r="D287" s="10">
        <f>'[23]road inventory 2018'!C283</f>
        <v>12.700000000000001</v>
      </c>
      <c r="E287" s="10">
        <v>8.1999999999999993</v>
      </c>
      <c r="F287" s="10">
        <v>0</v>
      </c>
      <c r="G287" s="10">
        <v>0</v>
      </c>
      <c r="H287" s="10">
        <v>4.49</v>
      </c>
      <c r="I287" s="10">
        <v>0</v>
      </c>
      <c r="J287" s="103" t="s">
        <v>12</v>
      </c>
      <c r="K287" s="597" t="s">
        <v>549</v>
      </c>
      <c r="L287" s="112" t="s">
        <v>838</v>
      </c>
    </row>
    <row r="288" spans="1:14" s="16" customFormat="1" ht="18" customHeight="1" x14ac:dyDescent="0.35">
      <c r="A288" s="589">
        <v>197</v>
      </c>
      <c r="B288" s="24" t="s">
        <v>550</v>
      </c>
      <c r="C288" s="10">
        <f t="shared" ref="C288:C294" si="25">SUM(E288:I288)</f>
        <v>4.9400000000000004</v>
      </c>
      <c r="D288" s="590">
        <f>'[23]road inventory 2018'!C284</f>
        <v>6.6</v>
      </c>
      <c r="E288" s="15">
        <v>4.9400000000000004</v>
      </c>
      <c r="F288" s="15">
        <v>0</v>
      </c>
      <c r="G288" s="15">
        <v>0</v>
      </c>
      <c r="H288" s="15">
        <v>0</v>
      </c>
      <c r="I288" s="15">
        <v>0</v>
      </c>
      <c r="J288" s="106" t="s">
        <v>12</v>
      </c>
      <c r="K288" s="591" t="s">
        <v>551</v>
      </c>
      <c r="L288" s="24"/>
      <c r="M288" s="593"/>
      <c r="N288" s="598"/>
    </row>
    <row r="289" spans="1:14" ht="18" customHeight="1" x14ac:dyDescent="0.35">
      <c r="A289" s="596">
        <v>199</v>
      </c>
      <c r="B289" s="28" t="s">
        <v>552</v>
      </c>
      <c r="C289" s="10">
        <f t="shared" si="25"/>
        <v>4.13</v>
      </c>
      <c r="D289" s="590">
        <f>'[23]road inventory 2018'!C285</f>
        <v>5</v>
      </c>
      <c r="E289" s="10">
        <v>0</v>
      </c>
      <c r="F289" s="10">
        <v>0</v>
      </c>
      <c r="G289" s="10">
        <v>0</v>
      </c>
      <c r="H289" s="10">
        <v>4.13</v>
      </c>
      <c r="I289" s="10">
        <v>0</v>
      </c>
      <c r="J289" s="757" t="s">
        <v>33</v>
      </c>
      <c r="K289" s="597" t="s">
        <v>553</v>
      </c>
      <c r="L289" s="28"/>
    </row>
    <row r="290" spans="1:14" s="16" customFormat="1" ht="18" customHeight="1" x14ac:dyDescent="0.35">
      <c r="A290" s="589">
        <v>200</v>
      </c>
      <c r="B290" s="24" t="s">
        <v>291</v>
      </c>
      <c r="C290" s="10">
        <f t="shared" si="25"/>
        <v>1.1000000000000001</v>
      </c>
      <c r="D290" s="590">
        <f>'[23]road inventory 2018'!C286</f>
        <v>1.1000000000000001</v>
      </c>
      <c r="E290" s="15">
        <v>1.1000000000000001</v>
      </c>
      <c r="F290" s="15">
        <v>0</v>
      </c>
      <c r="G290" s="15">
        <v>0</v>
      </c>
      <c r="H290" s="15">
        <v>0</v>
      </c>
      <c r="I290" s="15">
        <v>0</v>
      </c>
      <c r="J290" s="106" t="s">
        <v>10</v>
      </c>
      <c r="K290" s="591" t="s">
        <v>554</v>
      </c>
      <c r="L290" s="24"/>
      <c r="M290" s="593"/>
      <c r="N290" s="598"/>
    </row>
    <row r="291" spans="1:14" ht="18" customHeight="1" x14ac:dyDescent="0.35">
      <c r="A291" s="596">
        <v>201</v>
      </c>
      <c r="B291" s="28" t="s">
        <v>555</v>
      </c>
      <c r="C291" s="10">
        <f t="shared" si="25"/>
        <v>4.97</v>
      </c>
      <c r="D291" s="590">
        <f>'[23]road inventory 2018'!C287</f>
        <v>5.2</v>
      </c>
      <c r="E291" s="10">
        <v>4.97</v>
      </c>
      <c r="F291" s="10">
        <v>0</v>
      </c>
      <c r="G291" s="10">
        <v>0</v>
      </c>
      <c r="H291" s="10">
        <v>0</v>
      </c>
      <c r="I291" s="10">
        <v>0</v>
      </c>
      <c r="J291" s="103" t="s">
        <v>12</v>
      </c>
      <c r="K291" s="597" t="s">
        <v>556</v>
      </c>
      <c r="L291" s="28"/>
    </row>
    <row r="292" spans="1:14" s="667" customFormat="1" ht="31" x14ac:dyDescent="0.35">
      <c r="A292" s="618">
        <v>202</v>
      </c>
      <c r="B292" s="619" t="s">
        <v>557</v>
      </c>
      <c r="C292" s="620">
        <f t="shared" si="25"/>
        <v>5.3</v>
      </c>
      <c r="D292" s="620">
        <f>'[23]road inventory 2018'!C288</f>
        <v>5.3000000000000007</v>
      </c>
      <c r="E292" s="620">
        <v>2.4</v>
      </c>
      <c r="F292" s="620">
        <v>0</v>
      </c>
      <c r="G292" s="620">
        <v>0</v>
      </c>
      <c r="H292" s="620">
        <v>2.9</v>
      </c>
      <c r="I292" s="620">
        <v>0</v>
      </c>
      <c r="J292" s="621" t="s">
        <v>12</v>
      </c>
      <c r="K292" s="622" t="s">
        <v>556</v>
      </c>
      <c r="L292" s="619" t="str">
        <f>L287</f>
        <v>FOR VERIFICATION</v>
      </c>
      <c r="M292" s="623"/>
      <c r="N292" s="666"/>
    </row>
    <row r="293" spans="1:14" s="16" customFormat="1" ht="18" customHeight="1" x14ac:dyDescent="0.35">
      <c r="A293" s="589">
        <v>203</v>
      </c>
      <c r="B293" s="24" t="s">
        <v>558</v>
      </c>
      <c r="C293" s="10">
        <f t="shared" si="25"/>
        <v>4</v>
      </c>
      <c r="D293" s="590">
        <f>'[23]road inventory 2018'!C289</f>
        <v>3.8</v>
      </c>
      <c r="E293" s="15">
        <v>2.5499999999999998</v>
      </c>
      <c r="F293" s="15">
        <v>1.45</v>
      </c>
      <c r="G293" s="15">
        <v>0</v>
      </c>
      <c r="H293" s="15">
        <v>0</v>
      </c>
      <c r="I293" s="15">
        <v>0</v>
      </c>
      <c r="J293" s="106" t="s">
        <v>839</v>
      </c>
      <c r="K293" s="591" t="s">
        <v>559</v>
      </c>
      <c r="L293" s="24"/>
      <c r="M293" s="593"/>
      <c r="N293" s="598"/>
    </row>
    <row r="294" spans="1:14" ht="18" customHeight="1" x14ac:dyDescent="0.35">
      <c r="A294" s="596">
        <v>228</v>
      </c>
      <c r="B294" s="28" t="s">
        <v>141</v>
      </c>
      <c r="C294" s="10">
        <f t="shared" si="25"/>
        <v>8.11</v>
      </c>
      <c r="D294" s="590">
        <f>'[23]road inventory 2018'!C290</f>
        <v>9.3000000000000007</v>
      </c>
      <c r="E294" s="10">
        <v>8</v>
      </c>
      <c r="F294" s="10">
        <v>0</v>
      </c>
      <c r="G294" s="10">
        <v>0.11</v>
      </c>
      <c r="H294" s="10">
        <v>0</v>
      </c>
      <c r="I294" s="10">
        <v>0</v>
      </c>
      <c r="J294" s="757" t="s">
        <v>33</v>
      </c>
      <c r="K294" s="597"/>
      <c r="L294" s="28"/>
    </row>
    <row r="295" spans="1:14" ht="18" customHeight="1" x14ac:dyDescent="0.35">
      <c r="A295" s="596"/>
      <c r="B295" s="28"/>
      <c r="C295" s="10">
        <f>SUM(C287:C294)</f>
        <v>45.239999999999995</v>
      </c>
      <c r="D295" s="10">
        <f t="shared" ref="D295:I295" si="26">SUM(D287:D294)</f>
        <v>49</v>
      </c>
      <c r="E295" s="10">
        <f t="shared" si="26"/>
        <v>32.159999999999997</v>
      </c>
      <c r="F295" s="10">
        <f t="shared" si="26"/>
        <v>1.45</v>
      </c>
      <c r="G295" s="10">
        <f t="shared" si="26"/>
        <v>0.11</v>
      </c>
      <c r="H295" s="10">
        <f t="shared" si="26"/>
        <v>11.520000000000001</v>
      </c>
      <c r="I295" s="10">
        <f t="shared" si="26"/>
        <v>0</v>
      </c>
      <c r="J295" s="103"/>
      <c r="K295" s="597"/>
      <c r="L295" s="28"/>
    </row>
    <row r="296" spans="1:14" ht="18" customHeight="1" thickBot="1" x14ac:dyDescent="0.4">
      <c r="A296" s="53" t="s">
        <v>341</v>
      </c>
      <c r="B296" s="34"/>
      <c r="C296" s="31">
        <f>SUM(E296:I296)</f>
        <v>45.24</v>
      </c>
      <c r="D296" s="630"/>
      <c r="E296" s="31">
        <f>SUM(E287:E294)</f>
        <v>32.159999999999997</v>
      </c>
      <c r="F296" s="31">
        <f>SUM(F287:F294)</f>
        <v>1.45</v>
      </c>
      <c r="G296" s="31">
        <f>SUM(G287:G294)</f>
        <v>0.11</v>
      </c>
      <c r="H296" s="31">
        <f>SUM(H287:H294)</f>
        <v>11.520000000000001</v>
      </c>
      <c r="I296" s="31">
        <f>SUM(I287:I294)</f>
        <v>0</v>
      </c>
      <c r="J296" s="608"/>
      <c r="K296" s="609"/>
      <c r="L296" s="653"/>
      <c r="M296" s="21"/>
      <c r="N296" s="685">
        <f>SUM(E296:I296)</f>
        <v>45.24</v>
      </c>
    </row>
    <row r="297" spans="1:14" x14ac:dyDescent="0.35">
      <c r="L297" s="28"/>
    </row>
    <row r="298" spans="1:14" s="1" customFormat="1" x14ac:dyDescent="0.35">
      <c r="A298" s="1203" t="s">
        <v>560</v>
      </c>
      <c r="B298" s="1204"/>
      <c r="C298" s="1204"/>
      <c r="D298" s="1204"/>
      <c r="E298" s="1204"/>
      <c r="F298" s="1204"/>
      <c r="G298" s="1204"/>
      <c r="H298" s="1204"/>
      <c r="I298" s="1204"/>
      <c r="J298" s="1204"/>
      <c r="K298" s="1204"/>
      <c r="L298" s="1205"/>
      <c r="M298" s="584"/>
      <c r="N298" s="581"/>
    </row>
    <row r="299" spans="1:14" s="1" customFormat="1" ht="16" thickBot="1" x14ac:dyDescent="0.4">
      <c r="A299" s="585"/>
      <c r="B299" s="2"/>
      <c r="C299" s="5"/>
      <c r="D299" s="586"/>
      <c r="E299" s="5"/>
      <c r="F299" s="5"/>
      <c r="G299" s="5"/>
      <c r="H299" s="5"/>
      <c r="I299" s="5"/>
      <c r="J299" s="3"/>
      <c r="K299" s="21"/>
      <c r="L299" s="653"/>
      <c r="M299" s="21"/>
      <c r="N299" s="581"/>
    </row>
    <row r="300" spans="1:14" s="1" customFormat="1" ht="21" customHeight="1" x14ac:dyDescent="0.35">
      <c r="A300" s="1206" t="s">
        <v>302</v>
      </c>
      <c r="B300" s="1208" t="s">
        <v>28</v>
      </c>
      <c r="C300" s="1210" t="s">
        <v>343</v>
      </c>
      <c r="D300" s="613"/>
      <c r="E300" s="1212" t="s">
        <v>305</v>
      </c>
      <c r="F300" s="1212"/>
      <c r="G300" s="1212"/>
      <c r="H300" s="1212"/>
      <c r="I300" s="1212"/>
      <c r="J300" s="1208" t="s">
        <v>29</v>
      </c>
      <c r="K300" s="1213" t="s">
        <v>306</v>
      </c>
      <c r="L300" s="1215" t="str">
        <f>L285</f>
        <v>REMARKS</v>
      </c>
      <c r="M300" s="588"/>
      <c r="N300" s="581"/>
    </row>
    <row r="301" spans="1:14" s="1" customFormat="1" ht="21" customHeight="1" thickBot="1" x14ac:dyDescent="0.4">
      <c r="A301" s="1207"/>
      <c r="B301" s="1209"/>
      <c r="C301" s="1211"/>
      <c r="D301" s="614"/>
      <c r="E301" s="7" t="s">
        <v>308</v>
      </c>
      <c r="F301" s="7" t="s">
        <v>309</v>
      </c>
      <c r="G301" s="7" t="s">
        <v>310</v>
      </c>
      <c r="H301" s="7" t="s">
        <v>311</v>
      </c>
      <c r="I301" s="7" t="s">
        <v>312</v>
      </c>
      <c r="J301" s="1209"/>
      <c r="K301" s="1214"/>
      <c r="L301" s="1216"/>
      <c r="M301" s="588"/>
      <c r="N301" s="581"/>
    </row>
    <row r="302" spans="1:14" ht="18" customHeight="1" x14ac:dyDescent="0.35">
      <c r="A302" s="596">
        <v>204</v>
      </c>
      <c r="B302" s="28" t="s">
        <v>561</v>
      </c>
      <c r="C302" s="10">
        <f>SUM(E302:I302)</f>
        <v>15.87</v>
      </c>
      <c r="D302" s="10">
        <f>'[23]road inventory 2018'!C298</f>
        <v>15.87</v>
      </c>
      <c r="E302" s="10">
        <v>6.92</v>
      </c>
      <c r="F302" s="10">
        <v>2.5499999999999998</v>
      </c>
      <c r="G302" s="10">
        <v>0</v>
      </c>
      <c r="H302" s="10">
        <v>6.4</v>
      </c>
      <c r="I302" s="10">
        <v>0</v>
      </c>
      <c r="J302" s="757" t="s">
        <v>33</v>
      </c>
      <c r="K302" s="597" t="s">
        <v>562</v>
      </c>
      <c r="L302" s="28" t="str">
        <f>L292</f>
        <v>FOR VERIFICATION</v>
      </c>
    </row>
    <row r="303" spans="1:14" s="16" customFormat="1" ht="18" customHeight="1" x14ac:dyDescent="0.35">
      <c r="A303" s="589">
        <v>205</v>
      </c>
      <c r="B303" s="24" t="s">
        <v>563</v>
      </c>
      <c r="C303" s="10">
        <f t="shared" ref="C303:C312" si="27">SUM(E303:I303)</f>
        <v>0.37</v>
      </c>
      <c r="D303" s="615">
        <f>'[23]road inventory 2018'!C299</f>
        <v>0.37</v>
      </c>
      <c r="E303" s="15">
        <v>0.37</v>
      </c>
      <c r="F303" s="15">
        <v>0</v>
      </c>
      <c r="G303" s="15">
        <v>0</v>
      </c>
      <c r="H303" s="15">
        <v>0</v>
      </c>
      <c r="I303" s="15">
        <v>0</v>
      </c>
      <c r="J303" s="106" t="s">
        <v>10</v>
      </c>
      <c r="K303" s="591" t="s">
        <v>564</v>
      </c>
      <c r="L303" s="24"/>
      <c r="M303" s="593"/>
      <c r="N303" s="598"/>
    </row>
    <row r="304" spans="1:14" s="16" customFormat="1" ht="31" x14ac:dyDescent="0.35">
      <c r="A304" s="589">
        <v>213</v>
      </c>
      <c r="B304" s="24" t="s">
        <v>293</v>
      </c>
      <c r="C304" s="10">
        <f t="shared" si="27"/>
        <v>2.8499999999999996</v>
      </c>
      <c r="D304" s="615">
        <f>'[23]road inventory 2018'!C300</f>
        <v>1.8599999999999999</v>
      </c>
      <c r="E304" s="15">
        <v>2.11</v>
      </c>
      <c r="F304" s="15">
        <v>0.74</v>
      </c>
      <c r="G304" s="15">
        <v>0</v>
      </c>
      <c r="H304" s="15">
        <v>0</v>
      </c>
      <c r="I304" s="15">
        <v>0</v>
      </c>
      <c r="J304" s="106" t="s">
        <v>10</v>
      </c>
      <c r="K304" s="591" t="s">
        <v>565</v>
      </c>
      <c r="L304" s="24"/>
      <c r="M304" s="593"/>
      <c r="N304" s="598"/>
    </row>
    <row r="305" spans="1:14" ht="18" customHeight="1" x14ac:dyDescent="0.35">
      <c r="A305" s="596">
        <v>206</v>
      </c>
      <c r="B305" s="28" t="s">
        <v>295</v>
      </c>
      <c r="C305" s="10">
        <f t="shared" si="27"/>
        <v>1.94</v>
      </c>
      <c r="D305" s="615">
        <f>'[23]road inventory 2018'!C301</f>
        <v>2</v>
      </c>
      <c r="E305" s="10">
        <v>1.94</v>
      </c>
      <c r="F305" s="10">
        <v>0</v>
      </c>
      <c r="G305" s="10">
        <v>0</v>
      </c>
      <c r="H305" s="10">
        <v>0</v>
      </c>
      <c r="I305" s="10">
        <v>0</v>
      </c>
      <c r="J305" s="103" t="s">
        <v>10</v>
      </c>
      <c r="K305" s="597" t="s">
        <v>566</v>
      </c>
      <c r="L305" s="28"/>
    </row>
    <row r="306" spans="1:14" ht="31" x14ac:dyDescent="0.35">
      <c r="A306" s="596">
        <v>207</v>
      </c>
      <c r="B306" s="28" t="s">
        <v>292</v>
      </c>
      <c r="C306" s="10">
        <f t="shared" si="27"/>
        <v>2.0099999999999998</v>
      </c>
      <c r="D306" s="615">
        <f>'[23]road inventory 2018'!C302</f>
        <v>3.38</v>
      </c>
      <c r="E306" s="10">
        <v>0</v>
      </c>
      <c r="F306" s="10">
        <v>0</v>
      </c>
      <c r="G306" s="10">
        <v>0</v>
      </c>
      <c r="H306" s="10">
        <v>0</v>
      </c>
      <c r="I306" s="10">
        <v>2.0099999999999998</v>
      </c>
      <c r="J306" s="103" t="s">
        <v>10</v>
      </c>
      <c r="K306" s="597" t="s">
        <v>567</v>
      </c>
      <c r="L306" s="28"/>
    </row>
    <row r="307" spans="1:14" ht="18" customHeight="1" thickBot="1" x14ac:dyDescent="0.4">
      <c r="A307" s="686">
        <v>229</v>
      </c>
      <c r="B307" s="687" t="s">
        <v>568</v>
      </c>
      <c r="C307" s="10">
        <f t="shared" si="27"/>
        <v>0.1</v>
      </c>
      <c r="D307" s="10">
        <f>'[23]road inventory 2018'!C303</f>
        <v>0.1</v>
      </c>
      <c r="E307" s="688">
        <v>0.1</v>
      </c>
      <c r="F307" s="688">
        <v>0</v>
      </c>
      <c r="G307" s="688">
        <v>0</v>
      </c>
      <c r="H307" s="688">
        <v>0</v>
      </c>
      <c r="I307" s="688">
        <v>0</v>
      </c>
      <c r="J307" s="759" t="s">
        <v>33</v>
      </c>
      <c r="K307" s="644" t="s">
        <v>569</v>
      </c>
      <c r="L307" s="28" t="str">
        <f>L292</f>
        <v>FOR VERIFICATION</v>
      </c>
    </row>
    <row r="308" spans="1:14" ht="31" x14ac:dyDescent="0.35">
      <c r="A308" s="596">
        <v>215</v>
      </c>
      <c r="B308" s="28" t="s">
        <v>570</v>
      </c>
      <c r="C308" s="10">
        <f t="shared" si="27"/>
        <v>3.8</v>
      </c>
      <c r="D308" s="10">
        <f>'[23]road inventory 2018'!C307</f>
        <v>3.8</v>
      </c>
      <c r="E308" s="10">
        <v>0</v>
      </c>
      <c r="F308" s="10">
        <v>0</v>
      </c>
      <c r="G308" s="10">
        <v>0</v>
      </c>
      <c r="H308" s="10">
        <v>3.8</v>
      </c>
      <c r="I308" s="10">
        <v>0</v>
      </c>
      <c r="J308" s="757" t="s">
        <v>33</v>
      </c>
      <c r="K308" s="597" t="s">
        <v>571</v>
      </c>
      <c r="L308" s="28" t="str">
        <f>L302</f>
        <v>FOR VERIFICATION</v>
      </c>
    </row>
    <row r="309" spans="1:14" ht="18" customHeight="1" x14ac:dyDescent="0.35">
      <c r="A309" s="596">
        <v>208</v>
      </c>
      <c r="B309" s="28" t="s">
        <v>572</v>
      </c>
      <c r="C309" s="10">
        <f t="shared" si="27"/>
        <v>4.3</v>
      </c>
      <c r="D309" s="10">
        <f>'[23]road inventory 2018'!C308</f>
        <v>4.3</v>
      </c>
      <c r="E309" s="10">
        <v>0</v>
      </c>
      <c r="F309" s="10">
        <v>0</v>
      </c>
      <c r="G309" s="10">
        <v>0</v>
      </c>
      <c r="H309" s="10">
        <v>4.3</v>
      </c>
      <c r="I309" s="10">
        <v>0</v>
      </c>
      <c r="J309" s="757" t="s">
        <v>33</v>
      </c>
      <c r="K309" s="597" t="s">
        <v>573</v>
      </c>
      <c r="L309" s="28" t="str">
        <f>L302</f>
        <v>FOR VERIFICATION</v>
      </c>
    </row>
    <row r="310" spans="1:14" ht="18" customHeight="1" x14ac:dyDescent="0.35">
      <c r="A310" s="596">
        <v>209</v>
      </c>
      <c r="B310" s="28" t="s">
        <v>294</v>
      </c>
      <c r="C310" s="10">
        <f t="shared" si="27"/>
        <v>1.92</v>
      </c>
      <c r="D310" s="10">
        <f>'[23]road inventory 2018'!C309</f>
        <v>2.6</v>
      </c>
      <c r="E310" s="10">
        <v>1.92</v>
      </c>
      <c r="F310" s="10">
        <v>0</v>
      </c>
      <c r="G310" s="10">
        <v>0</v>
      </c>
      <c r="H310" s="10">
        <v>0</v>
      </c>
      <c r="I310" s="10">
        <v>0</v>
      </c>
      <c r="J310" s="757" t="s">
        <v>33</v>
      </c>
      <c r="K310" s="597" t="s">
        <v>574</v>
      </c>
      <c r="L310" s="28"/>
    </row>
    <row r="311" spans="1:14" ht="18" customHeight="1" x14ac:dyDescent="0.35">
      <c r="A311" s="596">
        <v>210</v>
      </c>
      <c r="B311" s="28" t="s">
        <v>575</v>
      </c>
      <c r="C311" s="10">
        <f t="shared" si="27"/>
        <v>0.8</v>
      </c>
      <c r="D311" s="10">
        <f>'[23]road inventory 2018'!C310</f>
        <v>0.8</v>
      </c>
      <c r="E311" s="10">
        <v>0.8</v>
      </c>
      <c r="F311" s="10">
        <v>0</v>
      </c>
      <c r="G311" s="10">
        <v>0</v>
      </c>
      <c r="H311" s="10">
        <v>0</v>
      </c>
      <c r="I311" s="10">
        <v>0</v>
      </c>
      <c r="J311" s="103" t="s">
        <v>12</v>
      </c>
      <c r="K311" s="597" t="s">
        <v>576</v>
      </c>
      <c r="L311" s="28" t="str">
        <f>L302</f>
        <v>FOR VERIFICATION</v>
      </c>
    </row>
    <row r="312" spans="1:14" ht="18" customHeight="1" x14ac:dyDescent="0.35">
      <c r="A312" s="596">
        <v>211</v>
      </c>
      <c r="B312" s="28" t="s">
        <v>577</v>
      </c>
      <c r="C312" s="10">
        <f t="shared" si="27"/>
        <v>0.85</v>
      </c>
      <c r="D312" s="10">
        <f>'[23]road inventory 2018'!C311</f>
        <v>0.7</v>
      </c>
      <c r="E312" s="10">
        <v>0.85</v>
      </c>
      <c r="F312" s="10">
        <v>0</v>
      </c>
      <c r="G312" s="10">
        <v>0</v>
      </c>
      <c r="H312" s="10">
        <v>0</v>
      </c>
      <c r="I312" s="10">
        <v>0</v>
      </c>
      <c r="J312" s="103" t="s">
        <v>10</v>
      </c>
      <c r="K312" s="597" t="s">
        <v>578</v>
      </c>
      <c r="L312" s="28"/>
    </row>
    <row r="313" spans="1:14" s="16" customFormat="1" ht="18" customHeight="1" x14ac:dyDescent="0.35">
      <c r="A313" s="626"/>
      <c r="B313" s="60"/>
      <c r="C313" s="61">
        <f t="shared" ref="C313:I313" si="28">SUM(C302:C312)</f>
        <v>34.81</v>
      </c>
      <c r="D313" s="61">
        <f t="shared" si="28"/>
        <v>35.78</v>
      </c>
      <c r="E313" s="61">
        <f t="shared" si="28"/>
        <v>15.01</v>
      </c>
      <c r="F313" s="61">
        <f t="shared" si="28"/>
        <v>3.29</v>
      </c>
      <c r="G313" s="61">
        <f t="shared" si="28"/>
        <v>0</v>
      </c>
      <c r="H313" s="61">
        <f t="shared" si="28"/>
        <v>14.5</v>
      </c>
      <c r="I313" s="61">
        <f t="shared" si="28"/>
        <v>2.0099999999999998</v>
      </c>
      <c r="J313" s="628"/>
      <c r="K313" s="629"/>
      <c r="L313" s="24"/>
      <c r="M313" s="593"/>
      <c r="N313" s="598"/>
    </row>
    <row r="314" spans="1:14" ht="18" customHeight="1" thickBot="1" x14ac:dyDescent="0.4">
      <c r="A314" s="53" t="s">
        <v>341</v>
      </c>
      <c r="B314" s="34"/>
      <c r="C314" s="31">
        <f>SUM(E314:I314)</f>
        <v>34.809999999999995</v>
      </c>
      <c r="D314" s="630"/>
      <c r="E314" s="31">
        <f>SUM(E302:E312)</f>
        <v>15.01</v>
      </c>
      <c r="F314" s="31">
        <f>SUM(F302:F312)</f>
        <v>3.29</v>
      </c>
      <c r="G314" s="31">
        <f>SUM(G302:G312)</f>
        <v>0</v>
      </c>
      <c r="H314" s="31">
        <f>SUM(H302:H312)</f>
        <v>14.5</v>
      </c>
      <c r="I314" s="31">
        <f>SUM(I302:I312)</f>
        <v>2.0099999999999998</v>
      </c>
      <c r="J314" s="608"/>
      <c r="K314" s="609"/>
      <c r="L314" s="653"/>
      <c r="M314" s="21"/>
      <c r="N314" s="685">
        <f>SUM(E314:I314)</f>
        <v>34.809999999999995</v>
      </c>
    </row>
    <row r="315" spans="1:14" ht="18" customHeight="1" x14ac:dyDescent="0.35">
      <c r="L315" s="28"/>
    </row>
    <row r="316" spans="1:14" s="1" customFormat="1" x14ac:dyDescent="0.35">
      <c r="A316" s="1203" t="s">
        <v>579</v>
      </c>
      <c r="B316" s="1204"/>
      <c r="C316" s="1204"/>
      <c r="D316" s="1204"/>
      <c r="E316" s="1204"/>
      <c r="F316" s="1204"/>
      <c r="G316" s="1204"/>
      <c r="H316" s="1204"/>
      <c r="I316" s="1204"/>
      <c r="J316" s="1204"/>
      <c r="K316" s="1204"/>
      <c r="L316" s="1205"/>
      <c r="M316" s="584"/>
      <c r="N316" s="581"/>
    </row>
    <row r="317" spans="1:14" s="1" customFormat="1" ht="16" thickBot="1" x14ac:dyDescent="0.4">
      <c r="A317" s="585"/>
      <c r="B317" s="2"/>
      <c r="C317" s="5"/>
      <c r="D317" s="586"/>
      <c r="E317" s="5"/>
      <c r="F317" s="5"/>
      <c r="G317" s="5"/>
      <c r="H317" s="5"/>
      <c r="I317" s="5"/>
      <c r="J317" s="3"/>
      <c r="K317" s="21"/>
      <c r="L317" s="653"/>
      <c r="M317" s="21"/>
      <c r="N317" s="581"/>
    </row>
    <row r="318" spans="1:14" s="1" customFormat="1" x14ac:dyDescent="0.35">
      <c r="A318" s="1206" t="s">
        <v>302</v>
      </c>
      <c r="B318" s="1208" t="s">
        <v>28</v>
      </c>
      <c r="C318" s="1210" t="s">
        <v>343</v>
      </c>
      <c r="D318" s="613"/>
      <c r="E318" s="1212" t="s">
        <v>305</v>
      </c>
      <c r="F318" s="1212"/>
      <c r="G318" s="1212"/>
      <c r="H318" s="1212"/>
      <c r="I318" s="1212"/>
      <c r="J318" s="1208" t="s">
        <v>29</v>
      </c>
      <c r="K318" s="1213" t="s">
        <v>306</v>
      </c>
      <c r="L318" s="1215" t="str">
        <f>L300</f>
        <v>REMARKS</v>
      </c>
      <c r="M318" s="588"/>
      <c r="N318" s="581"/>
    </row>
    <row r="319" spans="1:14" s="1" customFormat="1" ht="21" customHeight="1" thickBot="1" x14ac:dyDescent="0.4">
      <c r="A319" s="1207"/>
      <c r="B319" s="1209"/>
      <c r="C319" s="1211"/>
      <c r="D319" s="614"/>
      <c r="E319" s="7" t="s">
        <v>308</v>
      </c>
      <c r="F319" s="7" t="s">
        <v>309</v>
      </c>
      <c r="G319" s="7" t="s">
        <v>310</v>
      </c>
      <c r="H319" s="7" t="s">
        <v>311</v>
      </c>
      <c r="I319" s="7" t="s">
        <v>312</v>
      </c>
      <c r="J319" s="1209"/>
      <c r="K319" s="1214"/>
      <c r="L319" s="1216"/>
      <c r="M319" s="588"/>
      <c r="N319" s="581"/>
    </row>
    <row r="320" spans="1:14" ht="18" customHeight="1" x14ac:dyDescent="0.35">
      <c r="A320" s="596">
        <v>214</v>
      </c>
      <c r="B320" s="28" t="s">
        <v>580</v>
      </c>
      <c r="C320" s="10">
        <f>SUM(E320:I320)</f>
        <v>4.5</v>
      </c>
      <c r="D320" s="10">
        <f>'[23]road inventory 2018'!C318</f>
        <v>4.5</v>
      </c>
      <c r="E320" s="633">
        <v>0.7</v>
      </c>
      <c r="F320" s="633">
        <v>0</v>
      </c>
      <c r="G320" s="633">
        <v>0</v>
      </c>
      <c r="H320" s="10">
        <v>3.8</v>
      </c>
      <c r="I320" s="10">
        <v>0</v>
      </c>
      <c r="J320" s="103" t="s">
        <v>12</v>
      </c>
      <c r="K320" s="597" t="s">
        <v>581</v>
      </c>
      <c r="L320" s="28" t="str">
        <f>L330</f>
        <v>FOR VERIFICATION</v>
      </c>
    </row>
    <row r="321" spans="1:19" ht="18" customHeight="1" x14ac:dyDescent="0.35">
      <c r="A321" s="596">
        <v>212</v>
      </c>
      <c r="B321" s="28" t="s">
        <v>582</v>
      </c>
      <c r="C321" s="10">
        <f>SUM(E321:I321)</f>
        <v>2.75</v>
      </c>
      <c r="D321" s="10">
        <f>'[23]road inventory 2018'!C319</f>
        <v>2.75</v>
      </c>
      <c r="E321" s="633">
        <v>2.6</v>
      </c>
      <c r="F321" s="633">
        <v>0</v>
      </c>
      <c r="G321" s="633">
        <v>0</v>
      </c>
      <c r="H321" s="10">
        <v>0.15</v>
      </c>
      <c r="I321" s="10">
        <v>0</v>
      </c>
      <c r="J321" s="103" t="s">
        <v>12</v>
      </c>
      <c r="K321" s="597" t="s">
        <v>528</v>
      </c>
      <c r="L321" s="28" t="str">
        <f>L320</f>
        <v>FOR VERIFICATION</v>
      </c>
    </row>
    <row r="322" spans="1:19" s="16" customFormat="1" ht="18" customHeight="1" x14ac:dyDescent="0.35">
      <c r="A322" s="626"/>
      <c r="B322" s="60"/>
      <c r="C322" s="61">
        <f>SUM(C320:C321)</f>
        <v>7.25</v>
      </c>
      <c r="D322" s="61">
        <f t="shared" ref="D322:I322" si="29">SUM(D320:D321)</f>
        <v>7.25</v>
      </c>
      <c r="E322" s="61">
        <f t="shared" si="29"/>
        <v>3.3</v>
      </c>
      <c r="F322" s="61">
        <f t="shared" si="29"/>
        <v>0</v>
      </c>
      <c r="G322" s="61">
        <f t="shared" si="29"/>
        <v>0</v>
      </c>
      <c r="H322" s="61">
        <f t="shared" si="29"/>
        <v>3.9499999999999997</v>
      </c>
      <c r="I322" s="61">
        <f t="shared" si="29"/>
        <v>0</v>
      </c>
      <c r="J322" s="628"/>
      <c r="K322" s="629"/>
      <c r="L322" s="24"/>
      <c r="M322" s="593"/>
      <c r="N322" s="598"/>
    </row>
    <row r="323" spans="1:19" ht="18" customHeight="1" thickBot="1" x14ac:dyDescent="0.4">
      <c r="A323" s="53" t="s">
        <v>341</v>
      </c>
      <c r="B323" s="69"/>
      <c r="C323" s="31">
        <f>SUM(E323:I323)</f>
        <v>7.25</v>
      </c>
      <c r="D323" s="630"/>
      <c r="E323" s="31">
        <f>SUM(E320:E321)</f>
        <v>3.3</v>
      </c>
      <c r="F323" s="31">
        <f>SUM(F320:F321)</f>
        <v>0</v>
      </c>
      <c r="G323" s="31">
        <f>SUM(G320:G321)</f>
        <v>0</v>
      </c>
      <c r="H323" s="31">
        <f>SUM(H320:H321)</f>
        <v>3.9499999999999997</v>
      </c>
      <c r="I323" s="31">
        <f>SUM(I320:I321)</f>
        <v>0</v>
      </c>
      <c r="J323" s="608"/>
      <c r="K323" s="609"/>
      <c r="L323" s="653"/>
      <c r="M323" s="21"/>
    </row>
    <row r="324" spans="1:19" ht="18" customHeight="1" x14ac:dyDescent="0.35">
      <c r="L324" s="28"/>
    </row>
    <row r="325" spans="1:19" s="1" customFormat="1" x14ac:dyDescent="0.35">
      <c r="A325" s="1203" t="s">
        <v>583</v>
      </c>
      <c r="B325" s="1204"/>
      <c r="C325" s="1204"/>
      <c r="D325" s="1204"/>
      <c r="E325" s="1204"/>
      <c r="F325" s="1204"/>
      <c r="G325" s="1204"/>
      <c r="H325" s="1204"/>
      <c r="I325" s="1204"/>
      <c r="J325" s="1204"/>
      <c r="K325" s="1204"/>
      <c r="L325" s="1205"/>
      <c r="M325" s="584"/>
      <c r="N325" s="581"/>
    </row>
    <row r="326" spans="1:19" s="1" customFormat="1" ht="16" thickBot="1" x14ac:dyDescent="0.4">
      <c r="A326" s="585"/>
      <c r="B326" s="2"/>
      <c r="C326" s="5"/>
      <c r="D326" s="586"/>
      <c r="E326" s="5"/>
      <c r="F326" s="5"/>
      <c r="G326" s="5"/>
      <c r="H326" s="5"/>
      <c r="I326" s="5"/>
      <c r="J326" s="3"/>
      <c r="K326" s="21"/>
      <c r="L326" s="653"/>
      <c r="M326" s="21"/>
      <c r="N326" s="581"/>
    </row>
    <row r="327" spans="1:19" s="1" customFormat="1" x14ac:dyDescent="0.35">
      <c r="A327" s="1206" t="s">
        <v>302</v>
      </c>
      <c r="B327" s="1208" t="s">
        <v>28</v>
      </c>
      <c r="C327" s="1210" t="s">
        <v>343</v>
      </c>
      <c r="D327" s="613"/>
      <c r="E327" s="1212" t="s">
        <v>305</v>
      </c>
      <c r="F327" s="1212"/>
      <c r="G327" s="1212"/>
      <c r="H327" s="1212"/>
      <c r="I327" s="1212"/>
      <c r="J327" s="1208" t="s">
        <v>29</v>
      </c>
      <c r="K327" s="1213" t="s">
        <v>306</v>
      </c>
      <c r="L327" s="1215" t="str">
        <f>L318</f>
        <v>REMARKS</v>
      </c>
      <c r="M327" s="588"/>
      <c r="N327" s="581"/>
    </row>
    <row r="328" spans="1:19" s="1" customFormat="1" ht="21" customHeight="1" thickBot="1" x14ac:dyDescent="0.4">
      <c r="A328" s="1207"/>
      <c r="B328" s="1209"/>
      <c r="C328" s="1211"/>
      <c r="D328" s="614"/>
      <c r="E328" s="7" t="s">
        <v>308</v>
      </c>
      <c r="F328" s="7" t="s">
        <v>309</v>
      </c>
      <c r="G328" s="7" t="s">
        <v>310</v>
      </c>
      <c r="H328" s="7" t="s">
        <v>311</v>
      </c>
      <c r="I328" s="7" t="s">
        <v>312</v>
      </c>
      <c r="J328" s="1209"/>
      <c r="K328" s="1214"/>
      <c r="L328" s="1216"/>
      <c r="M328" s="588"/>
      <c r="N328" s="581"/>
    </row>
    <row r="329" spans="1:19" s="697" customFormat="1" ht="18" customHeight="1" x14ac:dyDescent="0.35">
      <c r="A329" s="689">
        <v>173</v>
      </c>
      <c r="B329" s="690" t="s">
        <v>584</v>
      </c>
      <c r="C329" s="691">
        <f>SUM(E329:I329)</f>
        <v>1.04</v>
      </c>
      <c r="D329" s="692">
        <f>'[23]road inventory 2018'!C326</f>
        <v>1.5</v>
      </c>
      <c r="E329" s="691">
        <v>1.04</v>
      </c>
      <c r="F329" s="691">
        <v>0</v>
      </c>
      <c r="G329" s="691">
        <v>0</v>
      </c>
      <c r="H329" s="691">
        <v>0</v>
      </c>
      <c r="I329" s="691">
        <v>0</v>
      </c>
      <c r="J329" s="693" t="s">
        <v>839</v>
      </c>
      <c r="K329" s="694"/>
      <c r="L329" s="690"/>
      <c r="M329" s="695"/>
      <c r="N329" s="696"/>
    </row>
    <row r="330" spans="1:19" ht="18" customHeight="1" x14ac:dyDescent="0.35">
      <c r="A330" s="596">
        <v>174</v>
      </c>
      <c r="B330" s="28" t="s">
        <v>585</v>
      </c>
      <c r="C330" s="691">
        <f t="shared" ref="C330:C341" si="30">SUM(E330:I330)</f>
        <v>0.2</v>
      </c>
      <c r="D330" s="10">
        <f>'[23]road inventory 2018'!C327</f>
        <v>0.2</v>
      </c>
      <c r="E330" s="10">
        <v>0.2</v>
      </c>
      <c r="F330" s="10">
        <v>0</v>
      </c>
      <c r="G330" s="10">
        <v>0</v>
      </c>
      <c r="H330" s="10">
        <v>0</v>
      </c>
      <c r="I330" s="10">
        <v>0</v>
      </c>
      <c r="J330" s="758" t="s">
        <v>33</v>
      </c>
      <c r="K330" s="597"/>
      <c r="L330" s="28" t="str">
        <f>L308</f>
        <v>FOR VERIFICATION</v>
      </c>
    </row>
    <row r="331" spans="1:19" s="697" customFormat="1" ht="18" customHeight="1" x14ac:dyDescent="0.35">
      <c r="A331" s="689">
        <v>175</v>
      </c>
      <c r="B331" s="690" t="s">
        <v>586</v>
      </c>
      <c r="C331" s="691">
        <f t="shared" si="30"/>
        <v>3.31</v>
      </c>
      <c r="D331" s="692">
        <f>'[23]road inventory 2018'!C328</f>
        <v>3.6</v>
      </c>
      <c r="E331" s="691">
        <v>3.31</v>
      </c>
      <c r="F331" s="691">
        <v>0</v>
      </c>
      <c r="G331" s="691">
        <v>0</v>
      </c>
      <c r="H331" s="691">
        <v>0</v>
      </c>
      <c r="I331" s="691">
        <v>0</v>
      </c>
      <c r="J331" s="690" t="s">
        <v>12</v>
      </c>
      <c r="K331" s="694"/>
      <c r="L331" s="690"/>
      <c r="M331" s="695"/>
      <c r="N331" s="696"/>
    </row>
    <row r="332" spans="1:19" s="697" customFormat="1" ht="18" customHeight="1" x14ac:dyDescent="0.35">
      <c r="A332" s="689">
        <v>176</v>
      </c>
      <c r="B332" s="690" t="s">
        <v>587</v>
      </c>
      <c r="C332" s="691">
        <f t="shared" si="30"/>
        <v>22.21</v>
      </c>
      <c r="D332" s="692">
        <f>'[23]road inventory 2018'!C329</f>
        <v>20.5</v>
      </c>
      <c r="E332" s="691">
        <v>5.21</v>
      </c>
      <c r="F332" s="691">
        <v>0</v>
      </c>
      <c r="G332" s="691">
        <v>0</v>
      </c>
      <c r="H332" s="691">
        <v>17</v>
      </c>
      <c r="I332" s="691">
        <v>0</v>
      </c>
      <c r="J332" s="690" t="s">
        <v>12</v>
      </c>
      <c r="K332" s="694"/>
      <c r="L332" s="690"/>
      <c r="M332" s="695"/>
      <c r="N332" s="696"/>
    </row>
    <row r="333" spans="1:19" s="697" customFormat="1" ht="18" customHeight="1" x14ac:dyDescent="0.35">
      <c r="A333" s="689">
        <v>177</v>
      </c>
      <c r="B333" s="690" t="s">
        <v>588</v>
      </c>
      <c r="C333" s="691">
        <f t="shared" si="30"/>
        <v>13.55</v>
      </c>
      <c r="D333" s="692">
        <f>'[23]road inventory 2018'!C330</f>
        <v>13.5</v>
      </c>
      <c r="E333" s="691">
        <v>13.55</v>
      </c>
      <c r="F333" s="691">
        <v>0</v>
      </c>
      <c r="G333" s="691">
        <v>0</v>
      </c>
      <c r="H333" s="691">
        <v>0</v>
      </c>
      <c r="I333" s="691">
        <v>0</v>
      </c>
      <c r="J333" s="693" t="s">
        <v>10</v>
      </c>
      <c r="K333" s="694"/>
      <c r="L333" s="690"/>
      <c r="M333" s="695"/>
      <c r="N333" s="696"/>
    </row>
    <row r="334" spans="1:19" s="697" customFormat="1" ht="18" customHeight="1" x14ac:dyDescent="0.35">
      <c r="A334" s="689">
        <v>172</v>
      </c>
      <c r="B334" s="690" t="s">
        <v>589</v>
      </c>
      <c r="C334" s="691">
        <f t="shared" si="30"/>
        <v>4.4399999999999995</v>
      </c>
      <c r="D334" s="692">
        <f>'[23]road inventory 2018'!C331</f>
        <v>5.7</v>
      </c>
      <c r="E334" s="691">
        <v>1.02</v>
      </c>
      <c r="F334" s="691">
        <v>0</v>
      </c>
      <c r="G334" s="691">
        <v>0</v>
      </c>
      <c r="H334" s="691">
        <v>3.42</v>
      </c>
      <c r="I334" s="691">
        <v>0</v>
      </c>
      <c r="J334" s="693" t="str">
        <f>J291</f>
        <v>Fair</v>
      </c>
      <c r="K334" s="694"/>
      <c r="L334" s="690"/>
      <c r="M334" s="695"/>
      <c r="N334" s="696"/>
      <c r="S334" s="698">
        <f>C375+D353+D354+D355+D356+D340+D337+D335+D330+D311+D309+D308+D307+D302+D292+D287</f>
        <v>114.55099999999999</v>
      </c>
    </row>
    <row r="335" spans="1:19" ht="31" x14ac:dyDescent="0.35">
      <c r="A335" s="596">
        <v>178</v>
      </c>
      <c r="B335" s="28" t="s">
        <v>296</v>
      </c>
      <c r="C335" s="691">
        <f t="shared" si="30"/>
        <v>25.54</v>
      </c>
      <c r="D335" s="10">
        <f>'[23]road inventory 2018'!C332</f>
        <v>25.54</v>
      </c>
      <c r="E335" s="10">
        <v>1.23</v>
      </c>
      <c r="F335" s="10">
        <v>0</v>
      </c>
      <c r="G335" s="10">
        <v>0</v>
      </c>
      <c r="H335" s="10">
        <v>24.31</v>
      </c>
      <c r="I335" s="10">
        <v>0</v>
      </c>
      <c r="J335" s="758" t="s">
        <v>33</v>
      </c>
      <c r="K335" s="597"/>
      <c r="L335" s="28" t="str">
        <f>L311</f>
        <v>FOR VERIFICATION</v>
      </c>
    </row>
    <row r="336" spans="1:19" ht="18" customHeight="1" x14ac:dyDescent="0.35">
      <c r="A336" s="596">
        <v>179</v>
      </c>
      <c r="B336" s="28" t="s">
        <v>590</v>
      </c>
      <c r="C336" s="691">
        <f t="shared" si="30"/>
        <v>9.4499999999999993</v>
      </c>
      <c r="D336" s="10">
        <f>'[23]road inventory 2018'!C333</f>
        <v>9.4</v>
      </c>
      <c r="E336" s="10">
        <v>0.43</v>
      </c>
      <c r="F336" s="10">
        <v>0</v>
      </c>
      <c r="G336" s="10">
        <v>0</v>
      </c>
      <c r="H336" s="10">
        <v>9.02</v>
      </c>
      <c r="I336" s="10">
        <v>0</v>
      </c>
      <c r="J336" s="757" t="s">
        <v>33</v>
      </c>
      <c r="K336" s="597"/>
      <c r="L336" s="28"/>
    </row>
    <row r="337" spans="1:14" ht="18" customHeight="1" x14ac:dyDescent="0.35">
      <c r="A337" s="596">
        <v>180</v>
      </c>
      <c r="B337" s="28" t="s">
        <v>591</v>
      </c>
      <c r="C337" s="691">
        <f t="shared" si="30"/>
        <v>2.42</v>
      </c>
      <c r="D337" s="10">
        <f>'[23]road inventory 2018'!C334</f>
        <v>2.42</v>
      </c>
      <c r="E337" s="10">
        <v>0</v>
      </c>
      <c r="F337" s="10">
        <v>0</v>
      </c>
      <c r="G337" s="10">
        <v>0</v>
      </c>
      <c r="H337" s="10">
        <v>2.42</v>
      </c>
      <c r="I337" s="10">
        <v>0</v>
      </c>
      <c r="J337" s="28" t="s">
        <v>12</v>
      </c>
      <c r="K337" s="597"/>
      <c r="L337" s="28" t="str">
        <f>L335</f>
        <v>FOR VERIFICATION</v>
      </c>
    </row>
    <row r="338" spans="1:14" ht="31" x14ac:dyDescent="0.35">
      <c r="A338" s="596">
        <v>181</v>
      </c>
      <c r="B338" s="28" t="s">
        <v>592</v>
      </c>
      <c r="C338" s="691">
        <f t="shared" si="30"/>
        <v>4.03</v>
      </c>
      <c r="D338" s="10">
        <f>'[23]road inventory 2018'!C335</f>
        <v>4.9000000000000004</v>
      </c>
      <c r="E338" s="10">
        <v>4.03</v>
      </c>
      <c r="F338" s="10">
        <v>0</v>
      </c>
      <c r="G338" s="10">
        <v>0</v>
      </c>
      <c r="H338" s="10">
        <v>0</v>
      </c>
      <c r="I338" s="10">
        <v>0</v>
      </c>
      <c r="J338" s="103" t="s">
        <v>10</v>
      </c>
      <c r="K338" s="597"/>
      <c r="L338" s="28"/>
    </row>
    <row r="339" spans="1:14" ht="31" x14ac:dyDescent="0.35">
      <c r="A339" s="596">
        <v>182</v>
      </c>
      <c r="B339" s="28" t="s">
        <v>593</v>
      </c>
      <c r="C339" s="691">
        <f t="shared" si="30"/>
        <v>16.57</v>
      </c>
      <c r="D339" s="10">
        <f>'[23]road inventory 2018'!C336</f>
        <v>16</v>
      </c>
      <c r="E339" s="10">
        <v>16.57</v>
      </c>
      <c r="F339" s="10">
        <v>0</v>
      </c>
      <c r="G339" s="10">
        <v>0</v>
      </c>
      <c r="H339" s="10">
        <v>0</v>
      </c>
      <c r="I339" s="10">
        <v>0</v>
      </c>
      <c r="J339" s="28" t="s">
        <v>10</v>
      </c>
      <c r="K339" s="597"/>
      <c r="L339" s="28"/>
    </row>
    <row r="340" spans="1:14" ht="18" customHeight="1" x14ac:dyDescent="0.35">
      <c r="A340" s="596">
        <v>183</v>
      </c>
      <c r="B340" s="28" t="s">
        <v>594</v>
      </c>
      <c r="C340" s="691">
        <f t="shared" si="30"/>
        <v>1.7</v>
      </c>
      <c r="D340" s="10">
        <f>'[23]road inventory 2018'!C337</f>
        <v>1.7</v>
      </c>
      <c r="E340" s="10">
        <v>0</v>
      </c>
      <c r="F340" s="10">
        <v>0</v>
      </c>
      <c r="G340" s="10">
        <v>0</v>
      </c>
      <c r="H340" s="10">
        <v>1.7</v>
      </c>
      <c r="I340" s="10">
        <v>0</v>
      </c>
      <c r="J340" s="758" t="s">
        <v>33</v>
      </c>
      <c r="K340" s="597"/>
      <c r="L340" s="28" t="str">
        <f>L337</f>
        <v>FOR VERIFICATION</v>
      </c>
    </row>
    <row r="341" spans="1:14" s="697" customFormat="1" ht="18" customHeight="1" x14ac:dyDescent="0.35">
      <c r="A341" s="689">
        <v>184</v>
      </c>
      <c r="B341" s="690" t="s">
        <v>595</v>
      </c>
      <c r="C341" s="691">
        <f t="shared" si="30"/>
        <v>12.03</v>
      </c>
      <c r="D341" s="692">
        <f>'[23]road inventory 2018'!C338</f>
        <v>12</v>
      </c>
      <c r="E341" s="691">
        <v>10.01</v>
      </c>
      <c r="F341" s="691">
        <v>0</v>
      </c>
      <c r="G341" s="691">
        <v>0</v>
      </c>
      <c r="H341" s="691">
        <v>2.02</v>
      </c>
      <c r="I341" s="691">
        <v>0</v>
      </c>
      <c r="J341" s="690" t="s">
        <v>10</v>
      </c>
      <c r="K341" s="694"/>
      <c r="L341" s="690"/>
      <c r="M341" s="695"/>
      <c r="N341" s="696"/>
    </row>
    <row r="342" spans="1:14" s="677" customFormat="1" ht="18" customHeight="1" x14ac:dyDescent="0.35">
      <c r="A342" s="699"/>
      <c r="B342" s="108"/>
      <c r="C342" s="700">
        <f>SUM(C329:C341)</f>
        <v>116.49</v>
      </c>
      <c r="D342" s="700">
        <f t="shared" ref="D342:I342" si="31">SUM(D329:D341)</f>
        <v>116.96000000000001</v>
      </c>
      <c r="E342" s="700">
        <f t="shared" si="31"/>
        <v>56.6</v>
      </c>
      <c r="F342" s="700">
        <f t="shared" si="31"/>
        <v>0</v>
      </c>
      <c r="G342" s="700">
        <f t="shared" si="31"/>
        <v>0</v>
      </c>
      <c r="H342" s="700">
        <f t="shared" si="31"/>
        <v>59.890000000000008</v>
      </c>
      <c r="I342" s="700">
        <f t="shared" si="31"/>
        <v>0</v>
      </c>
      <c r="J342" s="108"/>
      <c r="K342" s="701"/>
      <c r="L342" s="107"/>
      <c r="M342" s="675"/>
      <c r="N342" s="676"/>
    </row>
    <row r="343" spans="1:14" ht="18" customHeight="1" thickBot="1" x14ac:dyDescent="0.4">
      <c r="A343" s="53" t="s">
        <v>341</v>
      </c>
      <c r="B343" s="34"/>
      <c r="C343" s="31">
        <f>SUM(E343:I343)</f>
        <v>116.49000000000001</v>
      </c>
      <c r="D343" s="630"/>
      <c r="E343" s="31">
        <f>SUM(E329:E341)</f>
        <v>56.6</v>
      </c>
      <c r="F343" s="31">
        <f>SUM(F329:F341)</f>
        <v>0</v>
      </c>
      <c r="G343" s="31">
        <f>SUM(G329:G341)</f>
        <v>0</v>
      </c>
      <c r="H343" s="31">
        <f>SUM(H329:H341)</f>
        <v>59.890000000000008</v>
      </c>
      <c r="I343" s="31">
        <f>SUM(I329:I341)</f>
        <v>0</v>
      </c>
      <c r="J343" s="608"/>
      <c r="K343" s="609"/>
      <c r="L343" s="653"/>
      <c r="M343" s="21"/>
      <c r="N343" s="685">
        <f>SUM(E343:I343)</f>
        <v>116.49000000000001</v>
      </c>
    </row>
    <row r="344" spans="1:14" ht="18" customHeight="1" x14ac:dyDescent="0.35">
      <c r="L344" s="28"/>
    </row>
    <row r="345" spans="1:14" s="1" customFormat="1" x14ac:dyDescent="0.35">
      <c r="A345" s="1203" t="s">
        <v>596</v>
      </c>
      <c r="B345" s="1204"/>
      <c r="C345" s="1204"/>
      <c r="D345" s="1204"/>
      <c r="E345" s="1204"/>
      <c r="F345" s="1204"/>
      <c r="G345" s="1204"/>
      <c r="H345" s="1204"/>
      <c r="I345" s="1204"/>
      <c r="J345" s="1204"/>
      <c r="K345" s="1204"/>
      <c r="L345" s="1205"/>
      <c r="M345" s="584"/>
      <c r="N345" s="581"/>
    </row>
    <row r="346" spans="1:14" s="1" customFormat="1" ht="16" thickBot="1" x14ac:dyDescent="0.4">
      <c r="A346" s="585"/>
      <c r="B346" s="2"/>
      <c r="C346" s="5"/>
      <c r="D346" s="586"/>
      <c r="E346" s="5"/>
      <c r="F346" s="5"/>
      <c r="G346" s="5"/>
      <c r="H346" s="5"/>
      <c r="I346" s="5"/>
      <c r="J346" s="3"/>
      <c r="K346" s="21"/>
      <c r="L346" s="653"/>
      <c r="M346" s="21"/>
      <c r="N346" s="774">
        <f>SUM(C329:C341)</f>
        <v>116.49</v>
      </c>
    </row>
    <row r="347" spans="1:14" s="1" customFormat="1" x14ac:dyDescent="0.35">
      <c r="A347" s="1206" t="s">
        <v>302</v>
      </c>
      <c r="B347" s="1208" t="s">
        <v>28</v>
      </c>
      <c r="C347" s="1210" t="s">
        <v>343</v>
      </c>
      <c r="D347" s="613"/>
      <c r="E347" s="1212" t="s">
        <v>305</v>
      </c>
      <c r="F347" s="1212"/>
      <c r="G347" s="1212"/>
      <c r="H347" s="1212"/>
      <c r="I347" s="1212"/>
      <c r="J347" s="1208" t="s">
        <v>29</v>
      </c>
      <c r="K347" s="1213" t="s">
        <v>306</v>
      </c>
      <c r="L347" s="1215" t="str">
        <f>L327</f>
        <v>REMARKS</v>
      </c>
      <c r="M347" s="588"/>
      <c r="N347" s="774">
        <f>SUM(E342:I342)</f>
        <v>116.49000000000001</v>
      </c>
    </row>
    <row r="348" spans="1:14" s="1" customFormat="1" ht="21" customHeight="1" thickBot="1" x14ac:dyDescent="0.4">
      <c r="A348" s="1207"/>
      <c r="B348" s="1209"/>
      <c r="C348" s="1211"/>
      <c r="D348" s="614"/>
      <c r="E348" s="7" t="s">
        <v>308</v>
      </c>
      <c r="F348" s="7" t="s">
        <v>309</v>
      </c>
      <c r="G348" s="7" t="s">
        <v>310</v>
      </c>
      <c r="H348" s="7" t="s">
        <v>311</v>
      </c>
      <c r="I348" s="7" t="s">
        <v>312</v>
      </c>
      <c r="J348" s="1209"/>
      <c r="K348" s="1214"/>
      <c r="L348" s="1216"/>
      <c r="M348" s="588"/>
      <c r="N348" s="581"/>
    </row>
    <row r="349" spans="1:14" s="16" customFormat="1" ht="18" customHeight="1" x14ac:dyDescent="0.35">
      <c r="A349" s="589">
        <v>187</v>
      </c>
      <c r="B349" s="24" t="s">
        <v>597</v>
      </c>
      <c r="C349" s="15">
        <f>SUM(E349:I349)</f>
        <v>0.44600000000000001</v>
      </c>
      <c r="D349" s="702">
        <f>'[23]road inventory 2018'!C345</f>
        <v>0.504</v>
      </c>
      <c r="E349" s="15">
        <v>0.44600000000000001</v>
      </c>
      <c r="F349" s="15">
        <v>0</v>
      </c>
      <c r="G349" s="15">
        <v>0</v>
      </c>
      <c r="H349" s="15">
        <v>0</v>
      </c>
      <c r="I349" s="15">
        <v>0</v>
      </c>
      <c r="J349" s="758" t="str">
        <f>J340</f>
        <v>Poor</v>
      </c>
      <c r="K349" s="591"/>
      <c r="L349" s="24"/>
      <c r="M349" s="593"/>
      <c r="N349" s="598"/>
    </row>
    <row r="350" spans="1:14" s="16" customFormat="1" ht="18" customHeight="1" x14ac:dyDescent="0.35">
      <c r="A350" s="589">
        <v>188</v>
      </c>
      <c r="B350" s="24" t="s">
        <v>598</v>
      </c>
      <c r="C350" s="15">
        <f t="shared" ref="C350:C356" si="32">SUM(E350:I350)</f>
        <v>0.158</v>
      </c>
      <c r="D350" s="702">
        <f>'[23]road inventory 2018'!C346</f>
        <v>0.158</v>
      </c>
      <c r="E350" s="15">
        <v>0.158</v>
      </c>
      <c r="F350" s="15">
        <v>0</v>
      </c>
      <c r="G350" s="15">
        <v>0</v>
      </c>
      <c r="H350" s="15">
        <v>0</v>
      </c>
      <c r="I350" s="15">
        <v>0</v>
      </c>
      <c r="J350" s="758" t="str">
        <f>J340</f>
        <v>Poor</v>
      </c>
      <c r="K350" s="591"/>
      <c r="L350" s="24"/>
      <c r="M350" s="593"/>
      <c r="N350" s="598"/>
    </row>
    <row r="351" spans="1:14" s="16" customFormat="1" ht="18" customHeight="1" x14ac:dyDescent="0.35">
      <c r="A351" s="589">
        <v>189</v>
      </c>
      <c r="B351" s="24" t="s">
        <v>599</v>
      </c>
      <c r="C351" s="15">
        <f t="shared" si="32"/>
        <v>0.998</v>
      </c>
      <c r="D351" s="702">
        <f>'[23]road inventory 2018'!C347</f>
        <v>0.74199999999999999</v>
      </c>
      <c r="E351" s="15">
        <v>0.998</v>
      </c>
      <c r="F351" s="15">
        <v>0</v>
      </c>
      <c r="G351" s="15">
        <v>0</v>
      </c>
      <c r="H351" s="15">
        <v>0</v>
      </c>
      <c r="I351" s="15">
        <v>0</v>
      </c>
      <c r="J351" s="24" t="s">
        <v>12</v>
      </c>
      <c r="K351" s="591"/>
      <c r="L351" s="24"/>
      <c r="M351" s="593"/>
      <c r="N351" s="598"/>
    </row>
    <row r="352" spans="1:14" s="677" customFormat="1" ht="31" x14ac:dyDescent="0.35">
      <c r="A352" s="669">
        <v>185</v>
      </c>
      <c r="B352" s="107" t="s">
        <v>840</v>
      </c>
      <c r="C352" s="15">
        <f t="shared" si="32"/>
        <v>12.03</v>
      </c>
      <c r="D352" s="702">
        <f>'[23]road inventory 2018'!C348</f>
        <v>10.9</v>
      </c>
      <c r="E352" s="670">
        <v>10.01</v>
      </c>
      <c r="F352" s="670">
        <v>0</v>
      </c>
      <c r="G352" s="670">
        <v>0</v>
      </c>
      <c r="H352" s="670">
        <v>2.02</v>
      </c>
      <c r="I352" s="670">
        <v>0</v>
      </c>
      <c r="J352" s="107" t="s">
        <v>10</v>
      </c>
      <c r="K352" s="674"/>
      <c r="L352" s="107"/>
      <c r="M352" s="675"/>
      <c r="N352" s="676"/>
    </row>
    <row r="353" spans="1:14" ht="18" customHeight="1" x14ac:dyDescent="0.35">
      <c r="A353" s="596">
        <v>186</v>
      </c>
      <c r="B353" s="28" t="s">
        <v>601</v>
      </c>
      <c r="C353" s="15">
        <f t="shared" si="32"/>
        <v>10.75</v>
      </c>
      <c r="D353" s="103">
        <f>'[23]road inventory 2018'!C349</f>
        <v>10.5</v>
      </c>
      <c r="E353" s="10">
        <v>0</v>
      </c>
      <c r="F353" s="10">
        <v>0</v>
      </c>
      <c r="G353" s="10">
        <v>0</v>
      </c>
      <c r="H353" s="10">
        <v>10.75</v>
      </c>
      <c r="I353" s="10">
        <v>0</v>
      </c>
      <c r="J353" s="758" t="s">
        <v>33</v>
      </c>
      <c r="K353" s="597"/>
      <c r="L353" s="28" t="str">
        <f>L340</f>
        <v>FOR VERIFICATION</v>
      </c>
    </row>
    <row r="354" spans="1:14" ht="18" customHeight="1" x14ac:dyDescent="0.35">
      <c r="A354" s="596">
        <v>190</v>
      </c>
      <c r="B354" s="28" t="s">
        <v>602</v>
      </c>
      <c r="C354" s="15">
        <f t="shared" si="32"/>
        <v>17.5</v>
      </c>
      <c r="D354" s="103">
        <f>'[23]road inventory 2018'!C350</f>
        <v>17.5</v>
      </c>
      <c r="E354" s="10">
        <v>0</v>
      </c>
      <c r="F354" s="10">
        <v>0</v>
      </c>
      <c r="G354" s="10">
        <v>0</v>
      </c>
      <c r="H354" s="10">
        <v>17.5</v>
      </c>
      <c r="I354" s="10">
        <v>0</v>
      </c>
      <c r="J354" s="28" t="s">
        <v>12</v>
      </c>
      <c r="K354" s="597"/>
      <c r="L354" s="28" t="str">
        <f>L353</f>
        <v>FOR VERIFICATION</v>
      </c>
    </row>
    <row r="355" spans="1:14" ht="18" customHeight="1" x14ac:dyDescent="0.35">
      <c r="A355" s="596">
        <v>191</v>
      </c>
      <c r="B355" s="28" t="s">
        <v>603</v>
      </c>
      <c r="C355" s="15">
        <f t="shared" si="32"/>
        <v>3.5</v>
      </c>
      <c r="D355" s="103">
        <f>'[23]road inventory 2018'!C351</f>
        <v>3.5</v>
      </c>
      <c r="E355" s="10">
        <v>0</v>
      </c>
      <c r="F355" s="10">
        <v>0</v>
      </c>
      <c r="G355" s="10">
        <v>0</v>
      </c>
      <c r="H355" s="10">
        <v>3.5</v>
      </c>
      <c r="I355" s="10">
        <v>0</v>
      </c>
      <c r="J355" s="28" t="s">
        <v>12</v>
      </c>
      <c r="K355" s="597"/>
      <c r="L355" s="28" t="str">
        <f>L354</f>
        <v>FOR VERIFICATION</v>
      </c>
    </row>
    <row r="356" spans="1:14" ht="18" customHeight="1" x14ac:dyDescent="0.35">
      <c r="A356" s="596">
        <v>230</v>
      </c>
      <c r="B356" s="28" t="s">
        <v>604</v>
      </c>
      <c r="C356" s="15">
        <f t="shared" si="32"/>
        <v>1.58</v>
      </c>
      <c r="D356" s="103">
        <f>'[23]road inventory 2018'!C352</f>
        <v>1.58</v>
      </c>
      <c r="E356" s="10">
        <v>0</v>
      </c>
      <c r="F356" s="10">
        <v>0</v>
      </c>
      <c r="G356" s="10">
        <v>0</v>
      </c>
      <c r="H356" s="10">
        <v>1.58</v>
      </c>
      <c r="I356" s="10">
        <v>0</v>
      </c>
      <c r="J356" s="758" t="s">
        <v>41</v>
      </c>
      <c r="K356" s="597"/>
      <c r="L356" s="28" t="str">
        <f>L354</f>
        <v>FOR VERIFICATION</v>
      </c>
    </row>
    <row r="357" spans="1:14" ht="18" customHeight="1" x14ac:dyDescent="0.35">
      <c r="A357" s="635"/>
      <c r="B357" s="40"/>
      <c r="C357" s="703">
        <f>SUM(C349:C356)</f>
        <v>46.961999999999996</v>
      </c>
      <c r="D357" s="703">
        <f t="shared" ref="D357:I357" si="33">SUM(D349:D356)</f>
        <v>45.384</v>
      </c>
      <c r="E357" s="703">
        <f t="shared" si="33"/>
        <v>11.612</v>
      </c>
      <c r="F357" s="703">
        <f t="shared" si="33"/>
        <v>0</v>
      </c>
      <c r="G357" s="703">
        <f t="shared" si="33"/>
        <v>0</v>
      </c>
      <c r="H357" s="703">
        <f t="shared" si="33"/>
        <v>35.349999999999994</v>
      </c>
      <c r="I357" s="703">
        <f t="shared" si="33"/>
        <v>0</v>
      </c>
      <c r="J357" s="40"/>
      <c r="K357" s="605"/>
      <c r="L357" s="28"/>
    </row>
    <row r="358" spans="1:14" ht="18" customHeight="1" thickBot="1" x14ac:dyDescent="0.4">
      <c r="A358" s="53" t="s">
        <v>341</v>
      </c>
      <c r="B358" s="34"/>
      <c r="C358" s="31">
        <f>SUM(E358:I358)</f>
        <v>46.961999999999996</v>
      </c>
      <c r="D358" s="630">
        <f t="shared" ref="D358:I358" si="34">SUM(D349:D356)</f>
        <v>45.384</v>
      </c>
      <c r="E358" s="31">
        <f t="shared" si="34"/>
        <v>11.612</v>
      </c>
      <c r="F358" s="31">
        <f t="shared" si="34"/>
        <v>0</v>
      </c>
      <c r="G358" s="31">
        <f t="shared" si="34"/>
        <v>0</v>
      </c>
      <c r="H358" s="31">
        <f t="shared" si="34"/>
        <v>35.349999999999994</v>
      </c>
      <c r="I358" s="31">
        <f t="shared" si="34"/>
        <v>0</v>
      </c>
      <c r="J358" s="608"/>
      <c r="K358" s="609"/>
      <c r="L358" s="653"/>
      <c r="M358" s="21"/>
      <c r="N358" s="685">
        <f>SUM(E358:I358)</f>
        <v>46.961999999999996</v>
      </c>
    </row>
    <row r="359" spans="1:14" ht="18" customHeight="1" x14ac:dyDescent="0.35">
      <c r="L359" s="28"/>
    </row>
    <row r="360" spans="1:14" s="1" customFormat="1" x14ac:dyDescent="0.35">
      <c r="A360" s="1203" t="s">
        <v>605</v>
      </c>
      <c r="B360" s="1204"/>
      <c r="C360" s="1204"/>
      <c r="D360" s="1204"/>
      <c r="E360" s="1204"/>
      <c r="F360" s="1204"/>
      <c r="G360" s="1204"/>
      <c r="H360" s="1204"/>
      <c r="I360" s="1204"/>
      <c r="J360" s="1204"/>
      <c r="K360" s="1204"/>
      <c r="L360" s="1205"/>
      <c r="M360" s="584"/>
      <c r="N360" s="581"/>
    </row>
    <row r="361" spans="1:14" s="1" customFormat="1" ht="16" thickBot="1" x14ac:dyDescent="0.4">
      <c r="A361" s="585"/>
      <c r="B361" s="2"/>
      <c r="C361" s="5"/>
      <c r="D361" s="586"/>
      <c r="E361" s="5"/>
      <c r="F361" s="5"/>
      <c r="G361" s="5"/>
      <c r="H361" s="5"/>
      <c r="I361" s="5"/>
      <c r="J361" s="3"/>
      <c r="K361" s="21"/>
      <c r="L361" s="653"/>
      <c r="M361" s="21"/>
      <c r="N361" s="581"/>
    </row>
    <row r="362" spans="1:14" s="1" customFormat="1" x14ac:dyDescent="0.35">
      <c r="A362" s="1206" t="s">
        <v>302</v>
      </c>
      <c r="B362" s="1208" t="s">
        <v>28</v>
      </c>
      <c r="C362" s="1210" t="s">
        <v>343</v>
      </c>
      <c r="D362" s="613"/>
      <c r="E362" s="1212" t="s">
        <v>305</v>
      </c>
      <c r="F362" s="1212"/>
      <c r="G362" s="1212"/>
      <c r="H362" s="1212"/>
      <c r="I362" s="1212"/>
      <c r="J362" s="1208" t="s">
        <v>29</v>
      </c>
      <c r="K362" s="1213" t="s">
        <v>306</v>
      </c>
      <c r="L362" s="1215" t="str">
        <f>L347</f>
        <v>REMARKS</v>
      </c>
      <c r="M362" s="588"/>
      <c r="N362" s="581"/>
    </row>
    <row r="363" spans="1:14" s="1" customFormat="1" ht="21" customHeight="1" thickBot="1" x14ac:dyDescent="0.4">
      <c r="A363" s="1207"/>
      <c r="B363" s="1209"/>
      <c r="C363" s="1211"/>
      <c r="D363" s="614"/>
      <c r="E363" s="7" t="s">
        <v>308</v>
      </c>
      <c r="F363" s="7" t="s">
        <v>309</v>
      </c>
      <c r="G363" s="7" t="s">
        <v>310</v>
      </c>
      <c r="H363" s="7" t="s">
        <v>311</v>
      </c>
      <c r="I363" s="7" t="s">
        <v>312</v>
      </c>
      <c r="J363" s="1209"/>
      <c r="K363" s="1214"/>
      <c r="L363" s="1216"/>
      <c r="M363" s="588"/>
      <c r="N363" s="581"/>
    </row>
    <row r="364" spans="1:14" s="667" customFormat="1" x14ac:dyDescent="0.35">
      <c r="A364" s="618">
        <v>192</v>
      </c>
      <c r="B364" s="619" t="s">
        <v>606</v>
      </c>
      <c r="C364" s="704">
        <f>SUM(E364:I364)</f>
        <v>13.02</v>
      </c>
      <c r="D364" s="705">
        <f>'[23]road inventory 2018'!C359</f>
        <v>17</v>
      </c>
      <c r="E364" s="620">
        <v>10.754</v>
      </c>
      <c r="F364" s="620">
        <v>0</v>
      </c>
      <c r="G364" s="620">
        <v>0</v>
      </c>
      <c r="H364" s="620">
        <v>2.266</v>
      </c>
      <c r="I364" s="620">
        <v>0</v>
      </c>
      <c r="J364" s="619" t="s">
        <v>12</v>
      </c>
      <c r="K364" s="622"/>
      <c r="L364" s="619"/>
      <c r="M364" s="623"/>
      <c r="N364" s="666"/>
    </row>
    <row r="365" spans="1:14" s="16" customFormat="1" ht="31" x14ac:dyDescent="0.35">
      <c r="A365" s="589">
        <v>193</v>
      </c>
      <c r="B365" s="24" t="s">
        <v>607</v>
      </c>
      <c r="C365" s="73">
        <f>SUM(E365:I365)</f>
        <v>1.53</v>
      </c>
      <c r="D365" s="706">
        <f>'[23]road inventory 2018'!C360</f>
        <v>1.8</v>
      </c>
      <c r="E365" s="15">
        <v>1.53</v>
      </c>
      <c r="F365" s="15">
        <v>0</v>
      </c>
      <c r="G365" s="15">
        <v>0</v>
      </c>
      <c r="H365" s="15">
        <v>0</v>
      </c>
      <c r="I365" s="15">
        <v>0</v>
      </c>
      <c r="J365" s="24" t="s">
        <v>12</v>
      </c>
      <c r="K365" s="591"/>
      <c r="L365" s="24"/>
      <c r="M365" s="593"/>
      <c r="N365" s="598"/>
    </row>
    <row r="366" spans="1:14" s="16" customFormat="1" ht="31.5" thickBot="1" x14ac:dyDescent="0.4">
      <c r="A366" s="649">
        <v>194</v>
      </c>
      <c r="B366" s="64" t="s">
        <v>608</v>
      </c>
      <c r="C366" s="73">
        <f>SUM(E366:I366)</f>
        <v>5.12</v>
      </c>
      <c r="D366" s="707">
        <f>'[23]road inventory 2018'!C361</f>
        <v>5.3</v>
      </c>
      <c r="E366" s="65">
        <v>4.12</v>
      </c>
      <c r="F366" s="65">
        <v>0</v>
      </c>
      <c r="G366" s="65">
        <v>0</v>
      </c>
      <c r="H366" s="65">
        <v>1</v>
      </c>
      <c r="I366" s="65">
        <v>0</v>
      </c>
      <c r="J366" s="64" t="s">
        <v>12</v>
      </c>
      <c r="K366" s="652"/>
      <c r="L366" s="24"/>
      <c r="M366" s="593"/>
      <c r="N366" s="598"/>
    </row>
    <row r="367" spans="1:14" s="16" customFormat="1" ht="31" x14ac:dyDescent="0.35">
      <c r="A367" s="589">
        <v>195</v>
      </c>
      <c r="B367" s="24" t="s">
        <v>609</v>
      </c>
      <c r="C367" s="73">
        <f>SUM(E367:I367)</f>
        <v>5.01</v>
      </c>
      <c r="D367" s="706">
        <f>'[23]road inventory 2018'!C365</f>
        <v>3.9000000000000004</v>
      </c>
      <c r="E367" s="15">
        <v>1.06</v>
      </c>
      <c r="F367" s="15">
        <v>0</v>
      </c>
      <c r="G367" s="15">
        <v>0</v>
      </c>
      <c r="H367" s="15">
        <v>3.95</v>
      </c>
      <c r="I367" s="15">
        <v>0</v>
      </c>
      <c r="J367" s="24" t="s">
        <v>12</v>
      </c>
      <c r="K367" s="591"/>
      <c r="L367" s="24"/>
      <c r="M367" s="593"/>
      <c r="N367" s="598"/>
    </row>
    <row r="368" spans="1:14" s="16" customFormat="1" x14ac:dyDescent="0.35">
      <c r="A368" s="626"/>
      <c r="B368" s="60"/>
      <c r="C368" s="75">
        <f t="shared" ref="C368:I368" si="35">SUM(C364:C367)</f>
        <v>24.68</v>
      </c>
      <c r="D368" s="75">
        <f t="shared" si="35"/>
        <v>28</v>
      </c>
      <c r="E368" s="75">
        <f t="shared" si="35"/>
        <v>17.463999999999999</v>
      </c>
      <c r="F368" s="75">
        <f t="shared" si="35"/>
        <v>0</v>
      </c>
      <c r="G368" s="75">
        <f t="shared" si="35"/>
        <v>0</v>
      </c>
      <c r="H368" s="75">
        <f t="shared" si="35"/>
        <v>7.2160000000000002</v>
      </c>
      <c r="I368" s="75">
        <f t="shared" si="35"/>
        <v>0</v>
      </c>
      <c r="J368" s="60"/>
      <c r="K368" s="629"/>
      <c r="L368" s="24"/>
      <c r="M368" s="593"/>
      <c r="N368" s="598"/>
    </row>
    <row r="369" spans="1:14" ht="18" customHeight="1" thickBot="1" x14ac:dyDescent="0.4">
      <c r="A369" s="53" t="s">
        <v>341</v>
      </c>
      <c r="B369" s="34"/>
      <c r="C369" s="31">
        <f>SUM(E369:I369)</f>
        <v>24.68</v>
      </c>
      <c r="D369" s="630">
        <f t="shared" ref="D369:I369" si="36">SUM(D364:D367)</f>
        <v>28</v>
      </c>
      <c r="E369" s="31">
        <f t="shared" si="36"/>
        <v>17.463999999999999</v>
      </c>
      <c r="F369" s="31">
        <f t="shared" si="36"/>
        <v>0</v>
      </c>
      <c r="G369" s="31">
        <f t="shared" si="36"/>
        <v>0</v>
      </c>
      <c r="H369" s="31">
        <f t="shared" si="36"/>
        <v>7.2160000000000002</v>
      </c>
      <c r="I369" s="31">
        <f t="shared" si="36"/>
        <v>0</v>
      </c>
      <c r="J369" s="608"/>
      <c r="K369" s="609"/>
      <c r="L369" s="653"/>
      <c r="M369" s="21"/>
    </row>
    <row r="370" spans="1:14" ht="18" customHeight="1" x14ac:dyDescent="0.35">
      <c r="A370" s="544"/>
      <c r="B370" s="35"/>
      <c r="C370" s="22"/>
      <c r="D370" s="610"/>
      <c r="E370" s="22"/>
      <c r="F370" s="22"/>
      <c r="G370" s="22"/>
      <c r="H370" s="22"/>
      <c r="I370" s="22"/>
      <c r="J370" s="1"/>
      <c r="K370" s="21"/>
      <c r="L370" s="653"/>
      <c r="M370" s="21"/>
      <c r="N370" s="685">
        <f>SUM(E369:I369)</f>
        <v>24.68</v>
      </c>
    </row>
    <row r="371" spans="1:14" s="1" customFormat="1" x14ac:dyDescent="0.35">
      <c r="A371" s="1203" t="s">
        <v>610</v>
      </c>
      <c r="B371" s="1204"/>
      <c r="C371" s="1204"/>
      <c r="D371" s="1204"/>
      <c r="E371" s="1204"/>
      <c r="F371" s="1204"/>
      <c r="G371" s="1204"/>
      <c r="H371" s="1204"/>
      <c r="I371" s="1204"/>
      <c r="J371" s="1204"/>
      <c r="K371" s="1204"/>
      <c r="L371" s="1205"/>
      <c r="M371" s="584"/>
      <c r="N371" s="581"/>
    </row>
    <row r="372" spans="1:14" s="1" customFormat="1" ht="16" thickBot="1" x14ac:dyDescent="0.4">
      <c r="A372" s="585"/>
      <c r="B372" s="2"/>
      <c r="C372" s="5"/>
      <c r="D372" s="586"/>
      <c r="E372" s="5"/>
      <c r="F372" s="5"/>
      <c r="G372" s="5"/>
      <c r="H372" s="5"/>
      <c r="I372" s="5"/>
      <c r="J372" s="3"/>
      <c r="K372" s="21"/>
      <c r="L372" s="653"/>
      <c r="M372" s="21"/>
      <c r="N372" s="581"/>
    </row>
    <row r="373" spans="1:14" s="1" customFormat="1" x14ac:dyDescent="0.35">
      <c r="A373" s="1206" t="s">
        <v>302</v>
      </c>
      <c r="B373" s="1208" t="s">
        <v>28</v>
      </c>
      <c r="C373" s="1210" t="s">
        <v>343</v>
      </c>
      <c r="D373" s="613"/>
      <c r="E373" s="1212" t="s">
        <v>305</v>
      </c>
      <c r="F373" s="1212"/>
      <c r="G373" s="1212"/>
      <c r="H373" s="1212"/>
      <c r="I373" s="1212"/>
      <c r="J373" s="1208" t="s">
        <v>29</v>
      </c>
      <c r="K373" s="1213" t="s">
        <v>306</v>
      </c>
      <c r="L373" s="1215" t="str">
        <f>L362</f>
        <v>REMARKS</v>
      </c>
      <c r="M373" s="588"/>
      <c r="N373" s="581"/>
    </row>
    <row r="374" spans="1:14" s="1" customFormat="1" ht="21" customHeight="1" thickBot="1" x14ac:dyDescent="0.4">
      <c r="A374" s="1207"/>
      <c r="B374" s="1209"/>
      <c r="C374" s="1211"/>
      <c r="D374" s="614"/>
      <c r="E374" s="7" t="s">
        <v>308</v>
      </c>
      <c r="F374" s="7" t="s">
        <v>309</v>
      </c>
      <c r="G374" s="7" t="s">
        <v>310</v>
      </c>
      <c r="H374" s="7" t="s">
        <v>311</v>
      </c>
      <c r="I374" s="7" t="s">
        <v>312</v>
      </c>
      <c r="J374" s="1209"/>
      <c r="K374" s="1214"/>
      <c r="L374" s="1216"/>
      <c r="M374" s="588"/>
      <c r="N374" s="581"/>
    </row>
    <row r="375" spans="1:14" ht="18" customHeight="1" x14ac:dyDescent="0.35">
      <c r="A375" s="596">
        <v>171</v>
      </c>
      <c r="B375" s="28" t="s">
        <v>611</v>
      </c>
      <c r="C375" s="10">
        <f>SUM(E375:H375)</f>
        <v>8.7409999999999997</v>
      </c>
      <c r="D375" s="10"/>
      <c r="E375" s="10">
        <v>1.18</v>
      </c>
      <c r="F375" s="10">
        <v>0</v>
      </c>
      <c r="G375" s="10">
        <v>0</v>
      </c>
      <c r="H375" s="10">
        <v>7.5609999999999999</v>
      </c>
      <c r="I375" s="10">
        <v>0</v>
      </c>
      <c r="J375" s="103" t="s">
        <v>12</v>
      </c>
      <c r="K375" s="597"/>
      <c r="L375" s="28" t="str">
        <f>L356</f>
        <v>FOR VERIFICATION</v>
      </c>
    </row>
    <row r="376" spans="1:14" ht="18" customHeight="1" x14ac:dyDescent="0.35">
      <c r="A376" s="596"/>
      <c r="B376" s="28"/>
      <c r="C376" s="10"/>
      <c r="D376" s="615"/>
      <c r="E376" s="10"/>
      <c r="F376" s="10"/>
      <c r="G376" s="10"/>
      <c r="H376" s="10"/>
      <c r="I376" s="10"/>
      <c r="J376" s="102"/>
      <c r="K376" s="659"/>
      <c r="L376" s="653"/>
      <c r="M376" s="21"/>
    </row>
    <row r="377" spans="1:14" x14ac:dyDescent="0.35">
      <c r="A377" s="658" t="s">
        <v>341</v>
      </c>
      <c r="B377" s="81"/>
      <c r="C377" s="82">
        <f t="shared" ref="C377:I377" si="37">+C375</f>
        <v>8.7409999999999997</v>
      </c>
      <c r="D377" s="708"/>
      <c r="E377" s="82">
        <f t="shared" si="37"/>
        <v>1.18</v>
      </c>
      <c r="F377" s="82">
        <f t="shared" si="37"/>
        <v>0</v>
      </c>
      <c r="G377" s="82">
        <f t="shared" si="37"/>
        <v>0</v>
      </c>
      <c r="H377" s="82">
        <f t="shared" si="37"/>
        <v>7.5609999999999999</v>
      </c>
      <c r="I377" s="82">
        <f t="shared" si="37"/>
        <v>0</v>
      </c>
      <c r="J377" s="102"/>
      <c r="K377" s="659"/>
      <c r="L377" s="653"/>
      <c r="M377" s="21"/>
    </row>
    <row r="378" spans="1:14" ht="18" customHeight="1" x14ac:dyDescent="0.35">
      <c r="A378" s="596"/>
      <c r="B378" s="84"/>
      <c r="C378" s="11"/>
      <c r="D378" s="656"/>
      <c r="E378" s="11"/>
      <c r="F378" s="11"/>
      <c r="G378" s="11"/>
      <c r="H378" s="11"/>
      <c r="I378" s="11"/>
      <c r="J378" s="102"/>
      <c r="K378" s="709"/>
      <c r="L378" s="653"/>
      <c r="M378" s="21"/>
    </row>
    <row r="379" spans="1:14" ht="18" customHeight="1" thickBot="1" x14ac:dyDescent="0.4">
      <c r="A379" s="1199" t="s">
        <v>612</v>
      </c>
      <c r="B379" s="1200"/>
      <c r="C379" s="19">
        <f>C377+C369+C358+C343+C323+C314+C296+C281+C263+C242+C230+C215+C200</f>
        <v>767.72500000000002</v>
      </c>
      <c r="D379" s="607"/>
      <c r="E379" s="19">
        <f>+E377+E369+E358+E343+E323+E314+E296+E281+E263+E242+E230+E215+E200</f>
        <v>261.2</v>
      </c>
      <c r="F379" s="19">
        <f>+F377+F369+F358+F343+F323+F314+F296+F281+F263+F242+F230+F215+F200</f>
        <v>4.74</v>
      </c>
      <c r="G379" s="19">
        <f>+G377+G369+G358+G343+G323+G314+G296+G281+G263+G242+G230+G215+G200</f>
        <v>9.84</v>
      </c>
      <c r="H379" s="19">
        <f>+H377+H369+H358+H343+H323+H314+H296+H281+H263+H242+H230+H215+H200</f>
        <v>489.935</v>
      </c>
      <c r="I379" s="19">
        <f>+I377+I369+I358+I343+I323+I314+I296+I281+I263+I242+I230+I215+I200</f>
        <v>2.0099999999999998</v>
      </c>
      <c r="J379" s="608"/>
      <c r="K379" s="710"/>
      <c r="L379" s="653"/>
      <c r="M379" s="21"/>
    </row>
    <row r="380" spans="1:14" ht="16" thickBot="1" x14ac:dyDescent="0.4">
      <c r="A380" s="1201" t="s">
        <v>204</v>
      </c>
      <c r="B380" s="1202"/>
      <c r="C380" s="87">
        <f>C379+C176</f>
        <v>1244.0150000000001</v>
      </c>
      <c r="D380" s="711"/>
      <c r="E380" s="87">
        <f>+E379+E176</f>
        <v>412.161</v>
      </c>
      <c r="F380" s="87">
        <f>+F379+F176</f>
        <v>4.74</v>
      </c>
      <c r="G380" s="87">
        <f>+G379+G176</f>
        <v>15.64</v>
      </c>
      <c r="H380" s="87">
        <f>+H379+H176</f>
        <v>809.46399999999994</v>
      </c>
      <c r="I380" s="87">
        <f>+I379+I176</f>
        <v>2.0099999999999998</v>
      </c>
      <c r="J380" s="712"/>
      <c r="K380" s="713"/>
      <c r="L380" s="714"/>
      <c r="M380" s="715"/>
    </row>
    <row r="381" spans="1:14" ht="15" customHeight="1" x14ac:dyDescent="0.35">
      <c r="A381" s="716"/>
      <c r="B381" s="716"/>
      <c r="C381" s="22"/>
      <c r="D381" s="610"/>
      <c r="E381" s="22"/>
      <c r="F381" s="22"/>
      <c r="G381" s="22"/>
      <c r="H381" s="22"/>
      <c r="I381" s="22"/>
      <c r="J381" s="1"/>
      <c r="K381" s="21"/>
      <c r="L381" s="21"/>
      <c r="M381" s="21"/>
    </row>
    <row r="382" spans="1:14" ht="15" customHeight="1" x14ac:dyDescent="0.35">
      <c r="A382" s="3"/>
      <c r="B382" s="716" t="s">
        <v>841</v>
      </c>
      <c r="C382" s="22">
        <f>SUM(E380:I380)</f>
        <v>1244.0149999999999</v>
      </c>
      <c r="D382" s="610"/>
      <c r="E382" s="22"/>
      <c r="F382" s="22"/>
      <c r="G382" s="22"/>
      <c r="H382" s="22"/>
      <c r="I382" s="22"/>
      <c r="J382" s="1"/>
      <c r="K382" s="21"/>
      <c r="L382" s="21"/>
      <c r="M382" s="21"/>
    </row>
    <row r="383" spans="1:14" ht="15" customHeight="1" x14ac:dyDescent="0.35">
      <c r="A383" s="3"/>
      <c r="B383" s="716"/>
      <c r="C383" s="22"/>
      <c r="D383" s="610"/>
      <c r="E383" s="22"/>
      <c r="F383" s="22"/>
      <c r="G383" s="22"/>
      <c r="H383" s="22"/>
      <c r="I383" s="22"/>
      <c r="J383" s="1"/>
      <c r="K383" s="21"/>
      <c r="L383" s="21"/>
      <c r="M383" s="21"/>
    </row>
    <row r="384" spans="1:14" ht="15" customHeight="1" x14ac:dyDescent="0.35">
      <c r="A384" s="3"/>
      <c r="B384" s="716"/>
      <c r="C384" s="22"/>
      <c r="D384" s="610"/>
      <c r="E384" s="22"/>
      <c r="F384" s="22"/>
      <c r="G384" s="22"/>
      <c r="H384" s="22"/>
      <c r="I384" s="22"/>
      <c r="J384" s="1"/>
      <c r="K384" s="21"/>
      <c r="L384" s="21"/>
      <c r="M384" s="21"/>
    </row>
    <row r="385" spans="1:14" ht="15" customHeight="1" x14ac:dyDescent="0.35">
      <c r="A385" s="3"/>
      <c r="B385" s="717" t="s">
        <v>154</v>
      </c>
      <c r="C385" s="22"/>
      <c r="D385" s="610"/>
      <c r="E385" s="22"/>
      <c r="F385" s="22"/>
      <c r="G385" s="22"/>
      <c r="H385" s="22"/>
      <c r="I385" s="22"/>
      <c r="J385" s="1"/>
      <c r="K385" s="21"/>
      <c r="L385" s="21"/>
      <c r="M385" s="21"/>
    </row>
    <row r="386" spans="1:14" ht="15" customHeight="1" x14ac:dyDescent="0.35">
      <c r="A386" s="3"/>
      <c r="B386" s="583" t="s">
        <v>155</v>
      </c>
      <c r="C386" s="22"/>
      <c r="D386" s="610"/>
      <c r="E386" s="22"/>
      <c r="F386" s="22"/>
      <c r="G386" s="22"/>
      <c r="H386" s="22"/>
      <c r="I386" s="22"/>
      <c r="J386" s="1"/>
      <c r="K386" s="21"/>
      <c r="L386" s="21"/>
      <c r="M386" s="21"/>
    </row>
    <row r="387" spans="1:14" ht="15" customHeight="1" x14ac:dyDescent="0.35">
      <c r="A387" s="3"/>
      <c r="B387" s="583" t="s">
        <v>842</v>
      </c>
      <c r="C387" s="22"/>
      <c r="D387" s="610"/>
      <c r="E387" s="22"/>
      <c r="F387" s="22"/>
      <c r="G387" s="22"/>
      <c r="H387" s="22"/>
      <c r="I387" s="22"/>
      <c r="J387" s="1"/>
      <c r="K387" s="21"/>
      <c r="L387" s="21"/>
      <c r="M387" s="21"/>
    </row>
    <row r="388" spans="1:14" ht="38.25" customHeight="1" thickBot="1" x14ac:dyDescent="0.4">
      <c r="A388" s="718"/>
      <c r="B388" s="718"/>
      <c r="C388" s="719"/>
      <c r="D388" s="720"/>
      <c r="E388" s="719"/>
      <c r="F388" s="719"/>
      <c r="G388" s="719"/>
      <c r="H388" s="719"/>
      <c r="I388" s="719"/>
      <c r="J388" s="721"/>
      <c r="K388" s="715"/>
      <c r="L388" s="715"/>
      <c r="M388" s="715"/>
    </row>
    <row r="389" spans="1:14" x14ac:dyDescent="0.35">
      <c r="B389" s="722" t="s">
        <v>10</v>
      </c>
      <c r="C389" s="723">
        <f>C12+C15+C17+C18+C19+C20+C21+C22+C27+C41+C44+C48+C50+C51+C52+C76+C98+C99+C100+C102+C117+C118+C123+C125+C126+C143+C151+C152+C153+C172+C182+C183+C189+C192+C206+C207+C209+C226+C228+C252+C255+C290+C293+C303+C304+C305+C306+C312+C329+C333+C338+C339+C341+C352+C161</f>
        <v>287.98699999999997</v>
      </c>
      <c r="D389" s="724">
        <v>285.47999999999996</v>
      </c>
      <c r="E389" s="725"/>
      <c r="F389" s="726"/>
      <c r="G389" s="727"/>
    </row>
    <row r="390" spans="1:14" x14ac:dyDescent="0.35">
      <c r="B390" s="728" t="s">
        <v>12</v>
      </c>
      <c r="C390" s="729">
        <f>C10+C11+C13+C16+C23+C24+C29+C30+C31+C32+C42+C43+C45+C46+C47+C49+C55+C56+C57+C58+C59+C60+C61+C64+C67+C74+C75+C77+C78+C79+C80+C88+C96+C101+C104+C112+C113+C114+C115+C116+C119+C120+C124+C127+C128+C129+C130+C131+C132+C133+C136+C137+C138+C139++C140+C142+C159+C173+C186+C188+C190+C193+C194+C195+C196+C197+C198+C210+C212+C213+C221+C222+C223+C224+C227+C239+C237+C248+C249+C250+C251+C256+C257+C260+C261+C270+C275+C276+C287+C288+C291+C292+C311+C320+C321+C331+C332+C334+C337+C351+C354+C355+C364+C365+C366+C367+C375</f>
        <v>637.59400000000005</v>
      </c>
      <c r="D390" s="724">
        <v>595.79900000000009</v>
      </c>
      <c r="E390" s="730">
        <f>C389+C390</f>
        <v>925.58100000000002</v>
      </c>
      <c r="F390" s="731">
        <f>'[26]GOOD TO FAIR'!C315</f>
        <v>918.02600000000007</v>
      </c>
      <c r="G390" s="729">
        <f>F390-E390</f>
        <v>-7.55499999999995</v>
      </c>
      <c r="H390" s="38"/>
    </row>
    <row r="391" spans="1:14" x14ac:dyDescent="0.35">
      <c r="B391" s="728" t="s">
        <v>33</v>
      </c>
      <c r="C391" s="729">
        <f>C14+C25+C26+C28+C54+C62+C63+C95+C97+C103+C121+C122+C134+C135+C141+C157+C158+C164+C184+C185+C187+C208+C211+C238+C240+C254+C258+C259+C269+C271+C272+C273+C274+C277+C278+C289+C294+C302+C307+C308+C309+C310+C330+C335+C336+C340+C349+C350+C353</f>
        <v>248.96399999999997</v>
      </c>
      <c r="D391" s="724">
        <v>260.23399999999992</v>
      </c>
      <c r="E391" s="732"/>
      <c r="F391" s="731"/>
      <c r="G391" s="733"/>
    </row>
    <row r="392" spans="1:14" ht="16" thickBot="1" x14ac:dyDescent="0.4">
      <c r="B392" s="734" t="s">
        <v>41</v>
      </c>
      <c r="C392" s="735">
        <f>C33+C53+C65+C66+C154+C155+C156+C160+C162+C163+C191+C225+C236+C253+C279+C356</f>
        <v>69.47</v>
      </c>
      <c r="D392" s="724">
        <v>72.97</v>
      </c>
      <c r="E392" s="736">
        <f>C389+C390+C391+C392</f>
        <v>1244.0150000000001</v>
      </c>
      <c r="F392" s="737">
        <f>C380</f>
        <v>1244.0150000000001</v>
      </c>
      <c r="G392" s="735">
        <f>F392-E392</f>
        <v>0</v>
      </c>
    </row>
    <row r="393" spans="1:14" x14ac:dyDescent="0.35">
      <c r="D393" s="724">
        <f>SUBTOTAL(9,D389:D392)</f>
        <v>1214.4829999999999</v>
      </c>
      <c r="M393" s="37">
        <f>C382-'inventory2022 (FINAL)'!E295</f>
        <v>0</v>
      </c>
    </row>
    <row r="394" spans="1:14" ht="18" customHeight="1" thickBot="1" x14ac:dyDescent="0.4"/>
    <row r="395" spans="1:14" ht="18" customHeight="1" thickBot="1" x14ac:dyDescent="0.4">
      <c r="A395" s="738" t="s">
        <v>204</v>
      </c>
      <c r="B395" s="739"/>
      <c r="C395" s="740">
        <v>1216.4829999999999</v>
      </c>
      <c r="D395" s="740"/>
      <c r="E395" s="741">
        <v>389.78899999999999</v>
      </c>
      <c r="F395" s="741">
        <v>4.74</v>
      </c>
      <c r="G395" s="741">
        <v>6.7200000000000006</v>
      </c>
      <c r="H395" s="741">
        <v>809.86399999999981</v>
      </c>
      <c r="I395" s="742">
        <v>5.43</v>
      </c>
    </row>
    <row r="396" spans="1:14" ht="18" customHeight="1" x14ac:dyDescent="0.35">
      <c r="C396" s="38">
        <f>E392-C395</f>
        <v>27.532000000000153</v>
      </c>
    </row>
    <row r="397" spans="1:14" ht="18" customHeight="1" x14ac:dyDescent="0.35">
      <c r="B397" s="37"/>
      <c r="C397" s="38"/>
      <c r="D397" s="645"/>
    </row>
    <row r="398" spans="1:14" ht="18" customHeight="1" thickBot="1" x14ac:dyDescent="0.4">
      <c r="C398" s="743">
        <f>C375+C367+C366+C365+C364+C355+C354+C353+C352+C351+C350+C349+C341+C340+C339+C337+C333+C332+C331+C330+C329+C321+C320+C312+C311+C304+C303+C293+C290+C288+C287+C275+C273+C271+C270+C269+C261+C260+C256+C255+C251+C250+C249+C248+C239+C237+C228+C227+C226+C224+C223+C221+C213+C210+C209+C207+C206+C197+C196+C195+C194+C193+C192+C189+C186+C183+C182+C173+C161+C158+C157+C153+C152+C151+C143+C141+C140+C139+C138+C137+C136+C133+C132+C131+C130+C129+C128+C127+C126+C125+C124+C123+C120+C119+C118+C117+C116+C115+C114+C113+C112+C102+C101+C100+C99+C98+C88+C79+C78+C77+C76+C75+C74+C67+C64+C61+C60+C59+C58+C57+C56+C52+C51+C50+C49+C48+C47+C46+C45+C44+C43+C42+C32+C31+C30+C29+C27+C26+C24+C23+C22+C21+C20+C19+C17+C16+C13+C11+C10</f>
        <v>829.99499999999989</v>
      </c>
      <c r="D398" s="744"/>
      <c r="E398" s="743">
        <f>E375+E367+E366+E365+E364+E355+E354+E353+E352+E351+E350+E349+E341+E340+E339+E337+E333+E332+E331+E330+E329+E321+E320+E312+E311+E304+E303+E293+E290+E288+E287+E275+E273+E271+E270+E269+E261+E260+E256+E255+E251+E250+E249+E248+E239+E237+E228+E227+E226+E224+E223+E221+E213+E210+E209+E207+E206+E197+E196+E195+E194+E193+E192+E189+E186+E183+E182+E173+E161+E158+E157+E153+E152+E151+E143+E141+E140+E139+E138+E137+E136+E133+E132+E131+E130+E129+E128+E127+E126+E125+E124+E123+E120+E119+E118+E117+E116+E115+E114+E113+E112+E102+E101+E100+E99+E98+E88+E79+E78+E77+E76+E75+E74+E67+E64+E61+E60+E59+E58+E57+E56+E52+E51+E50+E49+E48+E47+E46+E45+E44+E43+E42+E32+E31+E30+E29+E27+E26+E24+E23+E22+E21+E20+E19+E17+E16+E13+E11+E10</f>
        <v>331.09100000000007</v>
      </c>
      <c r="F398" s="743">
        <f>F375+F367+F366+F365+F364+F355+F354+F353+F352+F351+F350+F349+F341+F340+F339+F337+F333+F332+F331+F330+F329+F321+F320+F312+F311+F304+F303+F293+F290+F288+F287+F275+F273+F271+F270+F269+F261+F260+F256+F255+F251+F250+F249+F248+F239+F237+F228+F227+F226+F224+F223+F221+F213+F210+F209+F207+F206+F197+F196+F195+F194+F193+F192+F189+F186+F183+F182+F173+F161+F158+F157+F153+F152+F151+F143+F141+F140+F139+F138+F137+F136+F133+F132+F131+F130+F129+F128+F127+F126+F125+F124+F123+F120+F119+F118+F117+F116+F115+F114+F113+F112+F102+F101+F100+F99+F98+F88+F79+F78+F77+F76+F75+F74+F67+F64+F61+F60+F59+F58+F57+F56+F52+F51+F50+F49+F48+F47+F46+F45+F44+F43+F42+F32+F31+F30+F29+F27+F26+F24+F23+F22+F21+F20+F19+F17+F16+F13+F11+F10</f>
        <v>2.19</v>
      </c>
      <c r="G398" s="743">
        <f>G375+G367+G366+G365+G364+G355+G354+G353+G352+G351+G350+G349+G341+G340+G339+G337+G333+G332+G331+G330+G329+G321+G320+G312+G311+G304+G303+G293+G290+G288+G287+G275+G273+G271+G270+G269+G261+G260+G256+G255+G251+G250+G249+G248+G239+G237+G228+G227+G226+G224+G223+G221+G213+G210+G209+G207+G206+G197+G196+G195+G194+G193+G192+G189+G186+G183+G182+G173+G161+G158+G157+G153+G152+G151+G143+G141+G140+G139+G138+G137+G136+G133+G132+G131+G130+G129+G128+G127+G126+G125+G124+G123+G120+G119+G118+G117+G116+G115+G114+G113+G112+G102+G101+G100+G99+G98+G88+G79+G78+G77+G76+G75+G74+G67+G64+G61+G60+G59+G58+G57+G56+G52+G51+G50+G49+G48+G47+G46+G45+G44+G43+G42+G32+G31+G30+G29+G27+G26+G24+G23+G22+G21+G20+G19+G17+G16+G13+G11+G10</f>
        <v>1.72</v>
      </c>
      <c r="H398" s="743">
        <f>H375+H367+H366+H365+H364+H355+H354+H353+H352+H351+H350+H349+H341+H340+H339+H337+H333+H332+H331+H330+H329+H321+H320+H312+H311+H304+H303+H293+H290+H288+H287+H275+H273+H271+H270+H269+H261+H260+H256+H255+H251+H250+H249+H248+H239+H237+H228+H227+H226+H224+H223+H221+H213+H210+H209+H207+H206+H197+H196+H195+H194+H193+H192+H189+H186+H183+H182+H173+H161+H158+H157+H153+H152+H151+H143+H141+H140+H139+H138+H137+H136+H133+H132+H131+H130+H129+H128+H127+H126+H125+H124+H123+H120+H119+H118+H117+H116+H115+H114+H113+H112+H102+H101+H100+H99+H98+H88+H79+H78+H77+H76+H75+H74+H67+H64+H61+H60+H59+H58+H57+H56+H52+H51+H50+H49+H48+H47+H46+H45+H44+H43+H42+H32+H31+H30+H29+H27+H26+H24+H23+H22+H21+H20+H19+H17+H16+H13+H11+H10</f>
        <v>494.99400000000009</v>
      </c>
      <c r="I398" s="743">
        <f>I375+I367+I366+I365+I364+I355+I354+I353+I352+I351+I350+I349+I341+I340+I339+I337+I333+I332+I331+I330+I329+I321+I320+I312+I311+I304+I303+I293+I290+I288+I287+I275+I273+I271+I270+I269+I261+I260+I256+I255+I251+I250+I249+I248+I239+I237+I228+I227+I226+I224+I223+I221+I213+I210+I209+I207+I206+I197+I196+I195+I194+I193+I192+I189+I186+I183+I182+I173+I161+I158+I157+I153+I152+I151+I143+I141+I140+I139+I138+I137+I136+I133+I132+I131+I130+I129+I128+I127+I126+I125+I124+I123+I120+I119+I118+I117+I116+I115+I114+I113+I112+I102+I101+I100+I99+I98+I88+I79+I78+I77+I76+I75+I74+I67+I64+I61+I60+I59+I58+I57+I56+I52+I51+I50+I49+I48+I47+I46+I45+I44+I43+I42+I32+I31+I30+I29+I27+I26+I24+I23+I22+I21+I20+I19+I17+I16+I13+I11+I10</f>
        <v>0</v>
      </c>
      <c r="K398" s="37"/>
      <c r="L398" s="37"/>
      <c r="M398" s="37"/>
      <c r="N398" s="685">
        <f>E380+F380+G380+H380+I380</f>
        <v>1244.0149999999999</v>
      </c>
    </row>
    <row r="399" spans="1:14" ht="18" customHeight="1" thickTop="1" x14ac:dyDescent="0.35">
      <c r="B399" s="37">
        <f>E392-C395</f>
        <v>27.532000000000153</v>
      </c>
      <c r="H399" s="38"/>
    </row>
    <row r="400" spans="1:14" ht="18" customHeight="1" x14ac:dyDescent="0.35">
      <c r="C400" s="38"/>
      <c r="D400" s="645"/>
    </row>
    <row r="401" spans="2:14" s="95" customFormat="1" ht="18" customHeight="1" x14ac:dyDescent="0.35">
      <c r="B401" s="2"/>
      <c r="C401" s="3"/>
      <c r="D401" s="582"/>
      <c r="E401" s="3"/>
      <c r="F401" s="3"/>
      <c r="G401" s="3"/>
      <c r="H401" s="3"/>
      <c r="I401" s="3"/>
      <c r="J401" s="3"/>
      <c r="K401" s="2"/>
      <c r="L401" s="2"/>
      <c r="M401" s="2"/>
      <c r="N401" s="745"/>
    </row>
    <row r="402" spans="2:14" s="95" customFormat="1" ht="18" customHeight="1" x14ac:dyDescent="0.35">
      <c r="B402" s="2"/>
      <c r="C402" s="3"/>
      <c r="D402" s="582"/>
      <c r="E402" s="3"/>
      <c r="F402" s="3"/>
      <c r="G402" s="3"/>
      <c r="H402" s="3"/>
      <c r="I402" s="3"/>
      <c r="J402" s="3"/>
      <c r="K402" s="2"/>
      <c r="L402" s="2"/>
      <c r="M402" s="2"/>
      <c r="N402" s="745"/>
    </row>
    <row r="403" spans="2:14" s="95" customFormat="1" ht="18" customHeight="1" x14ac:dyDescent="0.35">
      <c r="B403" s="2"/>
      <c r="C403" s="3"/>
      <c r="D403" s="582"/>
      <c r="E403" s="3"/>
      <c r="F403" s="3"/>
      <c r="G403" s="3"/>
      <c r="H403" s="3"/>
      <c r="I403" s="3"/>
      <c r="J403" s="3"/>
      <c r="K403" s="2"/>
      <c r="L403" s="2"/>
      <c r="M403" s="2"/>
      <c r="N403" s="745"/>
    </row>
    <row r="404" spans="2:14" s="95" customFormat="1" ht="18" customHeight="1" x14ac:dyDescent="0.35">
      <c r="B404" s="2"/>
      <c r="C404" s="3"/>
      <c r="D404" s="582"/>
      <c r="E404" s="3"/>
      <c r="F404" s="3"/>
      <c r="G404" s="3"/>
      <c r="H404" s="3"/>
      <c r="I404" s="3"/>
      <c r="J404" s="3"/>
      <c r="K404" s="2"/>
      <c r="L404" s="2"/>
      <c r="M404" s="2"/>
      <c r="N404" s="745"/>
    </row>
    <row r="405" spans="2:14" s="95" customFormat="1" ht="18" customHeight="1" x14ac:dyDescent="0.35">
      <c r="B405" s="2"/>
      <c r="C405" s="3"/>
      <c r="D405" s="582"/>
      <c r="E405" s="3"/>
      <c r="F405" s="3"/>
      <c r="G405" s="3"/>
      <c r="H405" s="3"/>
      <c r="I405" s="3"/>
      <c r="J405" s="3"/>
      <c r="K405" s="2"/>
      <c r="L405" s="2"/>
      <c r="M405" s="2"/>
      <c r="N405" s="745"/>
    </row>
    <row r="406" spans="2:14" s="95" customFormat="1" ht="18" customHeight="1" x14ac:dyDescent="0.35">
      <c r="B406" s="2"/>
      <c r="C406" s="3"/>
      <c r="D406" s="582"/>
      <c r="E406" s="3"/>
      <c r="F406" s="3"/>
      <c r="G406" s="3"/>
      <c r="H406" s="3"/>
      <c r="I406" s="3"/>
      <c r="J406" s="3"/>
      <c r="K406" s="2"/>
      <c r="L406" s="2"/>
      <c r="M406" s="2"/>
      <c r="N406" s="745"/>
    </row>
    <row r="407" spans="2:14" s="95" customFormat="1" ht="18" customHeight="1" x14ac:dyDescent="0.35">
      <c r="B407" s="2"/>
      <c r="C407" s="3"/>
      <c r="D407" s="582"/>
      <c r="E407" s="3"/>
      <c r="F407" s="3"/>
      <c r="G407" s="3"/>
      <c r="H407" s="3"/>
      <c r="I407" s="3"/>
      <c r="J407" s="3"/>
      <c r="K407" s="2"/>
      <c r="L407" s="2"/>
      <c r="M407" s="2"/>
      <c r="N407" s="745"/>
    </row>
    <row r="408" spans="2:14" s="95" customFormat="1" ht="18" customHeight="1" x14ac:dyDescent="0.35">
      <c r="B408" s="2"/>
      <c r="C408" s="3"/>
      <c r="D408" s="582"/>
      <c r="E408" s="3"/>
      <c r="F408" s="3"/>
      <c r="G408" s="3"/>
      <c r="H408" s="3"/>
      <c r="I408" s="3"/>
      <c r="J408" s="3"/>
      <c r="K408" s="2"/>
      <c r="L408" s="2"/>
      <c r="M408" s="2"/>
      <c r="N408" s="745"/>
    </row>
    <row r="409" spans="2:14" s="95" customFormat="1" ht="18" customHeight="1" x14ac:dyDescent="0.35">
      <c r="B409" s="2"/>
      <c r="C409" s="3"/>
      <c r="D409" s="582"/>
      <c r="E409" s="3"/>
      <c r="F409" s="3"/>
      <c r="G409" s="3"/>
      <c r="H409" s="3"/>
      <c r="I409" s="3"/>
      <c r="J409" s="3"/>
      <c r="K409" s="2"/>
      <c r="L409" s="2"/>
      <c r="M409" s="2"/>
      <c r="N409" s="745"/>
    </row>
    <row r="410" spans="2:14" s="95" customFormat="1" ht="18" customHeight="1" x14ac:dyDescent="0.35">
      <c r="B410" s="2"/>
      <c r="C410" s="3"/>
      <c r="D410" s="582"/>
      <c r="E410" s="3"/>
      <c r="F410" s="3"/>
      <c r="G410" s="3"/>
      <c r="H410" s="3"/>
      <c r="I410" s="3"/>
      <c r="J410" s="3"/>
      <c r="K410" s="2"/>
      <c r="L410" s="2"/>
      <c r="M410" s="2"/>
      <c r="N410" s="745"/>
    </row>
    <row r="411" spans="2:14" s="95" customFormat="1" ht="18" customHeight="1" x14ac:dyDescent="0.35">
      <c r="B411" s="2"/>
      <c r="C411" s="3"/>
      <c r="D411" s="582"/>
      <c r="E411" s="3"/>
      <c r="F411" s="3"/>
      <c r="G411" s="3"/>
      <c r="H411" s="3"/>
      <c r="I411" s="3"/>
      <c r="J411" s="3"/>
      <c r="K411" s="2"/>
      <c r="L411" s="2"/>
      <c r="M411" s="2"/>
      <c r="N411" s="745"/>
    </row>
    <row r="412" spans="2:14" s="95" customFormat="1" ht="18" customHeight="1" x14ac:dyDescent="0.35">
      <c r="B412" s="2"/>
      <c r="C412" s="3"/>
      <c r="D412" s="582"/>
      <c r="E412" s="3"/>
      <c r="F412" s="3"/>
      <c r="G412" s="3"/>
      <c r="H412" s="3"/>
      <c r="I412" s="3"/>
      <c r="J412" s="3"/>
      <c r="K412" s="2"/>
      <c r="L412" s="2"/>
      <c r="M412" s="2"/>
      <c r="N412" s="745"/>
    </row>
    <row r="413" spans="2:14" s="95" customFormat="1" ht="18" customHeight="1" x14ac:dyDescent="0.35">
      <c r="B413" s="2"/>
      <c r="C413" s="3"/>
      <c r="D413" s="582"/>
      <c r="E413" s="3"/>
      <c r="F413" s="3"/>
      <c r="G413" s="3"/>
      <c r="H413" s="3"/>
      <c r="I413" s="3"/>
      <c r="J413" s="3"/>
      <c r="K413" s="2"/>
      <c r="L413" s="2"/>
      <c r="M413" s="2"/>
      <c r="N413" s="745"/>
    </row>
    <row r="414" spans="2:14" s="95" customFormat="1" ht="18" customHeight="1" x14ac:dyDescent="0.35">
      <c r="B414" s="2"/>
      <c r="C414" s="3"/>
      <c r="D414" s="582"/>
      <c r="E414" s="3"/>
      <c r="F414" s="3"/>
      <c r="G414" s="3"/>
      <c r="H414" s="3"/>
      <c r="I414" s="3"/>
      <c r="J414" s="3"/>
      <c r="K414" s="2"/>
      <c r="L414" s="2"/>
      <c r="M414" s="2"/>
      <c r="N414" s="745"/>
    </row>
    <row r="415" spans="2:14" s="95" customFormat="1" ht="18" customHeight="1" x14ac:dyDescent="0.35">
      <c r="B415" s="2"/>
      <c r="C415" s="3"/>
      <c r="D415" s="582"/>
      <c r="E415" s="3"/>
      <c r="F415" s="3"/>
      <c r="G415" s="3"/>
      <c r="H415" s="3"/>
      <c r="I415" s="3"/>
      <c r="J415" s="3"/>
      <c r="K415" s="2"/>
      <c r="L415" s="2"/>
      <c r="M415" s="2"/>
      <c r="N415" s="745"/>
    </row>
    <row r="416" spans="2:14" s="95" customFormat="1" ht="18" customHeight="1" x14ac:dyDescent="0.35">
      <c r="B416" s="2"/>
      <c r="C416" s="3"/>
      <c r="D416" s="582"/>
      <c r="E416" s="3"/>
      <c r="F416" s="3"/>
      <c r="G416" s="3"/>
      <c r="H416" s="3"/>
      <c r="I416" s="3"/>
      <c r="J416" s="3"/>
      <c r="K416" s="2"/>
      <c r="L416" s="2"/>
      <c r="M416" s="2"/>
      <c r="N416" s="745"/>
    </row>
    <row r="417" spans="2:14" s="95" customFormat="1" ht="18" customHeight="1" x14ac:dyDescent="0.35">
      <c r="B417" s="2"/>
      <c r="C417" s="3"/>
      <c r="D417" s="582"/>
      <c r="E417" s="3"/>
      <c r="F417" s="3"/>
      <c r="G417" s="3"/>
      <c r="H417" s="3"/>
      <c r="I417" s="3"/>
      <c r="J417" s="3"/>
      <c r="K417" s="2"/>
      <c r="L417" s="2"/>
      <c r="M417" s="2"/>
      <c r="N417" s="745"/>
    </row>
    <row r="418" spans="2:14" s="95" customFormat="1" ht="18" customHeight="1" x14ac:dyDescent="0.35">
      <c r="B418" s="2"/>
      <c r="C418" s="3"/>
      <c r="D418" s="582"/>
      <c r="E418" s="3"/>
      <c r="F418" s="3"/>
      <c r="G418" s="3"/>
      <c r="H418" s="3"/>
      <c r="I418" s="3"/>
      <c r="J418" s="3"/>
      <c r="K418" s="2"/>
      <c r="L418" s="2"/>
      <c r="M418" s="2"/>
      <c r="N418" s="745"/>
    </row>
    <row r="419" spans="2:14" s="95" customFormat="1" ht="18" customHeight="1" x14ac:dyDescent="0.35">
      <c r="B419" s="2"/>
      <c r="C419" s="3"/>
      <c r="D419" s="582"/>
      <c r="E419" s="3"/>
      <c r="F419" s="3"/>
      <c r="G419" s="3"/>
      <c r="H419" s="3"/>
      <c r="I419" s="3"/>
      <c r="J419" s="3"/>
      <c r="K419" s="2"/>
      <c r="L419" s="2"/>
      <c r="M419" s="2"/>
      <c r="N419" s="745"/>
    </row>
    <row r="420" spans="2:14" s="95" customFormat="1" ht="18" customHeight="1" x14ac:dyDescent="0.35">
      <c r="B420" s="2"/>
      <c r="C420" s="3"/>
      <c r="D420" s="582"/>
      <c r="E420" s="3"/>
      <c r="F420" s="3"/>
      <c r="G420" s="3"/>
      <c r="H420" s="3"/>
      <c r="I420" s="3"/>
      <c r="J420" s="3"/>
      <c r="K420" s="2"/>
      <c r="L420" s="2"/>
      <c r="M420" s="2"/>
      <c r="N420" s="745"/>
    </row>
    <row r="421" spans="2:14" s="95" customFormat="1" ht="18" customHeight="1" x14ac:dyDescent="0.35">
      <c r="B421" s="2"/>
      <c r="C421" s="3"/>
      <c r="D421" s="582"/>
      <c r="E421" s="3"/>
      <c r="F421" s="3"/>
      <c r="G421" s="3"/>
      <c r="H421" s="3"/>
      <c r="I421" s="3"/>
      <c r="J421" s="3"/>
      <c r="K421" s="2"/>
      <c r="L421" s="2"/>
      <c r="M421" s="2"/>
      <c r="N421" s="745"/>
    </row>
    <row r="422" spans="2:14" s="95" customFormat="1" ht="18" customHeight="1" x14ac:dyDescent="0.35">
      <c r="B422" s="2"/>
      <c r="C422" s="3"/>
      <c r="D422" s="582"/>
      <c r="E422" s="3"/>
      <c r="F422" s="3"/>
      <c r="G422" s="3"/>
      <c r="H422" s="3"/>
      <c r="I422" s="3"/>
      <c r="J422" s="3"/>
      <c r="K422" s="2"/>
      <c r="L422" s="2"/>
      <c r="M422" s="2"/>
      <c r="N422" s="745"/>
    </row>
    <row r="423" spans="2:14" s="95" customFormat="1" ht="18" customHeight="1" x14ac:dyDescent="0.35">
      <c r="B423" s="2"/>
      <c r="C423" s="3"/>
      <c r="D423" s="582"/>
      <c r="E423" s="3"/>
      <c r="F423" s="3"/>
      <c r="G423" s="3"/>
      <c r="H423" s="3"/>
      <c r="I423" s="3"/>
      <c r="J423" s="3"/>
      <c r="K423" s="2"/>
      <c r="L423" s="2"/>
      <c r="M423" s="2"/>
      <c r="N423" s="745"/>
    </row>
    <row r="424" spans="2:14" s="95" customFormat="1" ht="18" customHeight="1" x14ac:dyDescent="0.35">
      <c r="B424" s="2"/>
      <c r="C424" s="3"/>
      <c r="D424" s="582"/>
      <c r="E424" s="3"/>
      <c r="F424" s="3"/>
      <c r="G424" s="3"/>
      <c r="H424" s="3"/>
      <c r="I424" s="3"/>
      <c r="J424" s="3"/>
      <c r="K424" s="2"/>
      <c r="L424" s="2"/>
      <c r="M424" s="2"/>
      <c r="N424" s="745"/>
    </row>
    <row r="425" spans="2:14" s="95" customFormat="1" ht="18" customHeight="1" x14ac:dyDescent="0.35">
      <c r="B425" s="2"/>
      <c r="C425" s="3"/>
      <c r="D425" s="582"/>
      <c r="E425" s="3"/>
      <c r="F425" s="3"/>
      <c r="G425" s="3"/>
      <c r="H425" s="3"/>
      <c r="I425" s="3"/>
      <c r="J425" s="3"/>
      <c r="K425" s="2"/>
      <c r="L425" s="2"/>
      <c r="M425" s="2"/>
      <c r="N425" s="745"/>
    </row>
    <row r="426" spans="2:14" s="95" customFormat="1" ht="18" customHeight="1" x14ac:dyDescent="0.35">
      <c r="B426" s="2"/>
      <c r="C426" s="3"/>
      <c r="D426" s="582"/>
      <c r="E426" s="3"/>
      <c r="F426" s="3"/>
      <c r="G426" s="3"/>
      <c r="H426" s="3"/>
      <c r="I426" s="3"/>
      <c r="J426" s="3"/>
      <c r="K426" s="2"/>
      <c r="L426" s="2"/>
      <c r="M426" s="2"/>
      <c r="N426" s="745"/>
    </row>
    <row r="427" spans="2:14" s="95" customFormat="1" ht="18" customHeight="1" x14ac:dyDescent="0.35">
      <c r="B427" s="2"/>
      <c r="C427" s="3"/>
      <c r="D427" s="582"/>
      <c r="E427" s="3"/>
      <c r="F427" s="3"/>
      <c r="G427" s="3"/>
      <c r="H427" s="3"/>
      <c r="I427" s="3"/>
      <c r="J427" s="3"/>
      <c r="K427" s="2"/>
      <c r="L427" s="2"/>
      <c r="M427" s="2"/>
      <c r="N427" s="745"/>
    </row>
    <row r="428" spans="2:14" s="95" customFormat="1" ht="18" customHeight="1" x14ac:dyDescent="0.35">
      <c r="B428" s="2"/>
      <c r="C428" s="3"/>
      <c r="D428" s="582"/>
      <c r="E428" s="3"/>
      <c r="F428" s="3"/>
      <c r="G428" s="3"/>
      <c r="H428" s="3"/>
      <c r="I428" s="3"/>
      <c r="J428" s="3"/>
      <c r="K428" s="2"/>
      <c r="L428" s="2"/>
      <c r="M428" s="2"/>
      <c r="N428" s="745"/>
    </row>
    <row r="429" spans="2:14" s="95" customFormat="1" ht="18" customHeight="1" x14ac:dyDescent="0.35">
      <c r="B429" s="2"/>
      <c r="C429" s="3"/>
      <c r="D429" s="582"/>
      <c r="E429" s="3"/>
      <c r="F429" s="3"/>
      <c r="G429" s="3"/>
      <c r="H429" s="3"/>
      <c r="I429" s="3"/>
      <c r="J429" s="3"/>
      <c r="K429" s="2"/>
      <c r="L429" s="2"/>
      <c r="M429" s="2"/>
      <c r="N429" s="745"/>
    </row>
    <row r="430" spans="2:14" s="95" customFormat="1" ht="18" customHeight="1" x14ac:dyDescent="0.35">
      <c r="B430" s="2"/>
      <c r="C430" s="3"/>
      <c r="D430" s="582"/>
      <c r="E430" s="3"/>
      <c r="F430" s="3"/>
      <c r="G430" s="3"/>
      <c r="H430" s="3"/>
      <c r="I430" s="3"/>
      <c r="J430" s="3"/>
      <c r="K430" s="2"/>
      <c r="L430" s="2"/>
      <c r="M430" s="2"/>
      <c r="N430" s="745"/>
    </row>
    <row r="431" spans="2:14" s="95" customFormat="1" ht="18" customHeight="1" x14ac:dyDescent="0.35">
      <c r="B431" s="2"/>
      <c r="C431" s="3"/>
      <c r="D431" s="582"/>
      <c r="E431" s="3"/>
      <c r="F431" s="3"/>
      <c r="G431" s="3"/>
      <c r="H431" s="3"/>
      <c r="I431" s="3"/>
      <c r="J431" s="3"/>
      <c r="K431" s="2"/>
      <c r="L431" s="2"/>
      <c r="M431" s="2"/>
      <c r="N431" s="745"/>
    </row>
    <row r="432" spans="2:14" s="95" customFormat="1" ht="18" customHeight="1" x14ac:dyDescent="0.35">
      <c r="B432" s="2"/>
      <c r="C432" s="3"/>
      <c r="D432" s="582"/>
      <c r="E432" s="3"/>
      <c r="F432" s="3"/>
      <c r="G432" s="3"/>
      <c r="H432" s="3"/>
      <c r="I432" s="3"/>
      <c r="J432" s="3"/>
      <c r="K432" s="2"/>
      <c r="L432" s="2"/>
      <c r="M432" s="2"/>
      <c r="N432" s="745"/>
    </row>
    <row r="433" spans="2:14" s="95" customFormat="1" ht="18" customHeight="1" x14ac:dyDescent="0.35">
      <c r="B433" s="2"/>
      <c r="C433" s="3"/>
      <c r="D433" s="582"/>
      <c r="E433" s="3"/>
      <c r="F433" s="3"/>
      <c r="G433" s="3"/>
      <c r="H433" s="3"/>
      <c r="I433" s="3"/>
      <c r="J433" s="3"/>
      <c r="K433" s="2"/>
      <c r="L433" s="2"/>
      <c r="M433" s="2"/>
      <c r="N433" s="745"/>
    </row>
    <row r="434" spans="2:14" s="95" customFormat="1" ht="18" customHeight="1" x14ac:dyDescent="0.35">
      <c r="B434" s="2"/>
      <c r="C434" s="3"/>
      <c r="D434" s="582"/>
      <c r="E434" s="3"/>
      <c r="F434" s="3"/>
      <c r="G434" s="3"/>
      <c r="H434" s="3"/>
      <c r="I434" s="3"/>
      <c r="J434" s="3"/>
      <c r="K434" s="2"/>
      <c r="L434" s="2"/>
      <c r="M434" s="2"/>
      <c r="N434" s="745"/>
    </row>
    <row r="435" spans="2:14" s="95" customFormat="1" ht="18" customHeight="1" x14ac:dyDescent="0.35">
      <c r="B435" s="2"/>
      <c r="C435" s="3"/>
      <c r="D435" s="582"/>
      <c r="E435" s="3"/>
      <c r="F435" s="3"/>
      <c r="G435" s="3"/>
      <c r="H435" s="3"/>
      <c r="I435" s="3"/>
      <c r="J435" s="3"/>
      <c r="K435" s="2"/>
      <c r="L435" s="2"/>
      <c r="M435" s="2"/>
      <c r="N435" s="745"/>
    </row>
    <row r="436" spans="2:14" s="95" customFormat="1" ht="18" customHeight="1" x14ac:dyDescent="0.35">
      <c r="B436" s="2"/>
      <c r="C436" s="3"/>
      <c r="D436" s="582"/>
      <c r="E436" s="3"/>
      <c r="F436" s="3"/>
      <c r="G436" s="3"/>
      <c r="H436" s="3"/>
      <c r="I436" s="3"/>
      <c r="J436" s="3"/>
      <c r="K436" s="2"/>
      <c r="L436" s="2"/>
      <c r="M436" s="2"/>
      <c r="N436" s="745"/>
    </row>
    <row r="437" spans="2:14" s="95" customFormat="1" ht="18" customHeight="1" x14ac:dyDescent="0.35">
      <c r="B437" s="2"/>
      <c r="C437" s="3"/>
      <c r="D437" s="582"/>
      <c r="E437" s="3"/>
      <c r="F437" s="3"/>
      <c r="G437" s="3"/>
      <c r="H437" s="3"/>
      <c r="I437" s="3"/>
      <c r="J437" s="3"/>
      <c r="K437" s="2"/>
      <c r="L437" s="2"/>
      <c r="M437" s="2"/>
      <c r="N437" s="745"/>
    </row>
    <row r="438" spans="2:14" s="95" customFormat="1" ht="18" customHeight="1" x14ac:dyDescent="0.35">
      <c r="B438" s="2"/>
      <c r="C438" s="3"/>
      <c r="D438" s="582"/>
      <c r="E438" s="3"/>
      <c r="F438" s="3"/>
      <c r="G438" s="3"/>
      <c r="H438" s="3"/>
      <c r="I438" s="3"/>
      <c r="J438" s="3"/>
      <c r="K438" s="2"/>
      <c r="L438" s="2"/>
      <c r="M438" s="2"/>
      <c r="N438" s="745"/>
    </row>
    <row r="439" spans="2:14" s="95" customFormat="1" ht="18" customHeight="1" x14ac:dyDescent="0.35">
      <c r="B439" s="2"/>
      <c r="C439" s="3"/>
      <c r="D439" s="582"/>
      <c r="E439" s="3"/>
      <c r="F439" s="3"/>
      <c r="G439" s="3"/>
      <c r="H439" s="3"/>
      <c r="I439" s="3"/>
      <c r="J439" s="3"/>
      <c r="K439" s="2"/>
      <c r="L439" s="2"/>
      <c r="M439" s="2"/>
      <c r="N439" s="745"/>
    </row>
    <row r="440" spans="2:14" s="95" customFormat="1" ht="18" customHeight="1" x14ac:dyDescent="0.35">
      <c r="B440" s="2"/>
      <c r="C440" s="3"/>
      <c r="D440" s="582"/>
      <c r="E440" s="3"/>
      <c r="F440" s="3"/>
      <c r="G440" s="3"/>
      <c r="H440" s="3"/>
      <c r="I440" s="3"/>
      <c r="J440" s="3"/>
      <c r="K440" s="2"/>
      <c r="L440" s="2"/>
      <c r="M440" s="2"/>
      <c r="N440" s="745"/>
    </row>
    <row r="441" spans="2:14" s="95" customFormat="1" ht="18" customHeight="1" x14ac:dyDescent="0.35">
      <c r="B441" s="2"/>
      <c r="C441" s="3"/>
      <c r="D441" s="582"/>
      <c r="E441" s="3"/>
      <c r="F441" s="3"/>
      <c r="G441" s="3"/>
      <c r="H441" s="3"/>
      <c r="I441" s="3"/>
      <c r="J441" s="3"/>
      <c r="K441" s="2"/>
      <c r="L441" s="2"/>
      <c r="M441" s="2"/>
      <c r="N441" s="745"/>
    </row>
    <row r="442" spans="2:14" s="95" customFormat="1" ht="18" customHeight="1" x14ac:dyDescent="0.35">
      <c r="B442" s="2"/>
      <c r="C442" s="3"/>
      <c r="D442" s="582"/>
      <c r="E442" s="3"/>
      <c r="F442" s="3"/>
      <c r="G442" s="3"/>
      <c r="H442" s="3"/>
      <c r="I442" s="3"/>
      <c r="J442" s="3"/>
      <c r="K442" s="2"/>
      <c r="L442" s="2"/>
      <c r="M442" s="2"/>
      <c r="N442" s="745"/>
    </row>
    <row r="443" spans="2:14" s="95" customFormat="1" ht="18" customHeight="1" x14ac:dyDescent="0.35">
      <c r="B443" s="2"/>
      <c r="C443" s="3"/>
      <c r="D443" s="582"/>
      <c r="E443" s="3"/>
      <c r="F443" s="3"/>
      <c r="G443" s="3"/>
      <c r="H443" s="3"/>
      <c r="I443" s="3"/>
      <c r="J443" s="3"/>
      <c r="K443" s="2"/>
      <c r="L443" s="2"/>
      <c r="M443" s="2"/>
      <c r="N443" s="745"/>
    </row>
    <row r="444" spans="2:14" s="95" customFormat="1" ht="18" customHeight="1" x14ac:dyDescent="0.35">
      <c r="B444" s="2"/>
      <c r="C444" s="3"/>
      <c r="D444" s="582"/>
      <c r="E444" s="3"/>
      <c r="F444" s="3"/>
      <c r="G444" s="3"/>
      <c r="H444" s="3"/>
      <c r="I444" s="3"/>
      <c r="J444" s="3"/>
      <c r="K444" s="2"/>
      <c r="L444" s="2"/>
      <c r="M444" s="2"/>
      <c r="N444" s="745"/>
    </row>
    <row r="445" spans="2:14" s="95" customFormat="1" ht="18" customHeight="1" x14ac:dyDescent="0.35">
      <c r="B445" s="2"/>
      <c r="C445" s="3"/>
      <c r="D445" s="582"/>
      <c r="E445" s="3"/>
      <c r="F445" s="3"/>
      <c r="G445" s="3"/>
      <c r="H445" s="3"/>
      <c r="I445" s="3"/>
      <c r="J445" s="3"/>
      <c r="K445" s="2"/>
      <c r="L445" s="2"/>
      <c r="M445" s="2"/>
      <c r="N445" s="745"/>
    </row>
    <row r="446" spans="2:14" s="95" customFormat="1" ht="18" customHeight="1" x14ac:dyDescent="0.35">
      <c r="B446" s="2"/>
      <c r="C446" s="3"/>
      <c r="D446" s="582"/>
      <c r="E446" s="3"/>
      <c r="F446" s="3"/>
      <c r="G446" s="3"/>
      <c r="H446" s="3"/>
      <c r="I446" s="3"/>
      <c r="J446" s="3"/>
      <c r="K446" s="2"/>
      <c r="L446" s="2"/>
      <c r="M446" s="2"/>
      <c r="N446" s="745"/>
    </row>
    <row r="447" spans="2:14" s="95" customFormat="1" ht="18" customHeight="1" x14ac:dyDescent="0.35">
      <c r="B447" s="2"/>
      <c r="C447" s="3"/>
      <c r="D447" s="582"/>
      <c r="E447" s="3"/>
      <c r="F447" s="3"/>
      <c r="G447" s="3"/>
      <c r="H447" s="3"/>
      <c r="I447" s="3"/>
      <c r="J447" s="3"/>
      <c r="K447" s="2"/>
      <c r="L447" s="2"/>
      <c r="M447" s="2"/>
      <c r="N447" s="745"/>
    </row>
    <row r="448" spans="2:14" s="95" customFormat="1" ht="18" customHeight="1" x14ac:dyDescent="0.35">
      <c r="B448" s="2"/>
      <c r="C448" s="3"/>
      <c r="D448" s="582"/>
      <c r="E448" s="3"/>
      <c r="F448" s="3"/>
      <c r="G448" s="3"/>
      <c r="H448" s="3"/>
      <c r="I448" s="3"/>
      <c r="J448" s="3"/>
      <c r="K448" s="2"/>
      <c r="L448" s="2"/>
      <c r="M448" s="2"/>
      <c r="N448" s="745"/>
    </row>
    <row r="449" spans="2:14" s="95" customFormat="1" ht="18" customHeight="1" x14ac:dyDescent="0.35">
      <c r="B449" s="2"/>
      <c r="C449" s="3"/>
      <c r="D449" s="582"/>
      <c r="E449" s="3"/>
      <c r="F449" s="3"/>
      <c r="G449" s="3"/>
      <c r="H449" s="3"/>
      <c r="I449" s="3"/>
      <c r="J449" s="3"/>
      <c r="K449" s="2"/>
      <c r="L449" s="2"/>
      <c r="M449" s="2"/>
      <c r="N449" s="745"/>
    </row>
    <row r="450" spans="2:14" s="95" customFormat="1" ht="18" customHeight="1" x14ac:dyDescent="0.35">
      <c r="B450" s="2"/>
      <c r="C450" s="3"/>
      <c r="D450" s="582"/>
      <c r="E450" s="3"/>
      <c r="F450" s="3"/>
      <c r="G450" s="3"/>
      <c r="H450" s="3"/>
      <c r="I450" s="3"/>
      <c r="J450" s="3"/>
      <c r="K450" s="2"/>
      <c r="L450" s="2"/>
      <c r="M450" s="2"/>
      <c r="N450" s="745"/>
    </row>
    <row r="451" spans="2:14" s="95" customFormat="1" ht="18" customHeight="1" x14ac:dyDescent="0.35">
      <c r="B451" s="2"/>
      <c r="C451" s="3"/>
      <c r="D451" s="582"/>
      <c r="E451" s="3"/>
      <c r="F451" s="3"/>
      <c r="G451" s="3"/>
      <c r="H451" s="3"/>
      <c r="I451" s="3"/>
      <c r="J451" s="3"/>
      <c r="K451" s="2"/>
      <c r="L451" s="2"/>
      <c r="M451" s="2"/>
      <c r="N451" s="745"/>
    </row>
    <row r="452" spans="2:14" s="95" customFormat="1" ht="18" customHeight="1" x14ac:dyDescent="0.35">
      <c r="B452" s="2"/>
      <c r="C452" s="3"/>
      <c r="D452" s="582"/>
      <c r="E452" s="3"/>
      <c r="F452" s="3"/>
      <c r="G452" s="3"/>
      <c r="H452" s="3"/>
      <c r="I452" s="3"/>
      <c r="J452" s="3"/>
      <c r="K452" s="2"/>
      <c r="L452" s="2"/>
      <c r="M452" s="2"/>
      <c r="N452" s="745"/>
    </row>
    <row r="453" spans="2:14" s="95" customFormat="1" ht="18" customHeight="1" x14ac:dyDescent="0.35">
      <c r="B453" s="2"/>
      <c r="C453" s="3"/>
      <c r="D453" s="582"/>
      <c r="E453" s="3"/>
      <c r="F453" s="3"/>
      <c r="G453" s="3"/>
      <c r="H453" s="3"/>
      <c r="I453" s="3"/>
      <c r="J453" s="3"/>
      <c r="K453" s="2"/>
      <c r="L453" s="2"/>
      <c r="M453" s="2"/>
      <c r="N453" s="745"/>
    </row>
    <row r="454" spans="2:14" s="95" customFormat="1" ht="18" customHeight="1" x14ac:dyDescent="0.35">
      <c r="B454" s="2"/>
      <c r="C454" s="3"/>
      <c r="D454" s="582"/>
      <c r="E454" s="3"/>
      <c r="F454" s="3"/>
      <c r="G454" s="3"/>
      <c r="H454" s="3"/>
      <c r="I454" s="3"/>
      <c r="J454" s="3"/>
      <c r="K454" s="2"/>
      <c r="L454" s="2"/>
      <c r="M454" s="2"/>
      <c r="N454" s="745"/>
    </row>
    <row r="455" spans="2:14" s="95" customFormat="1" ht="18" customHeight="1" x14ac:dyDescent="0.35">
      <c r="B455" s="2"/>
      <c r="C455" s="3"/>
      <c r="D455" s="582"/>
      <c r="E455" s="3"/>
      <c r="F455" s="3"/>
      <c r="G455" s="3"/>
      <c r="H455" s="3"/>
      <c r="I455" s="3"/>
      <c r="J455" s="3"/>
      <c r="K455" s="2"/>
      <c r="L455" s="2"/>
      <c r="M455" s="2"/>
      <c r="N455" s="745"/>
    </row>
    <row r="456" spans="2:14" s="95" customFormat="1" ht="18" customHeight="1" x14ac:dyDescent="0.35">
      <c r="B456" s="2"/>
      <c r="C456" s="3"/>
      <c r="D456" s="582"/>
      <c r="E456" s="3"/>
      <c r="F456" s="3"/>
      <c r="G456" s="3"/>
      <c r="H456" s="3"/>
      <c r="I456" s="3"/>
      <c r="J456" s="3"/>
      <c r="K456" s="2"/>
      <c r="L456" s="2"/>
      <c r="M456" s="2"/>
      <c r="N456" s="745"/>
    </row>
    <row r="457" spans="2:14" s="95" customFormat="1" ht="18" customHeight="1" x14ac:dyDescent="0.35">
      <c r="B457" s="2"/>
      <c r="C457" s="3"/>
      <c r="D457" s="582"/>
      <c r="E457" s="3"/>
      <c r="F457" s="3"/>
      <c r="G457" s="3"/>
      <c r="H457" s="3"/>
      <c r="I457" s="3"/>
      <c r="J457" s="3"/>
      <c r="K457" s="2"/>
      <c r="L457" s="2"/>
      <c r="M457" s="2"/>
      <c r="N457" s="745"/>
    </row>
    <row r="458" spans="2:14" s="95" customFormat="1" ht="18" customHeight="1" x14ac:dyDescent="0.35">
      <c r="B458" s="2"/>
      <c r="C458" s="3"/>
      <c r="D458" s="582"/>
      <c r="E458" s="3"/>
      <c r="F458" s="3"/>
      <c r="G458" s="3"/>
      <c r="H458" s="3"/>
      <c r="I458" s="3"/>
      <c r="J458" s="3"/>
      <c r="K458" s="2"/>
      <c r="L458" s="2"/>
      <c r="M458" s="2"/>
      <c r="N458" s="745"/>
    </row>
    <row r="459" spans="2:14" s="95" customFormat="1" ht="18" customHeight="1" x14ac:dyDescent="0.35">
      <c r="B459" s="2"/>
      <c r="C459" s="3"/>
      <c r="D459" s="582"/>
      <c r="E459" s="3"/>
      <c r="F459" s="3"/>
      <c r="G459" s="3"/>
      <c r="H459" s="3"/>
      <c r="I459" s="3"/>
      <c r="J459" s="3"/>
      <c r="K459" s="2"/>
      <c r="L459" s="2"/>
      <c r="M459" s="2"/>
      <c r="N459" s="745"/>
    </row>
    <row r="460" spans="2:14" s="95" customFormat="1" ht="18" customHeight="1" x14ac:dyDescent="0.35">
      <c r="B460" s="2"/>
      <c r="C460" s="3"/>
      <c r="D460" s="582"/>
      <c r="E460" s="3"/>
      <c r="F460" s="3"/>
      <c r="G460" s="3"/>
      <c r="H460" s="3"/>
      <c r="I460" s="3"/>
      <c r="J460" s="3"/>
      <c r="K460" s="2"/>
      <c r="L460" s="2"/>
      <c r="M460" s="2"/>
      <c r="N460" s="745"/>
    </row>
    <row r="461" spans="2:14" s="95" customFormat="1" ht="18" customHeight="1" x14ac:dyDescent="0.35">
      <c r="B461" s="2"/>
      <c r="C461" s="3"/>
      <c r="D461" s="582"/>
      <c r="E461" s="3"/>
      <c r="F461" s="3"/>
      <c r="G461" s="3"/>
      <c r="H461" s="3"/>
      <c r="I461" s="3"/>
      <c r="J461" s="3"/>
      <c r="K461" s="2"/>
      <c r="L461" s="2"/>
      <c r="M461" s="2"/>
      <c r="N461" s="745"/>
    </row>
    <row r="462" spans="2:14" s="95" customFormat="1" ht="18" customHeight="1" x14ac:dyDescent="0.35">
      <c r="B462" s="2"/>
      <c r="C462" s="3"/>
      <c r="D462" s="582"/>
      <c r="E462" s="3"/>
      <c r="F462" s="3"/>
      <c r="G462" s="3"/>
      <c r="H462" s="3"/>
      <c r="I462" s="3"/>
      <c r="J462" s="3"/>
      <c r="K462" s="2"/>
      <c r="L462" s="2"/>
      <c r="M462" s="2"/>
      <c r="N462" s="745"/>
    </row>
    <row r="463" spans="2:14" s="95" customFormat="1" ht="18" customHeight="1" x14ac:dyDescent="0.35">
      <c r="B463" s="2"/>
      <c r="C463" s="3"/>
      <c r="D463" s="582"/>
      <c r="E463" s="3"/>
      <c r="F463" s="3"/>
      <c r="G463" s="3"/>
      <c r="H463" s="3"/>
      <c r="I463" s="3"/>
      <c r="J463" s="3"/>
      <c r="K463" s="2"/>
      <c r="L463" s="2"/>
      <c r="M463" s="2"/>
      <c r="N463" s="745"/>
    </row>
    <row r="464" spans="2:14" s="95" customFormat="1" ht="18" customHeight="1" x14ac:dyDescent="0.35">
      <c r="B464" s="2"/>
      <c r="C464" s="3"/>
      <c r="D464" s="582"/>
      <c r="E464" s="3"/>
      <c r="F464" s="3"/>
      <c r="G464" s="3"/>
      <c r="H464" s="3"/>
      <c r="I464" s="3"/>
      <c r="J464" s="3"/>
      <c r="K464" s="2"/>
      <c r="L464" s="2"/>
      <c r="M464" s="2"/>
      <c r="N464" s="745"/>
    </row>
    <row r="465" spans="1:13" ht="18" customHeight="1" x14ac:dyDescent="0.35"/>
    <row r="466" spans="1:13" ht="18" customHeight="1" x14ac:dyDescent="0.35"/>
    <row r="467" spans="1:13" ht="18" customHeight="1" x14ac:dyDescent="0.35"/>
    <row r="468" spans="1:13" ht="18" customHeight="1" x14ac:dyDescent="0.35"/>
    <row r="469" spans="1:13" ht="18" customHeight="1" x14ac:dyDescent="0.35"/>
    <row r="470" spans="1:13" ht="18" customHeight="1" x14ac:dyDescent="0.35"/>
    <row r="471" spans="1:13" ht="18" customHeight="1" x14ac:dyDescent="0.35">
      <c r="A471" s="95" t="s">
        <v>614</v>
      </c>
      <c r="B471" s="37"/>
      <c r="C471" s="38"/>
      <c r="D471" s="645"/>
      <c r="E471" s="38"/>
      <c r="F471" s="38"/>
      <c r="G471" s="38"/>
      <c r="H471" s="38"/>
      <c r="I471" s="38"/>
    </row>
    <row r="472" spans="1:13" ht="18" customHeight="1" x14ac:dyDescent="0.35">
      <c r="A472" s="544"/>
      <c r="B472" s="35"/>
      <c r="C472" s="22"/>
      <c r="D472" s="610"/>
      <c r="E472" s="22"/>
      <c r="F472" s="22"/>
      <c r="G472" s="22"/>
      <c r="H472" s="22"/>
      <c r="I472" s="22"/>
      <c r="J472" s="1"/>
      <c r="K472" s="21"/>
      <c r="L472" s="21"/>
      <c r="M472" s="21"/>
    </row>
    <row r="473" spans="1:13" ht="18" customHeight="1" x14ac:dyDescent="0.35">
      <c r="A473" s="544"/>
      <c r="B473" s="21" t="s">
        <v>157</v>
      </c>
      <c r="C473" s="22"/>
      <c r="D473" s="610"/>
      <c r="E473" s="22"/>
      <c r="F473" s="22"/>
      <c r="G473" s="22"/>
      <c r="H473" s="22"/>
      <c r="I473" s="22"/>
      <c r="J473" s="1"/>
      <c r="K473" s="21"/>
      <c r="L473" s="21"/>
      <c r="M473" s="21"/>
    </row>
    <row r="474" spans="1:13" ht="18" customHeight="1" x14ac:dyDescent="0.35">
      <c r="A474" s="544"/>
      <c r="B474" s="2" t="s">
        <v>158</v>
      </c>
      <c r="C474" s="22"/>
      <c r="D474" s="610"/>
      <c r="E474" s="22"/>
      <c r="F474" s="22"/>
      <c r="G474" s="22"/>
      <c r="H474" s="22"/>
      <c r="I474" s="22"/>
      <c r="J474" s="1"/>
    </row>
    <row r="475" spans="1:13" ht="18" customHeight="1" x14ac:dyDescent="0.35">
      <c r="A475" s="544"/>
      <c r="B475" s="35"/>
      <c r="C475" s="22"/>
      <c r="D475" s="610"/>
      <c r="E475" s="22"/>
      <c r="F475" s="22"/>
      <c r="G475" s="22"/>
      <c r="H475" s="22"/>
      <c r="I475" s="22"/>
      <c r="J475" s="1"/>
      <c r="K475" s="21"/>
      <c r="L475" s="21"/>
      <c r="M475" s="21"/>
    </row>
    <row r="476" spans="1:13" ht="18" customHeight="1" x14ac:dyDescent="0.35">
      <c r="A476" s="544"/>
      <c r="B476" s="35"/>
      <c r="C476" s="22"/>
      <c r="D476" s="610"/>
      <c r="E476" s="22"/>
      <c r="F476" s="22"/>
      <c r="G476" s="22"/>
      <c r="H476" s="22"/>
      <c r="I476" s="22"/>
      <c r="J476" s="1"/>
      <c r="K476" s="21"/>
      <c r="L476" s="21"/>
      <c r="M476" s="21"/>
    </row>
    <row r="477" spans="1:13" x14ac:dyDescent="0.35">
      <c r="E477" s="38"/>
    </row>
    <row r="478" spans="1:13" x14ac:dyDescent="0.35">
      <c r="A478" s="544" t="s">
        <v>615</v>
      </c>
      <c r="E478" s="38"/>
    </row>
    <row r="479" spans="1:13" x14ac:dyDescent="0.35">
      <c r="A479" s="95" t="s">
        <v>616</v>
      </c>
      <c r="B479" s="2" t="s">
        <v>159</v>
      </c>
      <c r="E479" s="38"/>
    </row>
    <row r="480" spans="1:13" ht="31" x14ac:dyDescent="0.35">
      <c r="A480" s="95" t="s">
        <v>617</v>
      </c>
      <c r="B480" s="2" t="s">
        <v>160</v>
      </c>
      <c r="E480" s="38"/>
    </row>
    <row r="481" spans="1:5" ht="31" x14ac:dyDescent="0.35">
      <c r="A481" s="95" t="s">
        <v>618</v>
      </c>
      <c r="B481" s="2" t="s">
        <v>161</v>
      </c>
      <c r="E481" s="38"/>
    </row>
    <row r="482" spans="1:5" x14ac:dyDescent="0.35">
      <c r="A482" s="95" t="s">
        <v>619</v>
      </c>
      <c r="B482" s="2" t="s">
        <v>162</v>
      </c>
      <c r="E482" s="38"/>
    </row>
    <row r="483" spans="1:5" x14ac:dyDescent="0.35">
      <c r="E483" s="38"/>
    </row>
    <row r="484" spans="1:5" x14ac:dyDescent="0.35">
      <c r="A484" s="95" t="s">
        <v>620</v>
      </c>
      <c r="E484" s="38"/>
    </row>
    <row r="485" spans="1:5" x14ac:dyDescent="0.35">
      <c r="A485" s="95" t="s">
        <v>621</v>
      </c>
      <c r="E485" s="38"/>
    </row>
    <row r="486" spans="1:5" x14ac:dyDescent="0.35">
      <c r="E486" s="38"/>
    </row>
    <row r="487" spans="1:5" x14ac:dyDescent="0.35">
      <c r="A487" s="544" t="s">
        <v>622</v>
      </c>
      <c r="B487" s="21"/>
      <c r="E487" s="38"/>
    </row>
    <row r="488" spans="1:5" ht="46.5" x14ac:dyDescent="0.35">
      <c r="A488" s="95" t="s">
        <v>10</v>
      </c>
      <c r="B488" s="2" t="s">
        <v>163</v>
      </c>
      <c r="E488" s="38"/>
    </row>
    <row r="489" spans="1:5" ht="46.5" x14ac:dyDescent="0.35">
      <c r="A489" s="95" t="s">
        <v>12</v>
      </c>
      <c r="B489" s="2" t="s">
        <v>164</v>
      </c>
      <c r="E489" s="38"/>
    </row>
    <row r="490" spans="1:5" ht="31" x14ac:dyDescent="0.35">
      <c r="A490" s="95" t="s">
        <v>33</v>
      </c>
      <c r="B490" s="2" t="s">
        <v>165</v>
      </c>
      <c r="E490" s="38"/>
    </row>
    <row r="491" spans="1:5" ht="46.5" x14ac:dyDescent="0.35">
      <c r="A491" s="95" t="s">
        <v>41</v>
      </c>
      <c r="B491" s="2" t="s">
        <v>166</v>
      </c>
      <c r="E491" s="38"/>
    </row>
    <row r="492" spans="1:5" x14ac:dyDescent="0.35">
      <c r="E492" s="38"/>
    </row>
    <row r="493" spans="1:5" x14ac:dyDescent="0.35">
      <c r="A493" s="544" t="s">
        <v>623</v>
      </c>
      <c r="B493" s="21"/>
      <c r="E493" s="38"/>
    </row>
    <row r="494" spans="1:5" ht="46.5" x14ac:dyDescent="0.35">
      <c r="A494" s="95" t="s">
        <v>10</v>
      </c>
      <c r="B494" s="2" t="s">
        <v>167</v>
      </c>
      <c r="E494" s="38"/>
    </row>
    <row r="495" spans="1:5" ht="46.5" x14ac:dyDescent="0.35">
      <c r="A495" s="95" t="s">
        <v>12</v>
      </c>
      <c r="B495" s="2" t="s">
        <v>168</v>
      </c>
      <c r="E495" s="38"/>
    </row>
    <row r="496" spans="1:5" ht="31" x14ac:dyDescent="0.35">
      <c r="A496" s="95" t="s">
        <v>33</v>
      </c>
      <c r="B496" s="2" t="s">
        <v>169</v>
      </c>
      <c r="E496" s="38"/>
    </row>
    <row r="497" spans="1:7" x14ac:dyDescent="0.35">
      <c r="A497" s="95" t="s">
        <v>41</v>
      </c>
      <c r="B497" s="2" t="s">
        <v>170</v>
      </c>
      <c r="E497" s="38"/>
    </row>
    <row r="498" spans="1:7" x14ac:dyDescent="0.35">
      <c r="E498" s="38"/>
    </row>
    <row r="499" spans="1:7" x14ac:dyDescent="0.35">
      <c r="A499" s="544" t="s">
        <v>624</v>
      </c>
      <c r="B499" s="21"/>
      <c r="E499" s="1" t="s">
        <v>625</v>
      </c>
      <c r="F499" s="1"/>
    </row>
    <row r="500" spans="1:7" x14ac:dyDescent="0.35">
      <c r="A500" s="95" t="s">
        <v>10</v>
      </c>
      <c r="B500" s="2" t="s">
        <v>171</v>
      </c>
      <c r="E500" s="3" t="s">
        <v>10</v>
      </c>
      <c r="F500" s="3" t="s">
        <v>626</v>
      </c>
    </row>
    <row r="501" spans="1:7" x14ac:dyDescent="0.35">
      <c r="A501" s="95" t="s">
        <v>12</v>
      </c>
      <c r="B501" s="2" t="s">
        <v>172</v>
      </c>
      <c r="E501" s="3" t="s">
        <v>12</v>
      </c>
      <c r="F501" s="3" t="s">
        <v>627</v>
      </c>
    </row>
    <row r="502" spans="1:7" ht="31" x14ac:dyDescent="0.35">
      <c r="A502" s="95" t="s">
        <v>33</v>
      </c>
      <c r="B502" s="2" t="s">
        <v>173</v>
      </c>
      <c r="E502" s="3" t="s">
        <v>33</v>
      </c>
      <c r="F502" s="3" t="s">
        <v>628</v>
      </c>
    </row>
    <row r="503" spans="1:7" x14ac:dyDescent="0.35">
      <c r="A503" s="95" t="s">
        <v>629</v>
      </c>
      <c r="B503" s="2" t="s">
        <v>174</v>
      </c>
      <c r="E503" s="3" t="s">
        <v>41</v>
      </c>
      <c r="F503" s="3" t="s">
        <v>630</v>
      </c>
    </row>
    <row r="504" spans="1:7" x14ac:dyDescent="0.35">
      <c r="F504" s="38"/>
    </row>
    <row r="505" spans="1:7" x14ac:dyDescent="0.35">
      <c r="A505" s="544" t="s">
        <v>631</v>
      </c>
      <c r="B505" s="21"/>
      <c r="E505" s="1" t="s">
        <v>632</v>
      </c>
      <c r="F505" s="38"/>
    </row>
    <row r="506" spans="1:7" x14ac:dyDescent="0.35">
      <c r="A506" s="95" t="s">
        <v>10</v>
      </c>
      <c r="B506" s="2" t="s">
        <v>175</v>
      </c>
      <c r="E506" s="3" t="s">
        <v>633</v>
      </c>
      <c r="F506" s="3" t="s">
        <v>634</v>
      </c>
    </row>
    <row r="507" spans="1:7" x14ac:dyDescent="0.35">
      <c r="A507" s="95" t="s">
        <v>635</v>
      </c>
      <c r="B507" s="2" t="s">
        <v>176</v>
      </c>
      <c r="E507" s="3" t="s">
        <v>636</v>
      </c>
      <c r="F507" s="3" t="s">
        <v>637</v>
      </c>
    </row>
    <row r="508" spans="1:7" ht="31" x14ac:dyDescent="0.35">
      <c r="A508" s="95" t="s">
        <v>638</v>
      </c>
      <c r="B508" s="2" t="s">
        <v>177</v>
      </c>
      <c r="E508" s="3" t="s">
        <v>639</v>
      </c>
    </row>
    <row r="509" spans="1:7" ht="31" x14ac:dyDescent="0.35">
      <c r="A509" s="95" t="s">
        <v>640</v>
      </c>
      <c r="B509" s="2" t="s">
        <v>178</v>
      </c>
      <c r="E509" s="38"/>
    </row>
    <row r="510" spans="1:7" x14ac:dyDescent="0.35">
      <c r="C510" s="96"/>
      <c r="D510" s="746"/>
      <c r="G510" s="3" t="s">
        <v>641</v>
      </c>
    </row>
    <row r="517" spans="1:14" s="1" customFormat="1" ht="18" customHeight="1" x14ac:dyDescent="0.35">
      <c r="A517" s="747"/>
      <c r="B517" s="97" t="s">
        <v>179</v>
      </c>
      <c r="C517" s="98" t="s">
        <v>180</v>
      </c>
      <c r="D517" s="748"/>
      <c r="E517" s="98" t="s">
        <v>642</v>
      </c>
      <c r="F517" s="98" t="s">
        <v>643</v>
      </c>
      <c r="G517" s="98" t="s">
        <v>644</v>
      </c>
      <c r="H517" s="98" t="s">
        <v>645</v>
      </c>
      <c r="I517" s="98"/>
      <c r="J517" s="98"/>
      <c r="K517" s="97"/>
      <c r="L517" s="21"/>
      <c r="M517" s="21"/>
      <c r="N517" s="581"/>
    </row>
    <row r="518" spans="1:14" s="1" customFormat="1" ht="18" customHeight="1" x14ac:dyDescent="0.35">
      <c r="A518" s="749"/>
      <c r="B518" s="99"/>
      <c r="C518" s="100" t="s">
        <v>181</v>
      </c>
      <c r="D518" s="750"/>
      <c r="E518" s="100" t="s">
        <v>646</v>
      </c>
      <c r="F518" s="100" t="s">
        <v>646</v>
      </c>
      <c r="G518" s="100" t="s">
        <v>646</v>
      </c>
      <c r="H518" s="100" t="s">
        <v>646</v>
      </c>
      <c r="I518" s="100"/>
      <c r="J518" s="101"/>
      <c r="K518" s="751"/>
      <c r="L518" s="21"/>
      <c r="M518" s="21"/>
      <c r="N518" s="581"/>
    </row>
    <row r="519" spans="1:14" ht="18" customHeight="1" x14ac:dyDescent="0.35">
      <c r="A519" s="752"/>
      <c r="B519" s="28" t="s">
        <v>182</v>
      </c>
      <c r="C519" s="10">
        <f t="shared" ref="C519:C542" si="38">SUM(E519:H519)</f>
        <v>98.73</v>
      </c>
      <c r="D519" s="615"/>
      <c r="E519" s="10">
        <f>+E35</f>
        <v>45.43</v>
      </c>
      <c r="F519" s="10"/>
      <c r="G519" s="10">
        <f>+G35</f>
        <v>0</v>
      </c>
      <c r="H519" s="10">
        <f>+H35</f>
        <v>53.300000000000004</v>
      </c>
      <c r="I519" s="10"/>
      <c r="J519" s="102"/>
      <c r="K519" s="653"/>
      <c r="L519" s="21"/>
      <c r="M519" s="21"/>
    </row>
    <row r="520" spans="1:14" ht="18" customHeight="1" x14ac:dyDescent="0.35">
      <c r="A520" s="752"/>
      <c r="B520" s="28" t="s">
        <v>183</v>
      </c>
      <c r="C520" s="10">
        <f t="shared" si="38"/>
        <v>102.34</v>
      </c>
      <c r="D520" s="615"/>
      <c r="E520" s="10">
        <f>+E69</f>
        <v>29.064</v>
      </c>
      <c r="F520" s="10"/>
      <c r="G520" s="10"/>
      <c r="H520" s="10">
        <f>+H69</f>
        <v>73.275999999999996</v>
      </c>
      <c r="I520" s="10"/>
      <c r="J520" s="103"/>
      <c r="K520" s="28"/>
    </row>
    <row r="521" spans="1:14" ht="18" customHeight="1" x14ac:dyDescent="0.35">
      <c r="A521" s="752"/>
      <c r="B521" s="28" t="s">
        <v>184</v>
      </c>
      <c r="C521" s="10">
        <f t="shared" si="38"/>
        <v>42.16</v>
      </c>
      <c r="D521" s="615"/>
      <c r="E521" s="10">
        <f>+E82</f>
        <v>3.4400000000000004</v>
      </c>
      <c r="F521" s="10"/>
      <c r="G521" s="10"/>
      <c r="H521" s="10">
        <f>+H82</f>
        <v>38.72</v>
      </c>
      <c r="I521" s="10"/>
      <c r="J521" s="102"/>
      <c r="K521" s="653"/>
      <c r="L521" s="21"/>
      <c r="M521" s="21"/>
    </row>
    <row r="522" spans="1:14" ht="18" customHeight="1" x14ac:dyDescent="0.35">
      <c r="A522" s="753"/>
      <c r="B522" s="104" t="s">
        <v>185</v>
      </c>
      <c r="C522" s="10">
        <f t="shared" si="38"/>
        <v>3.28</v>
      </c>
      <c r="D522" s="656"/>
      <c r="E522" s="11">
        <f>+E89</f>
        <v>0.48</v>
      </c>
      <c r="F522" s="11"/>
      <c r="G522" s="11"/>
      <c r="H522" s="11">
        <f>+H89</f>
        <v>2.8</v>
      </c>
      <c r="I522" s="11"/>
      <c r="J522" s="102"/>
      <c r="K522" s="653"/>
      <c r="L522" s="21"/>
      <c r="M522" s="21"/>
    </row>
    <row r="523" spans="1:14" ht="18" customHeight="1" x14ac:dyDescent="0.35">
      <c r="A523" s="753"/>
      <c r="B523" s="104" t="s">
        <v>186</v>
      </c>
      <c r="C523" s="10">
        <f t="shared" si="38"/>
        <v>47.399999999999991</v>
      </c>
      <c r="D523" s="656"/>
      <c r="E523" s="11">
        <f>+E106</f>
        <v>14.66</v>
      </c>
      <c r="F523" s="11"/>
      <c r="G523" s="11"/>
      <c r="H523" s="11">
        <f>+H106</f>
        <v>32.739999999999995</v>
      </c>
      <c r="I523" s="11"/>
      <c r="J523" s="102"/>
      <c r="K523" s="653"/>
      <c r="L523" s="21"/>
      <c r="M523" s="21"/>
    </row>
    <row r="524" spans="1:14" ht="18" customHeight="1" x14ac:dyDescent="0.35">
      <c r="A524" s="753"/>
      <c r="B524" s="104" t="s">
        <v>187</v>
      </c>
      <c r="C524" s="10">
        <f t="shared" si="38"/>
        <v>112.60000000000001</v>
      </c>
      <c r="D524" s="656"/>
      <c r="E524" s="11">
        <f>+E145</f>
        <v>39.257000000000005</v>
      </c>
      <c r="F524" s="11"/>
      <c r="G524" s="11"/>
      <c r="H524" s="11">
        <f>+H145</f>
        <v>73.343000000000004</v>
      </c>
      <c r="I524" s="11"/>
      <c r="J524" s="102"/>
      <c r="K524" s="653"/>
      <c r="L524" s="21"/>
      <c r="M524" s="21"/>
    </row>
    <row r="525" spans="1:14" ht="18" customHeight="1" x14ac:dyDescent="0.35">
      <c r="A525" s="753"/>
      <c r="B525" s="104" t="s">
        <v>188</v>
      </c>
      <c r="C525" s="10">
        <f t="shared" si="38"/>
        <v>45.31</v>
      </c>
      <c r="D525" s="656"/>
      <c r="E525" s="11">
        <f>+E166</f>
        <v>5.6300000000000008</v>
      </c>
      <c r="F525" s="11"/>
      <c r="G525" s="11"/>
      <c r="H525" s="11">
        <f>+H166</f>
        <v>39.68</v>
      </c>
      <c r="I525" s="11"/>
      <c r="J525" s="102"/>
      <c r="K525" s="653"/>
      <c r="L525" s="21"/>
      <c r="M525" s="21"/>
    </row>
    <row r="526" spans="1:14" ht="18" customHeight="1" x14ac:dyDescent="0.35">
      <c r="A526" s="753"/>
      <c r="B526" s="104" t="s">
        <v>189</v>
      </c>
      <c r="C526" s="10">
        <f t="shared" si="38"/>
        <v>18.670000000000002</v>
      </c>
      <c r="D526" s="656"/>
      <c r="E526" s="11">
        <f>+E174</f>
        <v>13</v>
      </c>
      <c r="F526" s="11"/>
      <c r="G526" s="11"/>
      <c r="H526" s="11">
        <f>+H174</f>
        <v>5.67</v>
      </c>
      <c r="I526" s="11"/>
      <c r="J526" s="102"/>
      <c r="K526" s="653"/>
      <c r="L526" s="21"/>
      <c r="M526" s="21"/>
    </row>
    <row r="527" spans="1:14" s="1" customFormat="1" ht="18" customHeight="1" x14ac:dyDescent="0.35">
      <c r="A527" s="753"/>
      <c r="B527" s="81" t="s">
        <v>190</v>
      </c>
      <c r="C527" s="51">
        <f t="shared" si="38"/>
        <v>470.49000000000007</v>
      </c>
      <c r="D527" s="708"/>
      <c r="E527" s="82">
        <f>SUM(E519:E526)</f>
        <v>150.96100000000001</v>
      </c>
      <c r="F527" s="82">
        <f>SUM(F519:F526)</f>
        <v>0</v>
      </c>
      <c r="G527" s="82">
        <f>SUM(G519:G526)</f>
        <v>0</v>
      </c>
      <c r="H527" s="82">
        <f>SUM(H519:H526)</f>
        <v>319.52900000000005</v>
      </c>
      <c r="I527" s="82"/>
      <c r="J527" s="102"/>
      <c r="K527" s="653"/>
      <c r="L527" s="21"/>
      <c r="M527" s="21"/>
      <c r="N527" s="581"/>
    </row>
    <row r="528" spans="1:14" ht="18" customHeight="1" x14ac:dyDescent="0.35">
      <c r="A528" s="753"/>
      <c r="B528" s="104" t="s">
        <v>191</v>
      </c>
      <c r="C528" s="10">
        <f t="shared" si="38"/>
        <v>135.63</v>
      </c>
      <c r="D528" s="656"/>
      <c r="E528" s="11">
        <f>+E200</f>
        <v>37.329000000000001</v>
      </c>
      <c r="F528" s="11">
        <f>+F200</f>
        <v>0</v>
      </c>
      <c r="G528" s="11"/>
      <c r="H528" s="11">
        <f>+H200</f>
        <v>98.301000000000002</v>
      </c>
      <c r="I528" s="11"/>
      <c r="J528" s="102"/>
      <c r="K528" s="653"/>
      <c r="L528" s="21"/>
      <c r="M528" s="21"/>
    </row>
    <row r="529" spans="1:14" ht="18" customHeight="1" x14ac:dyDescent="0.35">
      <c r="A529" s="753"/>
      <c r="B529" s="104" t="s">
        <v>192</v>
      </c>
      <c r="C529" s="10">
        <f t="shared" si="38"/>
        <v>82.89</v>
      </c>
      <c r="D529" s="656"/>
      <c r="E529" s="11">
        <f>+E215</f>
        <v>33.61</v>
      </c>
      <c r="F529" s="11"/>
      <c r="G529" s="11"/>
      <c r="H529" s="11">
        <f>+H215</f>
        <v>49.28</v>
      </c>
      <c r="I529" s="11"/>
      <c r="J529" s="102"/>
      <c r="K529" s="653"/>
      <c r="L529" s="21"/>
      <c r="M529" s="21"/>
    </row>
    <row r="530" spans="1:14" ht="18" customHeight="1" x14ac:dyDescent="0.35">
      <c r="A530" s="753"/>
      <c r="B530" s="104" t="s">
        <v>193</v>
      </c>
      <c r="C530" s="10">
        <f t="shared" si="38"/>
        <v>90.497000000000014</v>
      </c>
      <c r="D530" s="656"/>
      <c r="E530" s="11">
        <f>+E230</f>
        <v>16.649999999999999</v>
      </c>
      <c r="F530" s="11"/>
      <c r="G530" s="11"/>
      <c r="H530" s="11">
        <f>+H230</f>
        <v>73.847000000000008</v>
      </c>
      <c r="I530" s="11"/>
      <c r="J530" s="102"/>
      <c r="K530" s="653"/>
      <c r="L530" s="21"/>
      <c r="M530" s="21"/>
    </row>
    <row r="531" spans="1:14" ht="18" customHeight="1" x14ac:dyDescent="0.35">
      <c r="A531" s="753"/>
      <c r="B531" s="104" t="s">
        <v>194</v>
      </c>
      <c r="C531" s="10">
        <f t="shared" si="38"/>
        <v>28.17</v>
      </c>
      <c r="D531" s="656"/>
      <c r="E531" s="11">
        <f>+E242</f>
        <v>3.5600000000000005</v>
      </c>
      <c r="F531" s="11"/>
      <c r="G531" s="11"/>
      <c r="H531" s="11">
        <f>+H242</f>
        <v>24.61</v>
      </c>
      <c r="I531" s="11"/>
      <c r="J531" s="102"/>
      <c r="K531" s="653"/>
      <c r="L531" s="21"/>
      <c r="M531" s="21"/>
    </row>
    <row r="532" spans="1:14" ht="18" customHeight="1" x14ac:dyDescent="0.35">
      <c r="A532" s="753"/>
      <c r="B532" s="104" t="s">
        <v>195</v>
      </c>
      <c r="C532" s="10">
        <f t="shared" si="38"/>
        <v>74.634999999999991</v>
      </c>
      <c r="D532" s="656"/>
      <c r="E532" s="11">
        <f>+E263</f>
        <v>18.555</v>
      </c>
      <c r="F532" s="11"/>
      <c r="G532" s="11"/>
      <c r="H532" s="11">
        <f>+H263</f>
        <v>56.079999999999991</v>
      </c>
      <c r="I532" s="11"/>
      <c r="J532" s="102"/>
      <c r="K532" s="653"/>
      <c r="L532" s="21"/>
      <c r="M532" s="21"/>
    </row>
    <row r="533" spans="1:14" ht="18" customHeight="1" x14ac:dyDescent="0.35">
      <c r="A533" s="753"/>
      <c r="B533" s="104" t="s">
        <v>196</v>
      </c>
      <c r="C533" s="10">
        <f t="shared" si="38"/>
        <v>62</v>
      </c>
      <c r="D533" s="656"/>
      <c r="E533" s="11">
        <f>+E281</f>
        <v>14.170000000000002</v>
      </c>
      <c r="F533" s="11">
        <f>+F281</f>
        <v>0</v>
      </c>
      <c r="G533" s="11"/>
      <c r="H533" s="11">
        <f>+H281</f>
        <v>47.83</v>
      </c>
      <c r="I533" s="11"/>
      <c r="J533" s="102"/>
      <c r="K533" s="653"/>
      <c r="L533" s="21"/>
      <c r="M533" s="21"/>
    </row>
    <row r="534" spans="1:14" ht="18" customHeight="1" x14ac:dyDescent="0.35">
      <c r="A534" s="753"/>
      <c r="B534" s="104" t="s">
        <v>197</v>
      </c>
      <c r="C534" s="10">
        <f t="shared" si="38"/>
        <v>45.13</v>
      </c>
      <c r="D534" s="656"/>
      <c r="E534" s="11">
        <f>+E296</f>
        <v>32.159999999999997</v>
      </c>
      <c r="F534" s="11">
        <f>+F296</f>
        <v>1.45</v>
      </c>
      <c r="G534" s="11"/>
      <c r="H534" s="11">
        <f>+H296</f>
        <v>11.520000000000001</v>
      </c>
      <c r="I534" s="11"/>
      <c r="J534" s="102"/>
      <c r="K534" s="653"/>
      <c r="L534" s="21"/>
      <c r="M534" s="21"/>
    </row>
    <row r="535" spans="1:14" ht="18" customHeight="1" x14ac:dyDescent="0.35">
      <c r="A535" s="753"/>
      <c r="B535" s="104" t="s">
        <v>198</v>
      </c>
      <c r="C535" s="10">
        <f t="shared" si="38"/>
        <v>32.799999999999997</v>
      </c>
      <c r="D535" s="656"/>
      <c r="E535" s="11">
        <f>+E314</f>
        <v>15.01</v>
      </c>
      <c r="F535" s="11">
        <f>+F314</f>
        <v>3.29</v>
      </c>
      <c r="G535" s="11"/>
      <c r="H535" s="11">
        <f>+H314</f>
        <v>14.5</v>
      </c>
      <c r="I535" s="11"/>
      <c r="J535" s="102"/>
      <c r="K535" s="653"/>
      <c r="L535" s="21"/>
      <c r="M535" s="21"/>
    </row>
    <row r="536" spans="1:14" ht="18" customHeight="1" x14ac:dyDescent="0.35">
      <c r="A536" s="753"/>
      <c r="B536" s="104" t="s">
        <v>199</v>
      </c>
      <c r="C536" s="10">
        <f t="shared" si="38"/>
        <v>7.25</v>
      </c>
      <c r="D536" s="656"/>
      <c r="E536" s="11">
        <f>+E323</f>
        <v>3.3</v>
      </c>
      <c r="F536" s="11"/>
      <c r="G536" s="11"/>
      <c r="H536" s="11">
        <f>+H323</f>
        <v>3.9499999999999997</v>
      </c>
      <c r="I536" s="11"/>
      <c r="J536" s="102"/>
      <c r="K536" s="653"/>
      <c r="L536" s="21"/>
      <c r="M536" s="21"/>
    </row>
    <row r="537" spans="1:14" ht="18" customHeight="1" x14ac:dyDescent="0.35">
      <c r="A537" s="753"/>
      <c r="B537" s="104" t="s">
        <v>200</v>
      </c>
      <c r="C537" s="10">
        <f t="shared" si="38"/>
        <v>116.49000000000001</v>
      </c>
      <c r="D537" s="656"/>
      <c r="E537" s="11">
        <f>+E343</f>
        <v>56.6</v>
      </c>
      <c r="F537" s="11"/>
      <c r="G537" s="11"/>
      <c r="H537" s="11">
        <f>+H343</f>
        <v>59.890000000000008</v>
      </c>
      <c r="I537" s="11"/>
      <c r="J537" s="102"/>
      <c r="K537" s="653"/>
      <c r="L537" s="21"/>
      <c r="M537" s="21"/>
    </row>
    <row r="538" spans="1:14" ht="18" customHeight="1" x14ac:dyDescent="0.35">
      <c r="A538" s="753"/>
      <c r="B538" s="104" t="s">
        <v>201</v>
      </c>
      <c r="C538" s="10">
        <f t="shared" si="38"/>
        <v>46.961999999999996</v>
      </c>
      <c r="D538" s="656"/>
      <c r="E538" s="11">
        <f>+E358</f>
        <v>11.612</v>
      </c>
      <c r="F538" s="11"/>
      <c r="G538" s="11"/>
      <c r="H538" s="11">
        <f>+H358</f>
        <v>35.349999999999994</v>
      </c>
      <c r="I538" s="11"/>
      <c r="J538" s="102"/>
      <c r="K538" s="653"/>
      <c r="L538" s="21"/>
      <c r="M538" s="21"/>
    </row>
    <row r="539" spans="1:14" ht="18" customHeight="1" x14ac:dyDescent="0.35">
      <c r="A539" s="753"/>
      <c r="B539" s="104" t="s">
        <v>202</v>
      </c>
      <c r="C539" s="10">
        <f t="shared" si="38"/>
        <v>24.68</v>
      </c>
      <c r="D539" s="656"/>
      <c r="E539" s="11">
        <f>+E369</f>
        <v>17.463999999999999</v>
      </c>
      <c r="F539" s="11"/>
      <c r="G539" s="11"/>
      <c r="H539" s="11">
        <f>+H369</f>
        <v>7.2160000000000002</v>
      </c>
      <c r="I539" s="11"/>
      <c r="J539" s="102"/>
      <c r="K539" s="653"/>
      <c r="L539" s="21"/>
      <c r="M539" s="21"/>
    </row>
    <row r="540" spans="1:14" ht="18" customHeight="1" x14ac:dyDescent="0.35">
      <c r="A540" s="753"/>
      <c r="B540" s="104" t="s">
        <v>203</v>
      </c>
      <c r="C540" s="10">
        <f t="shared" si="38"/>
        <v>8.7409999999999997</v>
      </c>
      <c r="D540" s="656"/>
      <c r="E540" s="11">
        <f>+E377</f>
        <v>1.18</v>
      </c>
      <c r="F540" s="11"/>
      <c r="G540" s="11"/>
      <c r="H540" s="11">
        <f>+H377</f>
        <v>7.5609999999999999</v>
      </c>
      <c r="I540" s="11"/>
      <c r="J540" s="102"/>
      <c r="K540" s="653"/>
      <c r="L540" s="21"/>
      <c r="M540" s="21"/>
    </row>
    <row r="541" spans="1:14" s="1" customFormat="1" ht="18" customHeight="1" x14ac:dyDescent="0.35">
      <c r="A541" s="753"/>
      <c r="B541" s="81" t="s">
        <v>190</v>
      </c>
      <c r="C541" s="51">
        <f t="shared" si="38"/>
        <v>755.87499999999989</v>
      </c>
      <c r="D541" s="708"/>
      <c r="E541" s="82">
        <f>SUM(E528:E540)</f>
        <v>261.2</v>
      </c>
      <c r="F541" s="82">
        <f>SUM(F528:F540)</f>
        <v>4.74</v>
      </c>
      <c r="G541" s="82"/>
      <c r="H541" s="82">
        <f>SUM(H528:H540)</f>
        <v>489.93499999999989</v>
      </c>
      <c r="I541" s="82"/>
      <c r="J541" s="102"/>
      <c r="K541" s="653"/>
      <c r="L541" s="21"/>
      <c r="M541" s="21"/>
      <c r="N541" s="581"/>
    </row>
    <row r="542" spans="1:14" ht="18" customHeight="1" x14ac:dyDescent="0.35">
      <c r="A542" s="752"/>
      <c r="B542" s="105" t="s">
        <v>204</v>
      </c>
      <c r="C542" s="51">
        <f t="shared" si="38"/>
        <v>1226.365</v>
      </c>
      <c r="D542" s="708"/>
      <c r="E542" s="82">
        <f>+E541+E527</f>
        <v>412.161</v>
      </c>
      <c r="F542" s="82">
        <f>+F541+F527</f>
        <v>4.74</v>
      </c>
      <c r="G542" s="82">
        <f>+G541+G527</f>
        <v>0</v>
      </c>
      <c r="H542" s="82">
        <f>+H541+H527</f>
        <v>809.46399999999994</v>
      </c>
      <c r="I542" s="82"/>
      <c r="J542" s="102"/>
      <c r="K542" s="105"/>
      <c r="L542" s="21"/>
      <c r="M542" s="21"/>
    </row>
    <row r="544" spans="1:14" ht="31" x14ac:dyDescent="0.35">
      <c r="C544" s="96">
        <v>1149.9349999999999</v>
      </c>
      <c r="D544" s="746"/>
      <c r="K544" s="2" t="s">
        <v>647</v>
      </c>
    </row>
  </sheetData>
  <autoFilter ref="J1:J557" xr:uid="{00000000-0009-0000-0000-00000E000000}"/>
  <mergeCells count="176">
    <mergeCell ref="A379:B379"/>
    <mergeCell ref="A380:B380"/>
    <mergeCell ref="A371:L371"/>
    <mergeCell ref="A373:A374"/>
    <mergeCell ref="B373:B374"/>
    <mergeCell ref="C373:C374"/>
    <mergeCell ref="E373:I373"/>
    <mergeCell ref="J373:J374"/>
    <mergeCell ref="K373:K374"/>
    <mergeCell ref="L373:L374"/>
    <mergeCell ref="A360:L360"/>
    <mergeCell ref="A362:A363"/>
    <mergeCell ref="B362:B363"/>
    <mergeCell ref="C362:C363"/>
    <mergeCell ref="E362:I362"/>
    <mergeCell ref="J362:J363"/>
    <mergeCell ref="K362:K363"/>
    <mergeCell ref="L362:L363"/>
    <mergeCell ref="A345:L345"/>
    <mergeCell ref="A347:A348"/>
    <mergeCell ref="B347:B348"/>
    <mergeCell ref="C347:C348"/>
    <mergeCell ref="E347:I347"/>
    <mergeCell ref="J347:J348"/>
    <mergeCell ref="K347:K348"/>
    <mergeCell ref="L347:L348"/>
    <mergeCell ref="A327:A328"/>
    <mergeCell ref="B327:B328"/>
    <mergeCell ref="C327:C328"/>
    <mergeCell ref="E327:I327"/>
    <mergeCell ref="J327:J328"/>
    <mergeCell ref="K327:K328"/>
    <mergeCell ref="L327:L328"/>
    <mergeCell ref="A316:L316"/>
    <mergeCell ref="A318:A319"/>
    <mergeCell ref="B318:B319"/>
    <mergeCell ref="C318:C319"/>
    <mergeCell ref="E318:I318"/>
    <mergeCell ref="J318:J319"/>
    <mergeCell ref="K318:K319"/>
    <mergeCell ref="L318:L319"/>
    <mergeCell ref="A298:L298"/>
    <mergeCell ref="A300:A301"/>
    <mergeCell ref="B300:B301"/>
    <mergeCell ref="C300:C301"/>
    <mergeCell ref="E300:I300"/>
    <mergeCell ref="J300:J301"/>
    <mergeCell ref="K300:K301"/>
    <mergeCell ref="L300:L301"/>
    <mergeCell ref="A325:L325"/>
    <mergeCell ref="A285:A286"/>
    <mergeCell ref="B285:B286"/>
    <mergeCell ref="C285:C286"/>
    <mergeCell ref="E285:I285"/>
    <mergeCell ref="J285:J286"/>
    <mergeCell ref="K285:K286"/>
    <mergeCell ref="N256:N258"/>
    <mergeCell ref="A265:L265"/>
    <mergeCell ref="A267:A268"/>
    <mergeCell ref="B267:B268"/>
    <mergeCell ref="C267:C268"/>
    <mergeCell ref="E267:I267"/>
    <mergeCell ref="J267:J268"/>
    <mergeCell ref="K267:K268"/>
    <mergeCell ref="L267:L268"/>
    <mergeCell ref="L285:L286"/>
    <mergeCell ref="A244:K244"/>
    <mergeCell ref="A246:A247"/>
    <mergeCell ref="B246:B247"/>
    <mergeCell ref="C246:C247"/>
    <mergeCell ref="E246:I246"/>
    <mergeCell ref="J246:J247"/>
    <mergeCell ref="K246:K247"/>
    <mergeCell ref="L246:L247"/>
    <mergeCell ref="A283:K283"/>
    <mergeCell ref="A232:K232"/>
    <mergeCell ref="A234:A235"/>
    <mergeCell ref="B234:B235"/>
    <mergeCell ref="C234:C235"/>
    <mergeCell ref="E234:I234"/>
    <mergeCell ref="J234:J235"/>
    <mergeCell ref="K234:K235"/>
    <mergeCell ref="L204:L205"/>
    <mergeCell ref="A217:K217"/>
    <mergeCell ref="A219:A220"/>
    <mergeCell ref="B219:B220"/>
    <mergeCell ref="C219:C220"/>
    <mergeCell ref="E219:I219"/>
    <mergeCell ref="J219:J220"/>
    <mergeCell ref="K219:K220"/>
    <mergeCell ref="L219:L220"/>
    <mergeCell ref="L234:L235"/>
    <mergeCell ref="A202:K202"/>
    <mergeCell ref="A204:A205"/>
    <mergeCell ref="B204:B205"/>
    <mergeCell ref="C204:C205"/>
    <mergeCell ref="E204:I204"/>
    <mergeCell ref="J204:J205"/>
    <mergeCell ref="K204:K205"/>
    <mergeCell ref="A176:B176"/>
    <mergeCell ref="A178:L178"/>
    <mergeCell ref="A180:A181"/>
    <mergeCell ref="B180:B181"/>
    <mergeCell ref="C180:C181"/>
    <mergeCell ref="E180:I180"/>
    <mergeCell ref="J180:J181"/>
    <mergeCell ref="K180:K181"/>
    <mergeCell ref="L180:L181"/>
    <mergeCell ref="A168:L168"/>
    <mergeCell ref="A170:A171"/>
    <mergeCell ref="B170:B171"/>
    <mergeCell ref="C170:C171"/>
    <mergeCell ref="E170:I170"/>
    <mergeCell ref="J170:J171"/>
    <mergeCell ref="K170:K171"/>
    <mergeCell ref="L170:L171"/>
    <mergeCell ref="A147:L147"/>
    <mergeCell ref="A149:A150"/>
    <mergeCell ref="B149:B150"/>
    <mergeCell ref="C149:C150"/>
    <mergeCell ref="E149:I149"/>
    <mergeCell ref="J149:J150"/>
    <mergeCell ref="K149:K150"/>
    <mergeCell ref="L149:L150"/>
    <mergeCell ref="A108:L108"/>
    <mergeCell ref="A110:A111"/>
    <mergeCell ref="B110:B111"/>
    <mergeCell ref="C110:C111"/>
    <mergeCell ref="E110:I110"/>
    <mergeCell ref="J110:J111"/>
    <mergeCell ref="K110:K111"/>
    <mergeCell ref="L110:L111"/>
    <mergeCell ref="A91:L91"/>
    <mergeCell ref="A93:A94"/>
    <mergeCell ref="B93:B94"/>
    <mergeCell ref="C93:C94"/>
    <mergeCell ref="E93:I93"/>
    <mergeCell ref="J93:J94"/>
    <mergeCell ref="K93:K94"/>
    <mergeCell ref="L93:L94"/>
    <mergeCell ref="A86:A87"/>
    <mergeCell ref="B86:B87"/>
    <mergeCell ref="C86:C87"/>
    <mergeCell ref="E86:I86"/>
    <mergeCell ref="J86:J87"/>
    <mergeCell ref="K86:K87"/>
    <mergeCell ref="L86:L87"/>
    <mergeCell ref="A70:L70"/>
    <mergeCell ref="A72:A73"/>
    <mergeCell ref="B72:B73"/>
    <mergeCell ref="C72:C73"/>
    <mergeCell ref="E72:I72"/>
    <mergeCell ref="J72:J73"/>
    <mergeCell ref="K72:K73"/>
    <mergeCell ref="L72:L73"/>
    <mergeCell ref="A37:L37"/>
    <mergeCell ref="A39:A40"/>
    <mergeCell ref="B39:B40"/>
    <mergeCell ref="C39:C40"/>
    <mergeCell ref="E39:I39"/>
    <mergeCell ref="J39:J40"/>
    <mergeCell ref="K39:K40"/>
    <mergeCell ref="L39:L40"/>
    <mergeCell ref="A84:L84"/>
    <mergeCell ref="A1:K1"/>
    <mergeCell ref="A2:K2"/>
    <mergeCell ref="A3:K3"/>
    <mergeCell ref="A6:L6"/>
    <mergeCell ref="A8:A9"/>
    <mergeCell ref="B8:B9"/>
    <mergeCell ref="C8:C9"/>
    <mergeCell ref="D8:D9"/>
    <mergeCell ref="E8:I8"/>
    <mergeCell ref="J8:J9"/>
    <mergeCell ref="K8:K9"/>
    <mergeCell ref="L8:L9"/>
  </mergeCells>
  <pageMargins left="0.7" right="0.7" top="0.75" bottom="0.75" header="0.3" footer="0.3"/>
  <pageSetup paperSize="9" scale="72" orientation="landscape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9">
    <tabColor theme="5" tint="-0.499984740745262"/>
  </sheetPr>
  <dimension ref="A1:S445"/>
  <sheetViews>
    <sheetView view="pageBreakPreview" zoomScale="80" zoomScaleNormal="100" zoomScaleSheetLayoutView="80" workbookViewId="0">
      <pane ySplit="3" topLeftCell="A4" activePane="bottomLeft" state="frozen"/>
      <selection activeCell="L336" activeCellId="1" sqref="F308 L336"/>
      <selection pane="bottomLeft" activeCell="L336" activeCellId="1" sqref="F308 L336"/>
    </sheetView>
  </sheetViews>
  <sheetFormatPr defaultRowHeight="18" x14ac:dyDescent="0.35"/>
  <cols>
    <col min="1" max="1" width="22.81640625" style="117" customWidth="1"/>
    <col min="2" max="2" width="27.453125" style="118" customWidth="1"/>
    <col min="3" max="3" width="11.26953125" style="116" customWidth="1"/>
    <col min="4" max="4" width="10" style="776" hidden="1" customWidth="1"/>
    <col min="5" max="5" width="10.54296875" style="116" customWidth="1"/>
    <col min="6" max="6" width="9.7265625" style="116" customWidth="1"/>
    <col min="7" max="7" width="9.54296875" style="116" customWidth="1"/>
    <col min="8" max="9" width="12.54296875" style="116" customWidth="1"/>
    <col min="10" max="10" width="13.7265625" style="116" customWidth="1"/>
    <col min="11" max="11" width="24.1796875" style="118" customWidth="1"/>
    <col min="12" max="13" width="27.1796875" style="118" customWidth="1"/>
    <col min="14" max="14" width="52.26953125" style="119" customWidth="1"/>
    <col min="15" max="15" width="15.81640625" style="116" customWidth="1"/>
    <col min="16" max="16" width="9.26953125" style="116" bestFit="1" customWidth="1"/>
    <col min="17" max="17" width="9.54296875" style="116" bestFit="1" customWidth="1"/>
    <col min="18" max="18" width="9.1796875" style="116"/>
    <col min="19" max="19" width="9.54296875" style="116" bestFit="1" customWidth="1"/>
    <col min="20" max="257" width="9.1796875" style="116"/>
    <col min="258" max="258" width="13.26953125" style="116" customWidth="1"/>
    <col min="259" max="259" width="27.453125" style="116" customWidth="1"/>
    <col min="260" max="261" width="9.54296875" style="116" customWidth="1"/>
    <col min="262" max="262" width="9.7265625" style="116" customWidth="1"/>
    <col min="263" max="263" width="9.54296875" style="116" customWidth="1"/>
    <col min="264" max="264" width="12.54296875" style="116" customWidth="1"/>
    <col min="265" max="265" width="10" style="116" customWidth="1"/>
    <col min="266" max="266" width="9.7265625" style="116" customWidth="1"/>
    <col min="267" max="269" width="0" style="116" hidden="1" customWidth="1"/>
    <col min="270" max="513" width="9.1796875" style="116"/>
    <col min="514" max="514" width="13.26953125" style="116" customWidth="1"/>
    <col min="515" max="515" width="27.453125" style="116" customWidth="1"/>
    <col min="516" max="517" width="9.54296875" style="116" customWidth="1"/>
    <col min="518" max="518" width="9.7265625" style="116" customWidth="1"/>
    <col min="519" max="519" width="9.54296875" style="116" customWidth="1"/>
    <col min="520" max="520" width="12.54296875" style="116" customWidth="1"/>
    <col min="521" max="521" width="10" style="116" customWidth="1"/>
    <col min="522" max="522" width="9.7265625" style="116" customWidth="1"/>
    <col min="523" max="525" width="0" style="116" hidden="1" customWidth="1"/>
    <col min="526" max="769" width="9.1796875" style="116"/>
    <col min="770" max="770" width="13.26953125" style="116" customWidth="1"/>
    <col min="771" max="771" width="27.453125" style="116" customWidth="1"/>
    <col min="772" max="773" width="9.54296875" style="116" customWidth="1"/>
    <col min="774" max="774" width="9.7265625" style="116" customWidth="1"/>
    <col min="775" max="775" width="9.54296875" style="116" customWidth="1"/>
    <col min="776" max="776" width="12.54296875" style="116" customWidth="1"/>
    <col min="777" max="777" width="10" style="116" customWidth="1"/>
    <col min="778" max="778" width="9.7265625" style="116" customWidth="1"/>
    <col min="779" max="781" width="0" style="116" hidden="1" customWidth="1"/>
    <col min="782" max="1025" width="9.1796875" style="116"/>
    <col min="1026" max="1026" width="13.26953125" style="116" customWidth="1"/>
    <col min="1027" max="1027" width="27.453125" style="116" customWidth="1"/>
    <col min="1028" max="1029" width="9.54296875" style="116" customWidth="1"/>
    <col min="1030" max="1030" width="9.7265625" style="116" customWidth="1"/>
    <col min="1031" max="1031" width="9.54296875" style="116" customWidth="1"/>
    <col min="1032" max="1032" width="12.54296875" style="116" customWidth="1"/>
    <col min="1033" max="1033" width="10" style="116" customWidth="1"/>
    <col min="1034" max="1034" width="9.7265625" style="116" customWidth="1"/>
    <col min="1035" max="1037" width="0" style="116" hidden="1" customWidth="1"/>
    <col min="1038" max="1281" width="9.1796875" style="116"/>
    <col min="1282" max="1282" width="13.26953125" style="116" customWidth="1"/>
    <col min="1283" max="1283" width="27.453125" style="116" customWidth="1"/>
    <col min="1284" max="1285" width="9.54296875" style="116" customWidth="1"/>
    <col min="1286" max="1286" width="9.7265625" style="116" customWidth="1"/>
    <col min="1287" max="1287" width="9.54296875" style="116" customWidth="1"/>
    <col min="1288" max="1288" width="12.54296875" style="116" customWidth="1"/>
    <col min="1289" max="1289" width="10" style="116" customWidth="1"/>
    <col min="1290" max="1290" width="9.7265625" style="116" customWidth="1"/>
    <col min="1291" max="1293" width="0" style="116" hidden="1" customWidth="1"/>
    <col min="1294" max="1537" width="9.1796875" style="116"/>
    <col min="1538" max="1538" width="13.26953125" style="116" customWidth="1"/>
    <col min="1539" max="1539" width="27.453125" style="116" customWidth="1"/>
    <col min="1540" max="1541" width="9.54296875" style="116" customWidth="1"/>
    <col min="1542" max="1542" width="9.7265625" style="116" customWidth="1"/>
    <col min="1543" max="1543" width="9.54296875" style="116" customWidth="1"/>
    <col min="1544" max="1544" width="12.54296875" style="116" customWidth="1"/>
    <col min="1545" max="1545" width="10" style="116" customWidth="1"/>
    <col min="1546" max="1546" width="9.7265625" style="116" customWidth="1"/>
    <col min="1547" max="1549" width="0" style="116" hidden="1" customWidth="1"/>
    <col min="1550" max="1793" width="9.1796875" style="116"/>
    <col min="1794" max="1794" width="13.26953125" style="116" customWidth="1"/>
    <col min="1795" max="1795" width="27.453125" style="116" customWidth="1"/>
    <col min="1796" max="1797" width="9.54296875" style="116" customWidth="1"/>
    <col min="1798" max="1798" width="9.7265625" style="116" customWidth="1"/>
    <col min="1799" max="1799" width="9.54296875" style="116" customWidth="1"/>
    <col min="1800" max="1800" width="12.54296875" style="116" customWidth="1"/>
    <col min="1801" max="1801" width="10" style="116" customWidth="1"/>
    <col min="1802" max="1802" width="9.7265625" style="116" customWidth="1"/>
    <col min="1803" max="1805" width="0" style="116" hidden="1" customWidth="1"/>
    <col min="1806" max="2049" width="9.1796875" style="116"/>
    <col min="2050" max="2050" width="13.26953125" style="116" customWidth="1"/>
    <col min="2051" max="2051" width="27.453125" style="116" customWidth="1"/>
    <col min="2052" max="2053" width="9.54296875" style="116" customWidth="1"/>
    <col min="2054" max="2054" width="9.7265625" style="116" customWidth="1"/>
    <col min="2055" max="2055" width="9.54296875" style="116" customWidth="1"/>
    <col min="2056" max="2056" width="12.54296875" style="116" customWidth="1"/>
    <col min="2057" max="2057" width="10" style="116" customWidth="1"/>
    <col min="2058" max="2058" width="9.7265625" style="116" customWidth="1"/>
    <col min="2059" max="2061" width="0" style="116" hidden="1" customWidth="1"/>
    <col min="2062" max="2305" width="9.1796875" style="116"/>
    <col min="2306" max="2306" width="13.26953125" style="116" customWidth="1"/>
    <col min="2307" max="2307" width="27.453125" style="116" customWidth="1"/>
    <col min="2308" max="2309" width="9.54296875" style="116" customWidth="1"/>
    <col min="2310" max="2310" width="9.7265625" style="116" customWidth="1"/>
    <col min="2311" max="2311" width="9.54296875" style="116" customWidth="1"/>
    <col min="2312" max="2312" width="12.54296875" style="116" customWidth="1"/>
    <col min="2313" max="2313" width="10" style="116" customWidth="1"/>
    <col min="2314" max="2314" width="9.7265625" style="116" customWidth="1"/>
    <col min="2315" max="2317" width="0" style="116" hidden="1" customWidth="1"/>
    <col min="2318" max="2561" width="9.1796875" style="116"/>
    <col min="2562" max="2562" width="13.26953125" style="116" customWidth="1"/>
    <col min="2563" max="2563" width="27.453125" style="116" customWidth="1"/>
    <col min="2564" max="2565" width="9.54296875" style="116" customWidth="1"/>
    <col min="2566" max="2566" width="9.7265625" style="116" customWidth="1"/>
    <col min="2567" max="2567" width="9.54296875" style="116" customWidth="1"/>
    <col min="2568" max="2568" width="12.54296875" style="116" customWidth="1"/>
    <col min="2569" max="2569" width="10" style="116" customWidth="1"/>
    <col min="2570" max="2570" width="9.7265625" style="116" customWidth="1"/>
    <col min="2571" max="2573" width="0" style="116" hidden="1" customWidth="1"/>
    <col min="2574" max="2817" width="9.1796875" style="116"/>
    <col min="2818" max="2818" width="13.26953125" style="116" customWidth="1"/>
    <col min="2819" max="2819" width="27.453125" style="116" customWidth="1"/>
    <col min="2820" max="2821" width="9.54296875" style="116" customWidth="1"/>
    <col min="2822" max="2822" width="9.7265625" style="116" customWidth="1"/>
    <col min="2823" max="2823" width="9.54296875" style="116" customWidth="1"/>
    <col min="2824" max="2824" width="12.54296875" style="116" customWidth="1"/>
    <col min="2825" max="2825" width="10" style="116" customWidth="1"/>
    <col min="2826" max="2826" width="9.7265625" style="116" customWidth="1"/>
    <col min="2827" max="2829" width="0" style="116" hidden="1" customWidth="1"/>
    <col min="2830" max="3073" width="9.1796875" style="116"/>
    <col min="3074" max="3074" width="13.26953125" style="116" customWidth="1"/>
    <col min="3075" max="3075" width="27.453125" style="116" customWidth="1"/>
    <col min="3076" max="3077" width="9.54296875" style="116" customWidth="1"/>
    <col min="3078" max="3078" width="9.7265625" style="116" customWidth="1"/>
    <col min="3079" max="3079" width="9.54296875" style="116" customWidth="1"/>
    <col min="3080" max="3080" width="12.54296875" style="116" customWidth="1"/>
    <col min="3081" max="3081" width="10" style="116" customWidth="1"/>
    <col min="3082" max="3082" width="9.7265625" style="116" customWidth="1"/>
    <col min="3083" max="3085" width="0" style="116" hidden="1" customWidth="1"/>
    <col min="3086" max="3329" width="9.1796875" style="116"/>
    <col min="3330" max="3330" width="13.26953125" style="116" customWidth="1"/>
    <col min="3331" max="3331" width="27.453125" style="116" customWidth="1"/>
    <col min="3332" max="3333" width="9.54296875" style="116" customWidth="1"/>
    <col min="3334" max="3334" width="9.7265625" style="116" customWidth="1"/>
    <col min="3335" max="3335" width="9.54296875" style="116" customWidth="1"/>
    <col min="3336" max="3336" width="12.54296875" style="116" customWidth="1"/>
    <col min="3337" max="3337" width="10" style="116" customWidth="1"/>
    <col min="3338" max="3338" width="9.7265625" style="116" customWidth="1"/>
    <col min="3339" max="3341" width="0" style="116" hidden="1" customWidth="1"/>
    <col min="3342" max="3585" width="9.1796875" style="116"/>
    <col min="3586" max="3586" width="13.26953125" style="116" customWidth="1"/>
    <col min="3587" max="3587" width="27.453125" style="116" customWidth="1"/>
    <col min="3588" max="3589" width="9.54296875" style="116" customWidth="1"/>
    <col min="3590" max="3590" width="9.7265625" style="116" customWidth="1"/>
    <col min="3591" max="3591" width="9.54296875" style="116" customWidth="1"/>
    <col min="3592" max="3592" width="12.54296875" style="116" customWidth="1"/>
    <col min="3593" max="3593" width="10" style="116" customWidth="1"/>
    <col min="3594" max="3594" width="9.7265625" style="116" customWidth="1"/>
    <col min="3595" max="3597" width="0" style="116" hidden="1" customWidth="1"/>
    <col min="3598" max="3841" width="9.1796875" style="116"/>
    <col min="3842" max="3842" width="13.26953125" style="116" customWidth="1"/>
    <col min="3843" max="3843" width="27.453125" style="116" customWidth="1"/>
    <col min="3844" max="3845" width="9.54296875" style="116" customWidth="1"/>
    <col min="3846" max="3846" width="9.7265625" style="116" customWidth="1"/>
    <col min="3847" max="3847" width="9.54296875" style="116" customWidth="1"/>
    <col min="3848" max="3848" width="12.54296875" style="116" customWidth="1"/>
    <col min="3849" max="3849" width="10" style="116" customWidth="1"/>
    <col min="3850" max="3850" width="9.7265625" style="116" customWidth="1"/>
    <col min="3851" max="3853" width="0" style="116" hidden="1" customWidth="1"/>
    <col min="3854" max="4097" width="9.1796875" style="116"/>
    <col min="4098" max="4098" width="13.26953125" style="116" customWidth="1"/>
    <col min="4099" max="4099" width="27.453125" style="116" customWidth="1"/>
    <col min="4100" max="4101" width="9.54296875" style="116" customWidth="1"/>
    <col min="4102" max="4102" width="9.7265625" style="116" customWidth="1"/>
    <col min="4103" max="4103" width="9.54296875" style="116" customWidth="1"/>
    <col min="4104" max="4104" width="12.54296875" style="116" customWidth="1"/>
    <col min="4105" max="4105" width="10" style="116" customWidth="1"/>
    <col min="4106" max="4106" width="9.7265625" style="116" customWidth="1"/>
    <col min="4107" max="4109" width="0" style="116" hidden="1" customWidth="1"/>
    <col min="4110" max="4353" width="9.1796875" style="116"/>
    <col min="4354" max="4354" width="13.26953125" style="116" customWidth="1"/>
    <col min="4355" max="4355" width="27.453125" style="116" customWidth="1"/>
    <col min="4356" max="4357" width="9.54296875" style="116" customWidth="1"/>
    <col min="4358" max="4358" width="9.7265625" style="116" customWidth="1"/>
    <col min="4359" max="4359" width="9.54296875" style="116" customWidth="1"/>
    <col min="4360" max="4360" width="12.54296875" style="116" customWidth="1"/>
    <col min="4361" max="4361" width="10" style="116" customWidth="1"/>
    <col min="4362" max="4362" width="9.7265625" style="116" customWidth="1"/>
    <col min="4363" max="4365" width="0" style="116" hidden="1" customWidth="1"/>
    <col min="4366" max="4609" width="9.1796875" style="116"/>
    <col min="4610" max="4610" width="13.26953125" style="116" customWidth="1"/>
    <col min="4611" max="4611" width="27.453125" style="116" customWidth="1"/>
    <col min="4612" max="4613" width="9.54296875" style="116" customWidth="1"/>
    <col min="4614" max="4614" width="9.7265625" style="116" customWidth="1"/>
    <col min="4615" max="4615" width="9.54296875" style="116" customWidth="1"/>
    <col min="4616" max="4616" width="12.54296875" style="116" customWidth="1"/>
    <col min="4617" max="4617" width="10" style="116" customWidth="1"/>
    <col min="4618" max="4618" width="9.7265625" style="116" customWidth="1"/>
    <col min="4619" max="4621" width="0" style="116" hidden="1" customWidth="1"/>
    <col min="4622" max="4865" width="9.1796875" style="116"/>
    <col min="4866" max="4866" width="13.26953125" style="116" customWidth="1"/>
    <col min="4867" max="4867" width="27.453125" style="116" customWidth="1"/>
    <col min="4868" max="4869" width="9.54296875" style="116" customWidth="1"/>
    <col min="4870" max="4870" width="9.7265625" style="116" customWidth="1"/>
    <col min="4871" max="4871" width="9.54296875" style="116" customWidth="1"/>
    <col min="4872" max="4872" width="12.54296875" style="116" customWidth="1"/>
    <col min="4873" max="4873" width="10" style="116" customWidth="1"/>
    <col min="4874" max="4874" width="9.7265625" style="116" customWidth="1"/>
    <col min="4875" max="4877" width="0" style="116" hidden="1" customWidth="1"/>
    <col min="4878" max="5121" width="9.1796875" style="116"/>
    <col min="5122" max="5122" width="13.26953125" style="116" customWidth="1"/>
    <col min="5123" max="5123" width="27.453125" style="116" customWidth="1"/>
    <col min="5124" max="5125" width="9.54296875" style="116" customWidth="1"/>
    <col min="5126" max="5126" width="9.7265625" style="116" customWidth="1"/>
    <col min="5127" max="5127" width="9.54296875" style="116" customWidth="1"/>
    <col min="5128" max="5128" width="12.54296875" style="116" customWidth="1"/>
    <col min="5129" max="5129" width="10" style="116" customWidth="1"/>
    <col min="5130" max="5130" width="9.7265625" style="116" customWidth="1"/>
    <col min="5131" max="5133" width="0" style="116" hidden="1" customWidth="1"/>
    <col min="5134" max="5377" width="9.1796875" style="116"/>
    <col min="5378" max="5378" width="13.26953125" style="116" customWidth="1"/>
    <col min="5379" max="5379" width="27.453125" style="116" customWidth="1"/>
    <col min="5380" max="5381" width="9.54296875" style="116" customWidth="1"/>
    <col min="5382" max="5382" width="9.7265625" style="116" customWidth="1"/>
    <col min="5383" max="5383" width="9.54296875" style="116" customWidth="1"/>
    <col min="5384" max="5384" width="12.54296875" style="116" customWidth="1"/>
    <col min="5385" max="5385" width="10" style="116" customWidth="1"/>
    <col min="5386" max="5386" width="9.7265625" style="116" customWidth="1"/>
    <col min="5387" max="5389" width="0" style="116" hidden="1" customWidth="1"/>
    <col min="5390" max="5633" width="9.1796875" style="116"/>
    <col min="5634" max="5634" width="13.26953125" style="116" customWidth="1"/>
    <col min="5635" max="5635" width="27.453125" style="116" customWidth="1"/>
    <col min="5636" max="5637" width="9.54296875" style="116" customWidth="1"/>
    <col min="5638" max="5638" width="9.7265625" style="116" customWidth="1"/>
    <col min="5639" max="5639" width="9.54296875" style="116" customWidth="1"/>
    <col min="5640" max="5640" width="12.54296875" style="116" customWidth="1"/>
    <col min="5641" max="5641" width="10" style="116" customWidth="1"/>
    <col min="5642" max="5642" width="9.7265625" style="116" customWidth="1"/>
    <col min="5643" max="5645" width="0" style="116" hidden="1" customWidth="1"/>
    <col min="5646" max="5889" width="9.1796875" style="116"/>
    <col min="5890" max="5890" width="13.26953125" style="116" customWidth="1"/>
    <col min="5891" max="5891" width="27.453125" style="116" customWidth="1"/>
    <col min="5892" max="5893" width="9.54296875" style="116" customWidth="1"/>
    <col min="5894" max="5894" width="9.7265625" style="116" customWidth="1"/>
    <col min="5895" max="5895" width="9.54296875" style="116" customWidth="1"/>
    <col min="5896" max="5896" width="12.54296875" style="116" customWidth="1"/>
    <col min="5897" max="5897" width="10" style="116" customWidth="1"/>
    <col min="5898" max="5898" width="9.7265625" style="116" customWidth="1"/>
    <col min="5899" max="5901" width="0" style="116" hidden="1" customWidth="1"/>
    <col min="5902" max="6145" width="9.1796875" style="116"/>
    <col min="6146" max="6146" width="13.26953125" style="116" customWidth="1"/>
    <col min="6147" max="6147" width="27.453125" style="116" customWidth="1"/>
    <col min="6148" max="6149" width="9.54296875" style="116" customWidth="1"/>
    <col min="6150" max="6150" width="9.7265625" style="116" customWidth="1"/>
    <col min="6151" max="6151" width="9.54296875" style="116" customWidth="1"/>
    <col min="6152" max="6152" width="12.54296875" style="116" customWidth="1"/>
    <col min="6153" max="6153" width="10" style="116" customWidth="1"/>
    <col min="6154" max="6154" width="9.7265625" style="116" customWidth="1"/>
    <col min="6155" max="6157" width="0" style="116" hidden="1" customWidth="1"/>
    <col min="6158" max="6401" width="9.1796875" style="116"/>
    <col min="6402" max="6402" width="13.26953125" style="116" customWidth="1"/>
    <col min="6403" max="6403" width="27.453125" style="116" customWidth="1"/>
    <col min="6404" max="6405" width="9.54296875" style="116" customWidth="1"/>
    <col min="6406" max="6406" width="9.7265625" style="116" customWidth="1"/>
    <col min="6407" max="6407" width="9.54296875" style="116" customWidth="1"/>
    <col min="6408" max="6408" width="12.54296875" style="116" customWidth="1"/>
    <col min="6409" max="6409" width="10" style="116" customWidth="1"/>
    <col min="6410" max="6410" width="9.7265625" style="116" customWidth="1"/>
    <col min="6411" max="6413" width="0" style="116" hidden="1" customWidth="1"/>
    <col min="6414" max="6657" width="9.1796875" style="116"/>
    <col min="6658" max="6658" width="13.26953125" style="116" customWidth="1"/>
    <col min="6659" max="6659" width="27.453125" style="116" customWidth="1"/>
    <col min="6660" max="6661" width="9.54296875" style="116" customWidth="1"/>
    <col min="6662" max="6662" width="9.7265625" style="116" customWidth="1"/>
    <col min="6663" max="6663" width="9.54296875" style="116" customWidth="1"/>
    <col min="6664" max="6664" width="12.54296875" style="116" customWidth="1"/>
    <col min="6665" max="6665" width="10" style="116" customWidth="1"/>
    <col min="6666" max="6666" width="9.7265625" style="116" customWidth="1"/>
    <col min="6667" max="6669" width="0" style="116" hidden="1" customWidth="1"/>
    <col min="6670" max="6913" width="9.1796875" style="116"/>
    <col min="6914" max="6914" width="13.26953125" style="116" customWidth="1"/>
    <col min="6915" max="6915" width="27.453125" style="116" customWidth="1"/>
    <col min="6916" max="6917" width="9.54296875" style="116" customWidth="1"/>
    <col min="6918" max="6918" width="9.7265625" style="116" customWidth="1"/>
    <col min="6919" max="6919" width="9.54296875" style="116" customWidth="1"/>
    <col min="6920" max="6920" width="12.54296875" style="116" customWidth="1"/>
    <col min="6921" max="6921" width="10" style="116" customWidth="1"/>
    <col min="6922" max="6922" width="9.7265625" style="116" customWidth="1"/>
    <col min="6923" max="6925" width="0" style="116" hidden="1" customWidth="1"/>
    <col min="6926" max="7169" width="9.1796875" style="116"/>
    <col min="7170" max="7170" width="13.26953125" style="116" customWidth="1"/>
    <col min="7171" max="7171" width="27.453125" style="116" customWidth="1"/>
    <col min="7172" max="7173" width="9.54296875" style="116" customWidth="1"/>
    <col min="7174" max="7174" width="9.7265625" style="116" customWidth="1"/>
    <col min="7175" max="7175" width="9.54296875" style="116" customWidth="1"/>
    <col min="7176" max="7176" width="12.54296875" style="116" customWidth="1"/>
    <col min="7177" max="7177" width="10" style="116" customWidth="1"/>
    <col min="7178" max="7178" width="9.7265625" style="116" customWidth="1"/>
    <col min="7179" max="7181" width="0" style="116" hidden="1" customWidth="1"/>
    <col min="7182" max="7425" width="9.1796875" style="116"/>
    <col min="7426" max="7426" width="13.26953125" style="116" customWidth="1"/>
    <col min="7427" max="7427" width="27.453125" style="116" customWidth="1"/>
    <col min="7428" max="7429" width="9.54296875" style="116" customWidth="1"/>
    <col min="7430" max="7430" width="9.7265625" style="116" customWidth="1"/>
    <col min="7431" max="7431" width="9.54296875" style="116" customWidth="1"/>
    <col min="7432" max="7432" width="12.54296875" style="116" customWidth="1"/>
    <col min="7433" max="7433" width="10" style="116" customWidth="1"/>
    <col min="7434" max="7434" width="9.7265625" style="116" customWidth="1"/>
    <col min="7435" max="7437" width="0" style="116" hidden="1" customWidth="1"/>
    <col min="7438" max="7681" width="9.1796875" style="116"/>
    <col min="7682" max="7682" width="13.26953125" style="116" customWidth="1"/>
    <col min="7683" max="7683" width="27.453125" style="116" customWidth="1"/>
    <col min="7684" max="7685" width="9.54296875" style="116" customWidth="1"/>
    <col min="7686" max="7686" width="9.7265625" style="116" customWidth="1"/>
    <col min="7687" max="7687" width="9.54296875" style="116" customWidth="1"/>
    <col min="7688" max="7688" width="12.54296875" style="116" customWidth="1"/>
    <col min="7689" max="7689" width="10" style="116" customWidth="1"/>
    <col min="7690" max="7690" width="9.7265625" style="116" customWidth="1"/>
    <col min="7691" max="7693" width="0" style="116" hidden="1" customWidth="1"/>
    <col min="7694" max="7937" width="9.1796875" style="116"/>
    <col min="7938" max="7938" width="13.26953125" style="116" customWidth="1"/>
    <col min="7939" max="7939" width="27.453125" style="116" customWidth="1"/>
    <col min="7940" max="7941" width="9.54296875" style="116" customWidth="1"/>
    <col min="7942" max="7942" width="9.7265625" style="116" customWidth="1"/>
    <col min="7943" max="7943" width="9.54296875" style="116" customWidth="1"/>
    <col min="7944" max="7944" width="12.54296875" style="116" customWidth="1"/>
    <col min="7945" max="7945" width="10" style="116" customWidth="1"/>
    <col min="7946" max="7946" width="9.7265625" style="116" customWidth="1"/>
    <col min="7947" max="7949" width="0" style="116" hidden="1" customWidth="1"/>
    <col min="7950" max="8193" width="9.1796875" style="116"/>
    <col min="8194" max="8194" width="13.26953125" style="116" customWidth="1"/>
    <col min="8195" max="8195" width="27.453125" style="116" customWidth="1"/>
    <col min="8196" max="8197" width="9.54296875" style="116" customWidth="1"/>
    <col min="8198" max="8198" width="9.7265625" style="116" customWidth="1"/>
    <col min="8199" max="8199" width="9.54296875" style="116" customWidth="1"/>
    <col min="8200" max="8200" width="12.54296875" style="116" customWidth="1"/>
    <col min="8201" max="8201" width="10" style="116" customWidth="1"/>
    <col min="8202" max="8202" width="9.7265625" style="116" customWidth="1"/>
    <col min="8203" max="8205" width="0" style="116" hidden="1" customWidth="1"/>
    <col min="8206" max="8449" width="9.1796875" style="116"/>
    <col min="8450" max="8450" width="13.26953125" style="116" customWidth="1"/>
    <col min="8451" max="8451" width="27.453125" style="116" customWidth="1"/>
    <col min="8452" max="8453" width="9.54296875" style="116" customWidth="1"/>
    <col min="8454" max="8454" width="9.7265625" style="116" customWidth="1"/>
    <col min="8455" max="8455" width="9.54296875" style="116" customWidth="1"/>
    <col min="8456" max="8456" width="12.54296875" style="116" customWidth="1"/>
    <col min="8457" max="8457" width="10" style="116" customWidth="1"/>
    <col min="8458" max="8458" width="9.7265625" style="116" customWidth="1"/>
    <col min="8459" max="8461" width="0" style="116" hidden="1" customWidth="1"/>
    <col min="8462" max="8705" width="9.1796875" style="116"/>
    <col min="8706" max="8706" width="13.26953125" style="116" customWidth="1"/>
    <col min="8707" max="8707" width="27.453125" style="116" customWidth="1"/>
    <col min="8708" max="8709" width="9.54296875" style="116" customWidth="1"/>
    <col min="8710" max="8710" width="9.7265625" style="116" customWidth="1"/>
    <col min="8711" max="8711" width="9.54296875" style="116" customWidth="1"/>
    <col min="8712" max="8712" width="12.54296875" style="116" customWidth="1"/>
    <col min="8713" max="8713" width="10" style="116" customWidth="1"/>
    <col min="8714" max="8714" width="9.7265625" style="116" customWidth="1"/>
    <col min="8715" max="8717" width="0" style="116" hidden="1" customWidth="1"/>
    <col min="8718" max="8961" width="9.1796875" style="116"/>
    <col min="8962" max="8962" width="13.26953125" style="116" customWidth="1"/>
    <col min="8963" max="8963" width="27.453125" style="116" customWidth="1"/>
    <col min="8964" max="8965" width="9.54296875" style="116" customWidth="1"/>
    <col min="8966" max="8966" width="9.7265625" style="116" customWidth="1"/>
    <col min="8967" max="8967" width="9.54296875" style="116" customWidth="1"/>
    <col min="8968" max="8968" width="12.54296875" style="116" customWidth="1"/>
    <col min="8969" max="8969" width="10" style="116" customWidth="1"/>
    <col min="8970" max="8970" width="9.7265625" style="116" customWidth="1"/>
    <col min="8971" max="8973" width="0" style="116" hidden="1" customWidth="1"/>
    <col min="8974" max="9217" width="9.1796875" style="116"/>
    <col min="9218" max="9218" width="13.26953125" style="116" customWidth="1"/>
    <col min="9219" max="9219" width="27.453125" style="116" customWidth="1"/>
    <col min="9220" max="9221" width="9.54296875" style="116" customWidth="1"/>
    <col min="9222" max="9222" width="9.7265625" style="116" customWidth="1"/>
    <col min="9223" max="9223" width="9.54296875" style="116" customWidth="1"/>
    <col min="9224" max="9224" width="12.54296875" style="116" customWidth="1"/>
    <col min="9225" max="9225" width="10" style="116" customWidth="1"/>
    <col min="9226" max="9226" width="9.7265625" style="116" customWidth="1"/>
    <col min="9227" max="9229" width="0" style="116" hidden="1" customWidth="1"/>
    <col min="9230" max="9473" width="9.1796875" style="116"/>
    <col min="9474" max="9474" width="13.26953125" style="116" customWidth="1"/>
    <col min="9475" max="9475" width="27.453125" style="116" customWidth="1"/>
    <col min="9476" max="9477" width="9.54296875" style="116" customWidth="1"/>
    <col min="9478" max="9478" width="9.7265625" style="116" customWidth="1"/>
    <col min="9479" max="9479" width="9.54296875" style="116" customWidth="1"/>
    <col min="9480" max="9480" width="12.54296875" style="116" customWidth="1"/>
    <col min="9481" max="9481" width="10" style="116" customWidth="1"/>
    <col min="9482" max="9482" width="9.7265625" style="116" customWidth="1"/>
    <col min="9483" max="9485" width="0" style="116" hidden="1" customWidth="1"/>
    <col min="9486" max="9729" width="9.1796875" style="116"/>
    <col min="9730" max="9730" width="13.26953125" style="116" customWidth="1"/>
    <col min="9731" max="9731" width="27.453125" style="116" customWidth="1"/>
    <col min="9732" max="9733" width="9.54296875" style="116" customWidth="1"/>
    <col min="9734" max="9734" width="9.7265625" style="116" customWidth="1"/>
    <col min="9735" max="9735" width="9.54296875" style="116" customWidth="1"/>
    <col min="9736" max="9736" width="12.54296875" style="116" customWidth="1"/>
    <col min="9737" max="9737" width="10" style="116" customWidth="1"/>
    <col min="9738" max="9738" width="9.7265625" style="116" customWidth="1"/>
    <col min="9739" max="9741" width="0" style="116" hidden="1" customWidth="1"/>
    <col min="9742" max="9985" width="9.1796875" style="116"/>
    <col min="9986" max="9986" width="13.26953125" style="116" customWidth="1"/>
    <col min="9987" max="9987" width="27.453125" style="116" customWidth="1"/>
    <col min="9988" max="9989" width="9.54296875" style="116" customWidth="1"/>
    <col min="9990" max="9990" width="9.7265625" style="116" customWidth="1"/>
    <col min="9991" max="9991" width="9.54296875" style="116" customWidth="1"/>
    <col min="9992" max="9992" width="12.54296875" style="116" customWidth="1"/>
    <col min="9993" max="9993" width="10" style="116" customWidth="1"/>
    <col min="9994" max="9994" width="9.7265625" style="116" customWidth="1"/>
    <col min="9995" max="9997" width="0" style="116" hidden="1" customWidth="1"/>
    <col min="9998" max="10241" width="9.1796875" style="116"/>
    <col min="10242" max="10242" width="13.26953125" style="116" customWidth="1"/>
    <col min="10243" max="10243" width="27.453125" style="116" customWidth="1"/>
    <col min="10244" max="10245" width="9.54296875" style="116" customWidth="1"/>
    <col min="10246" max="10246" width="9.7265625" style="116" customWidth="1"/>
    <col min="10247" max="10247" width="9.54296875" style="116" customWidth="1"/>
    <col min="10248" max="10248" width="12.54296875" style="116" customWidth="1"/>
    <col min="10249" max="10249" width="10" style="116" customWidth="1"/>
    <col min="10250" max="10250" width="9.7265625" style="116" customWidth="1"/>
    <col min="10251" max="10253" width="0" style="116" hidden="1" customWidth="1"/>
    <col min="10254" max="10497" width="9.1796875" style="116"/>
    <col min="10498" max="10498" width="13.26953125" style="116" customWidth="1"/>
    <col min="10499" max="10499" width="27.453125" style="116" customWidth="1"/>
    <col min="10500" max="10501" width="9.54296875" style="116" customWidth="1"/>
    <col min="10502" max="10502" width="9.7265625" style="116" customWidth="1"/>
    <col min="10503" max="10503" width="9.54296875" style="116" customWidth="1"/>
    <col min="10504" max="10504" width="12.54296875" style="116" customWidth="1"/>
    <col min="10505" max="10505" width="10" style="116" customWidth="1"/>
    <col min="10506" max="10506" width="9.7265625" style="116" customWidth="1"/>
    <col min="10507" max="10509" width="0" style="116" hidden="1" customWidth="1"/>
    <col min="10510" max="10753" width="9.1796875" style="116"/>
    <col min="10754" max="10754" width="13.26953125" style="116" customWidth="1"/>
    <col min="10755" max="10755" width="27.453125" style="116" customWidth="1"/>
    <col min="10756" max="10757" width="9.54296875" style="116" customWidth="1"/>
    <col min="10758" max="10758" width="9.7265625" style="116" customWidth="1"/>
    <col min="10759" max="10759" width="9.54296875" style="116" customWidth="1"/>
    <col min="10760" max="10760" width="12.54296875" style="116" customWidth="1"/>
    <col min="10761" max="10761" width="10" style="116" customWidth="1"/>
    <col min="10762" max="10762" width="9.7265625" style="116" customWidth="1"/>
    <col min="10763" max="10765" width="0" style="116" hidden="1" customWidth="1"/>
    <col min="10766" max="11009" width="9.1796875" style="116"/>
    <col min="11010" max="11010" width="13.26953125" style="116" customWidth="1"/>
    <col min="11011" max="11011" width="27.453125" style="116" customWidth="1"/>
    <col min="11012" max="11013" width="9.54296875" style="116" customWidth="1"/>
    <col min="11014" max="11014" width="9.7265625" style="116" customWidth="1"/>
    <col min="11015" max="11015" width="9.54296875" style="116" customWidth="1"/>
    <col min="11016" max="11016" width="12.54296875" style="116" customWidth="1"/>
    <col min="11017" max="11017" width="10" style="116" customWidth="1"/>
    <col min="11018" max="11018" width="9.7265625" style="116" customWidth="1"/>
    <col min="11019" max="11021" width="0" style="116" hidden="1" customWidth="1"/>
    <col min="11022" max="11265" width="9.1796875" style="116"/>
    <col min="11266" max="11266" width="13.26953125" style="116" customWidth="1"/>
    <col min="11267" max="11267" width="27.453125" style="116" customWidth="1"/>
    <col min="11268" max="11269" width="9.54296875" style="116" customWidth="1"/>
    <col min="11270" max="11270" width="9.7265625" style="116" customWidth="1"/>
    <col min="11271" max="11271" width="9.54296875" style="116" customWidth="1"/>
    <col min="11272" max="11272" width="12.54296875" style="116" customWidth="1"/>
    <col min="11273" max="11273" width="10" style="116" customWidth="1"/>
    <col min="11274" max="11274" width="9.7265625" style="116" customWidth="1"/>
    <col min="11275" max="11277" width="0" style="116" hidden="1" customWidth="1"/>
    <col min="11278" max="11521" width="9.1796875" style="116"/>
    <col min="11522" max="11522" width="13.26953125" style="116" customWidth="1"/>
    <col min="11523" max="11523" width="27.453125" style="116" customWidth="1"/>
    <col min="11524" max="11525" width="9.54296875" style="116" customWidth="1"/>
    <col min="11526" max="11526" width="9.7265625" style="116" customWidth="1"/>
    <col min="11527" max="11527" width="9.54296875" style="116" customWidth="1"/>
    <col min="11528" max="11528" width="12.54296875" style="116" customWidth="1"/>
    <col min="11529" max="11529" width="10" style="116" customWidth="1"/>
    <col min="11530" max="11530" width="9.7265625" style="116" customWidth="1"/>
    <col min="11531" max="11533" width="0" style="116" hidden="1" customWidth="1"/>
    <col min="11534" max="11777" width="9.1796875" style="116"/>
    <col min="11778" max="11778" width="13.26953125" style="116" customWidth="1"/>
    <col min="11779" max="11779" width="27.453125" style="116" customWidth="1"/>
    <col min="11780" max="11781" width="9.54296875" style="116" customWidth="1"/>
    <col min="11782" max="11782" width="9.7265625" style="116" customWidth="1"/>
    <col min="11783" max="11783" width="9.54296875" style="116" customWidth="1"/>
    <col min="11784" max="11784" width="12.54296875" style="116" customWidth="1"/>
    <col min="11785" max="11785" width="10" style="116" customWidth="1"/>
    <col min="11786" max="11786" width="9.7265625" style="116" customWidth="1"/>
    <col min="11787" max="11789" width="0" style="116" hidden="1" customWidth="1"/>
    <col min="11790" max="12033" width="9.1796875" style="116"/>
    <col min="12034" max="12034" width="13.26953125" style="116" customWidth="1"/>
    <col min="12035" max="12035" width="27.453125" style="116" customWidth="1"/>
    <col min="12036" max="12037" width="9.54296875" style="116" customWidth="1"/>
    <col min="12038" max="12038" width="9.7265625" style="116" customWidth="1"/>
    <col min="12039" max="12039" width="9.54296875" style="116" customWidth="1"/>
    <col min="12040" max="12040" width="12.54296875" style="116" customWidth="1"/>
    <col min="12041" max="12041" width="10" style="116" customWidth="1"/>
    <col min="12042" max="12042" width="9.7265625" style="116" customWidth="1"/>
    <col min="12043" max="12045" width="0" style="116" hidden="1" customWidth="1"/>
    <col min="12046" max="12289" width="9.1796875" style="116"/>
    <col min="12290" max="12290" width="13.26953125" style="116" customWidth="1"/>
    <col min="12291" max="12291" width="27.453125" style="116" customWidth="1"/>
    <col min="12292" max="12293" width="9.54296875" style="116" customWidth="1"/>
    <col min="12294" max="12294" width="9.7265625" style="116" customWidth="1"/>
    <col min="12295" max="12295" width="9.54296875" style="116" customWidth="1"/>
    <col min="12296" max="12296" width="12.54296875" style="116" customWidth="1"/>
    <col min="12297" max="12297" width="10" style="116" customWidth="1"/>
    <col min="12298" max="12298" width="9.7265625" style="116" customWidth="1"/>
    <col min="12299" max="12301" width="0" style="116" hidden="1" customWidth="1"/>
    <col min="12302" max="12545" width="9.1796875" style="116"/>
    <col min="12546" max="12546" width="13.26953125" style="116" customWidth="1"/>
    <col min="12547" max="12547" width="27.453125" style="116" customWidth="1"/>
    <col min="12548" max="12549" width="9.54296875" style="116" customWidth="1"/>
    <col min="12550" max="12550" width="9.7265625" style="116" customWidth="1"/>
    <col min="12551" max="12551" width="9.54296875" style="116" customWidth="1"/>
    <col min="12552" max="12552" width="12.54296875" style="116" customWidth="1"/>
    <col min="12553" max="12553" width="10" style="116" customWidth="1"/>
    <col min="12554" max="12554" width="9.7265625" style="116" customWidth="1"/>
    <col min="12555" max="12557" width="0" style="116" hidden="1" customWidth="1"/>
    <col min="12558" max="12801" width="9.1796875" style="116"/>
    <col min="12802" max="12802" width="13.26953125" style="116" customWidth="1"/>
    <col min="12803" max="12803" width="27.453125" style="116" customWidth="1"/>
    <col min="12804" max="12805" width="9.54296875" style="116" customWidth="1"/>
    <col min="12806" max="12806" width="9.7265625" style="116" customWidth="1"/>
    <col min="12807" max="12807" width="9.54296875" style="116" customWidth="1"/>
    <col min="12808" max="12808" width="12.54296875" style="116" customWidth="1"/>
    <col min="12809" max="12809" width="10" style="116" customWidth="1"/>
    <col min="12810" max="12810" width="9.7265625" style="116" customWidth="1"/>
    <col min="12811" max="12813" width="0" style="116" hidden="1" customWidth="1"/>
    <col min="12814" max="13057" width="9.1796875" style="116"/>
    <col min="13058" max="13058" width="13.26953125" style="116" customWidth="1"/>
    <col min="13059" max="13059" width="27.453125" style="116" customWidth="1"/>
    <col min="13060" max="13061" width="9.54296875" style="116" customWidth="1"/>
    <col min="13062" max="13062" width="9.7265625" style="116" customWidth="1"/>
    <col min="13063" max="13063" width="9.54296875" style="116" customWidth="1"/>
    <col min="13064" max="13064" width="12.54296875" style="116" customWidth="1"/>
    <col min="13065" max="13065" width="10" style="116" customWidth="1"/>
    <col min="13066" max="13066" width="9.7265625" style="116" customWidth="1"/>
    <col min="13067" max="13069" width="0" style="116" hidden="1" customWidth="1"/>
    <col min="13070" max="13313" width="9.1796875" style="116"/>
    <col min="13314" max="13314" width="13.26953125" style="116" customWidth="1"/>
    <col min="13315" max="13315" width="27.453125" style="116" customWidth="1"/>
    <col min="13316" max="13317" width="9.54296875" style="116" customWidth="1"/>
    <col min="13318" max="13318" width="9.7265625" style="116" customWidth="1"/>
    <col min="13319" max="13319" width="9.54296875" style="116" customWidth="1"/>
    <col min="13320" max="13320" width="12.54296875" style="116" customWidth="1"/>
    <col min="13321" max="13321" width="10" style="116" customWidth="1"/>
    <col min="13322" max="13322" width="9.7265625" style="116" customWidth="1"/>
    <col min="13323" max="13325" width="0" style="116" hidden="1" customWidth="1"/>
    <col min="13326" max="13569" width="9.1796875" style="116"/>
    <col min="13570" max="13570" width="13.26953125" style="116" customWidth="1"/>
    <col min="13571" max="13571" width="27.453125" style="116" customWidth="1"/>
    <col min="13572" max="13573" width="9.54296875" style="116" customWidth="1"/>
    <col min="13574" max="13574" width="9.7265625" style="116" customWidth="1"/>
    <col min="13575" max="13575" width="9.54296875" style="116" customWidth="1"/>
    <col min="13576" max="13576" width="12.54296875" style="116" customWidth="1"/>
    <col min="13577" max="13577" width="10" style="116" customWidth="1"/>
    <col min="13578" max="13578" width="9.7265625" style="116" customWidth="1"/>
    <col min="13579" max="13581" width="0" style="116" hidden="1" customWidth="1"/>
    <col min="13582" max="13825" width="9.1796875" style="116"/>
    <col min="13826" max="13826" width="13.26953125" style="116" customWidth="1"/>
    <col min="13827" max="13827" width="27.453125" style="116" customWidth="1"/>
    <col min="13828" max="13829" width="9.54296875" style="116" customWidth="1"/>
    <col min="13830" max="13830" width="9.7265625" style="116" customWidth="1"/>
    <col min="13831" max="13831" width="9.54296875" style="116" customWidth="1"/>
    <col min="13832" max="13832" width="12.54296875" style="116" customWidth="1"/>
    <col min="13833" max="13833" width="10" style="116" customWidth="1"/>
    <col min="13834" max="13834" width="9.7265625" style="116" customWidth="1"/>
    <col min="13835" max="13837" width="0" style="116" hidden="1" customWidth="1"/>
    <col min="13838" max="14081" width="9.1796875" style="116"/>
    <col min="14082" max="14082" width="13.26953125" style="116" customWidth="1"/>
    <col min="14083" max="14083" width="27.453125" style="116" customWidth="1"/>
    <col min="14084" max="14085" width="9.54296875" style="116" customWidth="1"/>
    <col min="14086" max="14086" width="9.7265625" style="116" customWidth="1"/>
    <col min="14087" max="14087" width="9.54296875" style="116" customWidth="1"/>
    <col min="14088" max="14088" width="12.54296875" style="116" customWidth="1"/>
    <col min="14089" max="14089" width="10" style="116" customWidth="1"/>
    <col min="14090" max="14090" width="9.7265625" style="116" customWidth="1"/>
    <col min="14091" max="14093" width="0" style="116" hidden="1" customWidth="1"/>
    <col min="14094" max="14337" width="9.1796875" style="116"/>
    <col min="14338" max="14338" width="13.26953125" style="116" customWidth="1"/>
    <col min="14339" max="14339" width="27.453125" style="116" customWidth="1"/>
    <col min="14340" max="14341" width="9.54296875" style="116" customWidth="1"/>
    <col min="14342" max="14342" width="9.7265625" style="116" customWidth="1"/>
    <col min="14343" max="14343" width="9.54296875" style="116" customWidth="1"/>
    <col min="14344" max="14344" width="12.54296875" style="116" customWidth="1"/>
    <col min="14345" max="14345" width="10" style="116" customWidth="1"/>
    <col min="14346" max="14346" width="9.7265625" style="116" customWidth="1"/>
    <col min="14347" max="14349" width="0" style="116" hidden="1" customWidth="1"/>
    <col min="14350" max="14593" width="9.1796875" style="116"/>
    <col min="14594" max="14594" width="13.26953125" style="116" customWidth="1"/>
    <col min="14595" max="14595" width="27.453125" style="116" customWidth="1"/>
    <col min="14596" max="14597" width="9.54296875" style="116" customWidth="1"/>
    <col min="14598" max="14598" width="9.7265625" style="116" customWidth="1"/>
    <col min="14599" max="14599" width="9.54296875" style="116" customWidth="1"/>
    <col min="14600" max="14600" width="12.54296875" style="116" customWidth="1"/>
    <col min="14601" max="14601" width="10" style="116" customWidth="1"/>
    <col min="14602" max="14602" width="9.7265625" style="116" customWidth="1"/>
    <col min="14603" max="14605" width="0" style="116" hidden="1" customWidth="1"/>
    <col min="14606" max="14849" width="9.1796875" style="116"/>
    <col min="14850" max="14850" width="13.26953125" style="116" customWidth="1"/>
    <col min="14851" max="14851" width="27.453125" style="116" customWidth="1"/>
    <col min="14852" max="14853" width="9.54296875" style="116" customWidth="1"/>
    <col min="14854" max="14854" width="9.7265625" style="116" customWidth="1"/>
    <col min="14855" max="14855" width="9.54296875" style="116" customWidth="1"/>
    <col min="14856" max="14856" width="12.54296875" style="116" customWidth="1"/>
    <col min="14857" max="14857" width="10" style="116" customWidth="1"/>
    <col min="14858" max="14858" width="9.7265625" style="116" customWidth="1"/>
    <col min="14859" max="14861" width="0" style="116" hidden="1" customWidth="1"/>
    <col min="14862" max="15105" width="9.1796875" style="116"/>
    <col min="15106" max="15106" width="13.26953125" style="116" customWidth="1"/>
    <col min="15107" max="15107" width="27.453125" style="116" customWidth="1"/>
    <col min="15108" max="15109" width="9.54296875" style="116" customWidth="1"/>
    <col min="15110" max="15110" width="9.7265625" style="116" customWidth="1"/>
    <col min="15111" max="15111" width="9.54296875" style="116" customWidth="1"/>
    <col min="15112" max="15112" width="12.54296875" style="116" customWidth="1"/>
    <col min="15113" max="15113" width="10" style="116" customWidth="1"/>
    <col min="15114" max="15114" width="9.7265625" style="116" customWidth="1"/>
    <col min="15115" max="15117" width="0" style="116" hidden="1" customWidth="1"/>
    <col min="15118" max="15361" width="9.1796875" style="116"/>
    <col min="15362" max="15362" width="13.26953125" style="116" customWidth="1"/>
    <col min="15363" max="15363" width="27.453125" style="116" customWidth="1"/>
    <col min="15364" max="15365" width="9.54296875" style="116" customWidth="1"/>
    <col min="15366" max="15366" width="9.7265625" style="116" customWidth="1"/>
    <col min="15367" max="15367" width="9.54296875" style="116" customWidth="1"/>
    <col min="15368" max="15368" width="12.54296875" style="116" customWidth="1"/>
    <col min="15369" max="15369" width="10" style="116" customWidth="1"/>
    <col min="15370" max="15370" width="9.7265625" style="116" customWidth="1"/>
    <col min="15371" max="15373" width="0" style="116" hidden="1" customWidth="1"/>
    <col min="15374" max="15617" width="9.1796875" style="116"/>
    <col min="15618" max="15618" width="13.26953125" style="116" customWidth="1"/>
    <col min="15619" max="15619" width="27.453125" style="116" customWidth="1"/>
    <col min="15620" max="15621" width="9.54296875" style="116" customWidth="1"/>
    <col min="15622" max="15622" width="9.7265625" style="116" customWidth="1"/>
    <col min="15623" max="15623" width="9.54296875" style="116" customWidth="1"/>
    <col min="15624" max="15624" width="12.54296875" style="116" customWidth="1"/>
    <col min="15625" max="15625" width="10" style="116" customWidth="1"/>
    <col min="15626" max="15626" width="9.7265625" style="116" customWidth="1"/>
    <col min="15627" max="15629" width="0" style="116" hidden="1" customWidth="1"/>
    <col min="15630" max="15873" width="9.1796875" style="116"/>
    <col min="15874" max="15874" width="13.26953125" style="116" customWidth="1"/>
    <col min="15875" max="15875" width="27.453125" style="116" customWidth="1"/>
    <col min="15876" max="15877" width="9.54296875" style="116" customWidth="1"/>
    <col min="15878" max="15878" width="9.7265625" style="116" customWidth="1"/>
    <col min="15879" max="15879" width="9.54296875" style="116" customWidth="1"/>
    <col min="15880" max="15880" width="12.54296875" style="116" customWidth="1"/>
    <col min="15881" max="15881" width="10" style="116" customWidth="1"/>
    <col min="15882" max="15882" width="9.7265625" style="116" customWidth="1"/>
    <col min="15883" max="15885" width="0" style="116" hidden="1" customWidth="1"/>
    <col min="15886" max="16129" width="9.1796875" style="116"/>
    <col min="16130" max="16130" width="13.26953125" style="116" customWidth="1"/>
    <col min="16131" max="16131" width="27.453125" style="116" customWidth="1"/>
    <col min="16132" max="16133" width="9.54296875" style="116" customWidth="1"/>
    <col min="16134" max="16134" width="9.7265625" style="116" customWidth="1"/>
    <col min="16135" max="16135" width="9.54296875" style="116" customWidth="1"/>
    <col min="16136" max="16136" width="12.54296875" style="116" customWidth="1"/>
    <col min="16137" max="16137" width="10" style="116" customWidth="1"/>
    <col min="16138" max="16138" width="9.7265625" style="116" customWidth="1"/>
    <col min="16139" max="16141" width="0" style="116" hidden="1" customWidth="1"/>
    <col min="16142" max="16384" width="9.1796875" style="116"/>
  </cols>
  <sheetData>
    <row r="1" spans="1:19" s="113" customFormat="1" ht="21.75" customHeight="1" x14ac:dyDescent="0.35">
      <c r="A1" s="1184" t="s">
        <v>0</v>
      </c>
      <c r="B1" s="1184"/>
      <c r="C1" s="1184"/>
      <c r="D1" s="1184"/>
      <c r="E1" s="1184"/>
      <c r="F1" s="1184"/>
      <c r="G1" s="1184"/>
      <c r="H1" s="1184"/>
      <c r="I1" s="1184"/>
      <c r="J1" s="1184"/>
      <c r="K1" s="1184"/>
      <c r="L1" s="304"/>
      <c r="M1" s="304"/>
      <c r="N1" s="115"/>
    </row>
    <row r="2" spans="1:19" s="113" customFormat="1" ht="21.75" customHeight="1" x14ac:dyDescent="0.35">
      <c r="A2" s="1184" t="s">
        <v>297</v>
      </c>
      <c r="B2" s="1184"/>
      <c r="C2" s="1184"/>
      <c r="D2" s="1184"/>
      <c r="E2" s="1184"/>
      <c r="F2" s="1184"/>
      <c r="G2" s="1184"/>
      <c r="H2" s="1184"/>
      <c r="I2" s="1184"/>
      <c r="J2" s="1184"/>
      <c r="K2" s="1184"/>
      <c r="L2" s="304"/>
      <c r="M2" s="304"/>
      <c r="N2" s="115"/>
    </row>
    <row r="3" spans="1:19" s="113" customFormat="1" ht="21.75" customHeight="1" x14ac:dyDescent="0.35">
      <c r="A3" s="1259">
        <v>2020</v>
      </c>
      <c r="B3" s="1259"/>
      <c r="C3" s="1259"/>
      <c r="D3" s="1259"/>
      <c r="E3" s="1259"/>
      <c r="F3" s="1259"/>
      <c r="G3" s="1259"/>
      <c r="H3" s="1259"/>
      <c r="I3" s="1259"/>
      <c r="J3" s="1259"/>
      <c r="K3" s="1259"/>
      <c r="L3" s="114"/>
      <c r="M3" s="114"/>
      <c r="N3" s="115"/>
    </row>
    <row r="4" spans="1:19" ht="21.75" customHeight="1" x14ac:dyDescent="0.35"/>
    <row r="5" spans="1:19" ht="21.75" customHeight="1" thickBot="1" x14ac:dyDescent="0.4"/>
    <row r="6" spans="1:19" s="113" customFormat="1" ht="21.75" customHeight="1" x14ac:dyDescent="0.35">
      <c r="A6" s="1260" t="s">
        <v>3</v>
      </c>
      <c r="B6" s="1261"/>
      <c r="C6" s="1261"/>
      <c r="D6" s="1261"/>
      <c r="E6" s="1261"/>
      <c r="F6" s="1261"/>
      <c r="G6" s="1261"/>
      <c r="H6" s="1261"/>
      <c r="I6" s="1261"/>
      <c r="J6" s="1261"/>
      <c r="K6" s="1261"/>
      <c r="L6" s="1262"/>
      <c r="M6" s="777"/>
      <c r="N6" s="115"/>
      <c r="O6" s="113" t="s">
        <v>299</v>
      </c>
      <c r="Q6" s="113" t="s">
        <v>300</v>
      </c>
      <c r="S6" s="113" t="s">
        <v>301</v>
      </c>
    </row>
    <row r="7" spans="1:19" s="113" customFormat="1" ht="21.75" customHeight="1" thickBot="1" x14ac:dyDescent="0.4">
      <c r="A7" s="229"/>
      <c r="B7" s="118"/>
      <c r="C7" s="778"/>
      <c r="D7" s="779"/>
      <c r="E7" s="778"/>
      <c r="F7" s="778"/>
      <c r="G7" s="778"/>
      <c r="H7" s="778"/>
      <c r="I7" s="778"/>
      <c r="J7" s="116"/>
      <c r="K7" s="125"/>
      <c r="L7" s="780"/>
      <c r="M7" s="125"/>
      <c r="N7" s="115"/>
      <c r="O7" s="126">
        <f>C29+C57+C69+C77+C90+C124+C136</f>
        <v>353.32</v>
      </c>
      <c r="Q7" s="126">
        <f>C166+C193+C202+C218</f>
        <v>268.41700000000003</v>
      </c>
      <c r="S7" s="126">
        <f>C145+C241+C254+C279+C291+C302</f>
        <v>198.798</v>
      </c>
    </row>
    <row r="8" spans="1:19" s="113" customFormat="1" ht="21.75" customHeight="1" x14ac:dyDescent="0.35">
      <c r="A8" s="1263" t="s">
        <v>302</v>
      </c>
      <c r="B8" s="1265" t="s">
        <v>28</v>
      </c>
      <c r="C8" s="1267" t="s">
        <v>303</v>
      </c>
      <c r="D8" s="1269" t="s">
        <v>304</v>
      </c>
      <c r="E8" s="1271" t="s">
        <v>305</v>
      </c>
      <c r="F8" s="1271"/>
      <c r="G8" s="1271"/>
      <c r="H8" s="1271"/>
      <c r="I8" s="1271"/>
      <c r="J8" s="1265" t="s">
        <v>29</v>
      </c>
      <c r="K8" s="1272" t="s">
        <v>306</v>
      </c>
      <c r="L8" s="1274" t="s">
        <v>307</v>
      </c>
      <c r="M8" s="781"/>
      <c r="N8" s="115"/>
    </row>
    <row r="9" spans="1:19" s="113" customFormat="1" ht="21.75" customHeight="1" thickBot="1" x14ac:dyDescent="0.4">
      <c r="A9" s="1264"/>
      <c r="B9" s="1266"/>
      <c r="C9" s="1268"/>
      <c r="D9" s="1270"/>
      <c r="E9" s="782" t="s">
        <v>308</v>
      </c>
      <c r="F9" s="782" t="s">
        <v>309</v>
      </c>
      <c r="G9" s="782" t="s">
        <v>310</v>
      </c>
      <c r="H9" s="782" t="s">
        <v>311</v>
      </c>
      <c r="I9" s="782" t="s">
        <v>312</v>
      </c>
      <c r="J9" s="1266"/>
      <c r="K9" s="1273"/>
      <c r="L9" s="1275"/>
      <c r="M9" s="781"/>
      <c r="N9" s="113" t="s">
        <v>143</v>
      </c>
      <c r="O9" s="126">
        <f>O7+Q7+S7</f>
        <v>820.53500000000008</v>
      </c>
      <c r="Q9" s="126">
        <f>O13-O9</f>
        <v>82.677999999999884</v>
      </c>
      <c r="S9" s="113">
        <f>(O9/O13)*100</f>
        <v>90.846234498396299</v>
      </c>
    </row>
    <row r="10" spans="1:19" s="790" customFormat="1" ht="21.75" customHeight="1" x14ac:dyDescent="0.35">
      <c r="A10" s="783">
        <v>219</v>
      </c>
      <c r="B10" s="784" t="s">
        <v>214</v>
      </c>
      <c r="C10" s="785">
        <f>'inventory2020(FOR revised)'!C10</f>
        <v>0.4</v>
      </c>
      <c r="D10" s="785">
        <f>'inventory2020(FOR revised)'!D10</f>
        <v>0.65</v>
      </c>
      <c r="E10" s="785">
        <f>'inventory2020(FOR revised)'!E10</f>
        <v>0</v>
      </c>
      <c r="F10" s="785">
        <f>'inventory2020(FOR revised)'!F10</f>
        <v>0</v>
      </c>
      <c r="G10" s="785">
        <f>'inventory2020(FOR revised)'!G10</f>
        <v>0</v>
      </c>
      <c r="H10" s="785">
        <f>'inventory2020(FOR revised)'!H10</f>
        <v>0.4</v>
      </c>
      <c r="I10" s="785">
        <v>0</v>
      </c>
      <c r="J10" s="786" t="s">
        <v>12</v>
      </c>
      <c r="K10" s="787" t="s">
        <v>313</v>
      </c>
      <c r="L10" s="788"/>
      <c r="M10" s="789"/>
      <c r="N10" s="790" t="s">
        <v>4</v>
      </c>
    </row>
    <row r="11" spans="1:19" s="790" customFormat="1" ht="21.75" customHeight="1" x14ac:dyDescent="0.35">
      <c r="A11" s="783">
        <v>1</v>
      </c>
      <c r="B11" s="791" t="s">
        <v>314</v>
      </c>
      <c r="C11" s="785">
        <f>'inventory2020(FOR revised)'!C11</f>
        <v>5.48</v>
      </c>
      <c r="D11" s="785">
        <f>'inventory2020(FOR revised)'!D11</f>
        <v>5.5</v>
      </c>
      <c r="E11" s="785">
        <f>'inventory2020(FOR revised)'!E11</f>
        <v>2.87</v>
      </c>
      <c r="F11" s="785">
        <f>'inventory2020(FOR revised)'!F11</f>
        <v>0</v>
      </c>
      <c r="G11" s="785">
        <f>'inventory2020(FOR revised)'!G11</f>
        <v>0</v>
      </c>
      <c r="H11" s="785">
        <f>'inventory2020(FOR revised)'!H11</f>
        <v>2.61</v>
      </c>
      <c r="I11" s="792">
        <v>0</v>
      </c>
      <c r="J11" s="793" t="s">
        <v>12</v>
      </c>
      <c r="K11" s="787" t="s">
        <v>315</v>
      </c>
      <c r="L11" s="793"/>
      <c r="M11" s="789"/>
      <c r="N11" s="790" t="s">
        <v>10</v>
      </c>
      <c r="O11" s="794">
        <f>D29+D57+D69+D76+D90+D124+D136</f>
        <v>349.45</v>
      </c>
      <c r="Q11" s="794">
        <f>D166+D179+D193+D202+D218</f>
        <v>331.84999999999997</v>
      </c>
      <c r="S11" s="794">
        <f>D145+D228+D241+D254+D279+D291+D302+C308</f>
        <v>221.91300000000001</v>
      </c>
    </row>
    <row r="12" spans="1:19" ht="21.75" customHeight="1" x14ac:dyDescent="0.35">
      <c r="A12" s="135">
        <v>2</v>
      </c>
      <c r="B12" s="795" t="s">
        <v>212</v>
      </c>
      <c r="C12" s="785">
        <f>'inventory2020(FOR revised)'!C12</f>
        <v>0.91999999999999993</v>
      </c>
      <c r="D12" s="785">
        <f>'inventory2020(FOR revised)'!D12</f>
        <v>0.8</v>
      </c>
      <c r="E12" s="785">
        <f>'inventory2020(FOR revised)'!E12</f>
        <v>7.0000000000000007E-2</v>
      </c>
      <c r="F12" s="785">
        <f>'inventory2020(FOR revised)'!F12</f>
        <v>0</v>
      </c>
      <c r="G12" s="785">
        <f>'inventory2020(FOR revised)'!G12</f>
        <v>0</v>
      </c>
      <c r="H12" s="785">
        <f>'inventory2020(FOR revised)'!H12</f>
        <v>0.85</v>
      </c>
      <c r="I12" s="173">
        <v>0</v>
      </c>
      <c r="J12" s="138" t="s">
        <v>10</v>
      </c>
      <c r="K12" s="796" t="s">
        <v>316</v>
      </c>
      <c r="L12" s="138"/>
      <c r="N12" s="116" t="s">
        <v>317</v>
      </c>
    </row>
    <row r="13" spans="1:19" s="790" customFormat="1" ht="21.75" customHeight="1" x14ac:dyDescent="0.35">
      <c r="A13" s="783">
        <v>3</v>
      </c>
      <c r="B13" s="791" t="s">
        <v>217</v>
      </c>
      <c r="C13" s="785">
        <f>'inventory2020(FOR revised)'!C13</f>
        <v>4.97</v>
      </c>
      <c r="D13" s="785">
        <f>'inventory2020(FOR revised)'!D13</f>
        <v>4.9000000000000004</v>
      </c>
      <c r="E13" s="785">
        <f>'inventory2020(FOR revised)'!E13</f>
        <v>0</v>
      </c>
      <c r="F13" s="785">
        <f>'inventory2020(FOR revised)'!F13</f>
        <v>0</v>
      </c>
      <c r="G13" s="785">
        <f>'inventory2020(FOR revised)'!G13</f>
        <v>0</v>
      </c>
      <c r="H13" s="785">
        <f>'inventory2020(FOR revised)'!H13</f>
        <v>4.97</v>
      </c>
      <c r="I13" s="792">
        <v>0</v>
      </c>
      <c r="J13" s="786" t="s">
        <v>12</v>
      </c>
      <c r="K13" s="787" t="s">
        <v>318</v>
      </c>
      <c r="L13" s="793"/>
      <c r="M13" s="789"/>
      <c r="N13" s="790" t="s">
        <v>33</v>
      </c>
      <c r="O13" s="794">
        <f>O11+Q11+S11</f>
        <v>903.21299999999997</v>
      </c>
    </row>
    <row r="14" spans="1:19" ht="21.75" customHeight="1" x14ac:dyDescent="0.35">
      <c r="A14" s="135">
        <v>93</v>
      </c>
      <c r="B14" s="795" t="s">
        <v>13</v>
      </c>
      <c r="C14" s="785">
        <f>'inventory2020(FOR revised)'!C15</f>
        <v>3.9</v>
      </c>
      <c r="D14" s="785">
        <f>'inventory2020(FOR revised)'!D15</f>
        <v>3.9</v>
      </c>
      <c r="E14" s="785">
        <f>'inventory2020(FOR revised)'!E15</f>
        <v>3.9</v>
      </c>
      <c r="F14" s="785">
        <f>'inventory2020(FOR revised)'!F15</f>
        <v>0</v>
      </c>
      <c r="G14" s="785">
        <f>'inventory2020(FOR revised)'!G15</f>
        <v>0</v>
      </c>
      <c r="H14" s="785">
        <f>'inventory2020(FOR revised)'!H15</f>
        <v>0</v>
      </c>
      <c r="I14" s="173">
        <v>0</v>
      </c>
      <c r="J14" s="141" t="str">
        <f>N11</f>
        <v>Good</v>
      </c>
      <c r="K14" s="796" t="s">
        <v>320</v>
      </c>
      <c r="L14" s="138"/>
      <c r="O14" s="140" t="e">
        <f>D228+D235+D239+#REF!+#REF!+#REF!+#REF!+D252+D263+#REF!+#REF!+D275+#REF!+#REF!+D288+D289+#REF!</f>
        <v>#REF!</v>
      </c>
      <c r="Q14" s="140" t="e">
        <f>Q9-O14</f>
        <v>#REF!</v>
      </c>
    </row>
    <row r="15" spans="1:19" s="790" customFormat="1" ht="21.75" customHeight="1" x14ac:dyDescent="0.35">
      <c r="A15" s="783">
        <v>218</v>
      </c>
      <c r="B15" s="791" t="s">
        <v>213</v>
      </c>
      <c r="C15" s="785">
        <f>'inventory2020(FOR revised)'!C16</f>
        <v>5.61</v>
      </c>
      <c r="D15" s="785">
        <f>'inventory2020(FOR revised)'!D16</f>
        <v>5.8</v>
      </c>
      <c r="E15" s="785">
        <f>'inventory2020(FOR revised)'!E16</f>
        <v>0</v>
      </c>
      <c r="F15" s="785">
        <f>'inventory2020(FOR revised)'!F16</f>
        <v>0</v>
      </c>
      <c r="G15" s="785">
        <f>'inventory2020(FOR revised)'!G16</f>
        <v>0</v>
      </c>
      <c r="H15" s="785">
        <f>'inventory2020(FOR revised)'!H16</f>
        <v>5.61</v>
      </c>
      <c r="I15" s="792">
        <v>0</v>
      </c>
      <c r="J15" s="786" t="s">
        <v>12</v>
      </c>
      <c r="K15" s="787" t="s">
        <v>316</v>
      </c>
      <c r="L15" s="793"/>
      <c r="M15" s="789"/>
      <c r="N15" s="797"/>
    </row>
    <row r="16" spans="1:19" s="790" customFormat="1" ht="21.75" customHeight="1" x14ac:dyDescent="0.35">
      <c r="A16" s="783">
        <v>5</v>
      </c>
      <c r="B16" s="791" t="s">
        <v>16</v>
      </c>
      <c r="C16" s="785">
        <f>'inventory2020(FOR revised)'!C17</f>
        <v>2.85</v>
      </c>
      <c r="D16" s="785">
        <f>'inventory2020(FOR revised)'!D17</f>
        <v>2.8</v>
      </c>
      <c r="E16" s="785">
        <f>'inventory2020(FOR revised)'!E17</f>
        <v>2.85</v>
      </c>
      <c r="F16" s="785">
        <f>'inventory2020(FOR revised)'!F17</f>
        <v>0</v>
      </c>
      <c r="G16" s="785">
        <f>'inventory2020(FOR revised)'!G17</f>
        <v>0</v>
      </c>
      <c r="H16" s="785">
        <f>'inventory2020(FOR revised)'!H17</f>
        <v>0</v>
      </c>
      <c r="I16" s="792">
        <v>0</v>
      </c>
      <c r="J16" s="786" t="s">
        <v>10</v>
      </c>
      <c r="K16" s="787" t="s">
        <v>320</v>
      </c>
      <c r="L16" s="793"/>
      <c r="M16" s="789"/>
      <c r="N16" s="797"/>
      <c r="O16" s="794" t="e">
        <f>#REF!+D40+D45+#REF!+#REF!</f>
        <v>#REF!</v>
      </c>
    </row>
    <row r="17" spans="1:17" ht="21.75" customHeight="1" x14ac:dyDescent="0.35">
      <c r="A17" s="135">
        <v>6</v>
      </c>
      <c r="B17" s="795" t="s">
        <v>220</v>
      </c>
      <c r="C17" s="785">
        <f>'inventory2020(FOR revised)'!C18</f>
        <v>3.96</v>
      </c>
      <c r="D17" s="785">
        <f>'inventory2020(FOR revised)'!D18</f>
        <v>3.9</v>
      </c>
      <c r="E17" s="785">
        <f>'inventory2020(FOR revised)'!E18</f>
        <v>2.7</v>
      </c>
      <c r="F17" s="785">
        <f>'inventory2020(FOR revised)'!F18</f>
        <v>0</v>
      </c>
      <c r="G17" s="785">
        <f>'inventory2020(FOR revised)'!G18</f>
        <v>0</v>
      </c>
      <c r="H17" s="785">
        <f>'inventory2020(FOR revised)'!H18</f>
        <v>1.26</v>
      </c>
      <c r="I17" s="173">
        <v>0</v>
      </c>
      <c r="J17" s="141" t="s">
        <v>10</v>
      </c>
      <c r="K17" s="796" t="s">
        <v>315</v>
      </c>
      <c r="L17" s="138"/>
    </row>
    <row r="18" spans="1:17" s="790" customFormat="1" ht="21.75" customHeight="1" x14ac:dyDescent="0.35">
      <c r="A18" s="783">
        <v>7</v>
      </c>
      <c r="B18" s="791" t="s">
        <v>205</v>
      </c>
      <c r="C18" s="785">
        <f>'inventory2020(FOR revised)'!C19</f>
        <v>1.1499999999999999</v>
      </c>
      <c r="D18" s="785">
        <f>'inventory2020(FOR revised)'!D19</f>
        <v>1.1000000000000001</v>
      </c>
      <c r="E18" s="785">
        <f>'inventory2020(FOR revised)'!E19</f>
        <v>1.1499999999999999</v>
      </c>
      <c r="F18" s="785">
        <f>'inventory2020(FOR revised)'!F19</f>
        <v>0</v>
      </c>
      <c r="G18" s="785">
        <f>'inventory2020(FOR revised)'!G19</f>
        <v>0</v>
      </c>
      <c r="H18" s="785">
        <f>'inventory2020(FOR revised)'!H19</f>
        <v>0</v>
      </c>
      <c r="I18" s="792">
        <v>0</v>
      </c>
      <c r="J18" s="786" t="s">
        <v>10</v>
      </c>
      <c r="K18" s="787" t="s">
        <v>321</v>
      </c>
      <c r="L18" s="793"/>
      <c r="M18" s="789"/>
      <c r="N18" s="798" t="s">
        <v>322</v>
      </c>
      <c r="Q18" s="790" t="s">
        <v>323</v>
      </c>
    </row>
    <row r="19" spans="1:17" s="790" customFormat="1" ht="21.75" customHeight="1" x14ac:dyDescent="0.35">
      <c r="A19" s="783">
        <v>8</v>
      </c>
      <c r="B19" s="791" t="s">
        <v>324</v>
      </c>
      <c r="C19" s="785">
        <f>'inventory2020(FOR revised)'!C20</f>
        <v>0.64</v>
      </c>
      <c r="D19" s="785">
        <f>'inventory2020(FOR revised)'!D20</f>
        <v>0.6</v>
      </c>
      <c r="E19" s="785">
        <f>'inventory2020(FOR revised)'!E20</f>
        <v>0.64</v>
      </c>
      <c r="F19" s="785">
        <f>'inventory2020(FOR revised)'!F20</f>
        <v>0</v>
      </c>
      <c r="G19" s="785">
        <f>'inventory2020(FOR revised)'!G20</f>
        <v>0</v>
      </c>
      <c r="H19" s="785">
        <f>'inventory2020(FOR revised)'!H20</f>
        <v>0</v>
      </c>
      <c r="I19" s="785">
        <f>'inventory2020(FOR revised)'!I20</f>
        <v>0</v>
      </c>
      <c r="J19" s="786" t="s">
        <v>10</v>
      </c>
      <c r="K19" s="787" t="s">
        <v>325</v>
      </c>
      <c r="L19" s="793"/>
      <c r="M19" s="789"/>
      <c r="N19" s="790" t="s">
        <v>182</v>
      </c>
      <c r="O19" s="794">
        <f>C10+C11+C12+C13+C14+C15+C16+C17+C18+C19+C20+C21+C22+C23+C24+C25+C26+C27+C28</f>
        <v>81.36</v>
      </c>
      <c r="Q19" s="794">
        <f t="shared" ref="Q19:Q28" si="0">O19</f>
        <v>81.36</v>
      </c>
    </row>
    <row r="20" spans="1:17" s="790" customFormat="1" ht="21.75" customHeight="1" x14ac:dyDescent="0.35">
      <c r="A20" s="783">
        <v>9</v>
      </c>
      <c r="B20" s="791" t="s">
        <v>19</v>
      </c>
      <c r="C20" s="785">
        <f>'inventory2020(FOR revised)'!C21</f>
        <v>9.3000000000000007</v>
      </c>
      <c r="D20" s="785">
        <f>'inventory2020(FOR revised)'!D21</f>
        <v>9</v>
      </c>
      <c r="E20" s="785">
        <f>'inventory2020(FOR revised)'!E21</f>
        <v>9.3000000000000007</v>
      </c>
      <c r="F20" s="785">
        <f>'inventory2020(FOR revised)'!F21</f>
        <v>0</v>
      </c>
      <c r="G20" s="785">
        <f>'inventory2020(FOR revised)'!G21</f>
        <v>0</v>
      </c>
      <c r="H20" s="785">
        <f>'inventory2020(FOR revised)'!H21</f>
        <v>0</v>
      </c>
      <c r="I20" s="785">
        <f>'inventory2020(FOR revised)'!I21</f>
        <v>0</v>
      </c>
      <c r="J20" s="786" t="s">
        <v>10</v>
      </c>
      <c r="K20" s="787" t="s">
        <v>326</v>
      </c>
      <c r="L20" s="793"/>
      <c r="M20" s="789"/>
      <c r="N20" s="797" t="s">
        <v>183</v>
      </c>
      <c r="O20" s="794">
        <f>C36+C37+C38+C39+C40+C41+C42+C43+C44+C45+C46++C47+C48+C49+C50+C51+C52+C53+C54+C55+C56</f>
        <v>74.349999999999994</v>
      </c>
      <c r="Q20" s="794">
        <f t="shared" si="0"/>
        <v>74.349999999999994</v>
      </c>
    </row>
    <row r="21" spans="1:17" s="790" customFormat="1" ht="21.75" customHeight="1" x14ac:dyDescent="0.35">
      <c r="A21" s="783">
        <v>10</v>
      </c>
      <c r="B21" s="791" t="s">
        <v>23</v>
      </c>
      <c r="C21" s="785">
        <f>'inventory2020(FOR revised)'!C22</f>
        <v>13.79</v>
      </c>
      <c r="D21" s="785">
        <f>'inventory2020(FOR revised)'!D22</f>
        <v>13.6</v>
      </c>
      <c r="E21" s="785">
        <f>'inventory2020(FOR revised)'!E22</f>
        <v>8.7899999999999991</v>
      </c>
      <c r="F21" s="785">
        <f>'inventory2020(FOR revised)'!F22</f>
        <v>0</v>
      </c>
      <c r="G21" s="785">
        <f>'inventory2020(FOR revised)'!G22</f>
        <v>0</v>
      </c>
      <c r="H21" s="785">
        <f>'inventory2020(FOR revised)'!H22</f>
        <v>5</v>
      </c>
      <c r="I21" s="785">
        <f>'inventory2020(FOR revised)'!I22</f>
        <v>0</v>
      </c>
      <c r="J21" s="786" t="str">
        <f>J20</f>
        <v>Good</v>
      </c>
      <c r="K21" s="787" t="s">
        <v>327</v>
      </c>
      <c r="L21" s="793"/>
      <c r="M21" s="789"/>
      <c r="N21" s="797" t="s">
        <v>184</v>
      </c>
      <c r="O21" s="794" t="e">
        <f>C63+C64+#REF!+C65+C66+C67</f>
        <v>#REF!</v>
      </c>
      <c r="Q21" s="794" t="e">
        <f t="shared" si="0"/>
        <v>#REF!</v>
      </c>
    </row>
    <row r="22" spans="1:17" s="790" customFormat="1" ht="21.75" customHeight="1" x14ac:dyDescent="0.35">
      <c r="A22" s="783">
        <v>11</v>
      </c>
      <c r="B22" s="791" t="s">
        <v>223</v>
      </c>
      <c r="C22" s="785">
        <f>'inventory2020(FOR revised)'!C23</f>
        <v>2.27</v>
      </c>
      <c r="D22" s="785">
        <f>'inventory2020(FOR revised)'!D23</f>
        <v>2.2000000000000002</v>
      </c>
      <c r="E22" s="785">
        <f>'inventory2020(FOR revised)'!E23</f>
        <v>0.21</v>
      </c>
      <c r="F22" s="785">
        <f>'inventory2020(FOR revised)'!F23</f>
        <v>0</v>
      </c>
      <c r="G22" s="785">
        <f>'inventory2020(FOR revised)'!G23</f>
        <v>0</v>
      </c>
      <c r="H22" s="785">
        <f>'inventory2020(FOR revised)'!H23</f>
        <v>2.06</v>
      </c>
      <c r="I22" s="785">
        <f>'inventory2020(FOR revised)'!I23</f>
        <v>0</v>
      </c>
      <c r="J22" s="786" t="s">
        <v>12</v>
      </c>
      <c r="K22" s="787" t="s">
        <v>328</v>
      </c>
      <c r="L22" s="793"/>
      <c r="M22" s="789"/>
      <c r="N22" s="797" t="s">
        <v>185</v>
      </c>
      <c r="O22" s="799">
        <f>C76</f>
        <v>3.28</v>
      </c>
      <c r="Q22" s="799">
        <f t="shared" si="0"/>
        <v>3.28</v>
      </c>
    </row>
    <row r="23" spans="1:17" s="790" customFormat="1" ht="21.75" customHeight="1" x14ac:dyDescent="0.35">
      <c r="A23" s="783">
        <v>13</v>
      </c>
      <c r="B23" s="791" t="s">
        <v>218</v>
      </c>
      <c r="C23" s="785">
        <f>'inventory2020(FOR revised)'!C24</f>
        <v>1.72</v>
      </c>
      <c r="D23" s="785">
        <f>'inventory2020(FOR revised)'!D24</f>
        <v>1.7</v>
      </c>
      <c r="E23" s="785">
        <f>'inventory2020(FOR revised)'!E24</f>
        <v>0</v>
      </c>
      <c r="F23" s="785">
        <f>'inventory2020(FOR revised)'!F24</f>
        <v>0</v>
      </c>
      <c r="G23" s="785">
        <f>'inventory2020(FOR revised)'!G24</f>
        <v>0</v>
      </c>
      <c r="H23" s="785">
        <f>'inventory2020(FOR revised)'!H24</f>
        <v>1.72</v>
      </c>
      <c r="I23" s="785">
        <f>'inventory2020(FOR revised)'!I24</f>
        <v>0</v>
      </c>
      <c r="J23" s="786" t="s">
        <v>12</v>
      </c>
      <c r="K23" s="787" t="s">
        <v>329</v>
      </c>
      <c r="L23" s="793"/>
      <c r="M23" s="789"/>
      <c r="N23" s="797" t="s">
        <v>330</v>
      </c>
      <c r="O23" s="794">
        <f>C83+C84+C85+C86+C87+C88</f>
        <v>26.35</v>
      </c>
      <c r="Q23" s="794">
        <f t="shared" si="0"/>
        <v>26.35</v>
      </c>
    </row>
    <row r="24" spans="1:17" s="790" customFormat="1" ht="21.75" customHeight="1" x14ac:dyDescent="0.35">
      <c r="A24" s="783">
        <v>14</v>
      </c>
      <c r="B24" s="791" t="s">
        <v>215</v>
      </c>
      <c r="C24" s="785">
        <f>'inventory2020(FOR revised)'!C27</f>
        <v>4.12</v>
      </c>
      <c r="D24" s="785">
        <f>'inventory2020(FOR revised)'!D27</f>
        <v>4</v>
      </c>
      <c r="E24" s="785">
        <f>'inventory2020(FOR revised)'!E27</f>
        <v>4.12</v>
      </c>
      <c r="F24" s="785">
        <f>'inventory2020(FOR revised)'!F27</f>
        <v>0</v>
      </c>
      <c r="G24" s="785">
        <f>'inventory2020(FOR revised)'!G27</f>
        <v>0</v>
      </c>
      <c r="H24" s="785">
        <f>'inventory2020(FOR revised)'!H27</f>
        <v>0</v>
      </c>
      <c r="I24" s="792">
        <v>0</v>
      </c>
      <c r="J24" s="786" t="s">
        <v>10</v>
      </c>
      <c r="K24" s="787" t="s">
        <v>327</v>
      </c>
      <c r="L24" s="793"/>
      <c r="M24" s="789"/>
      <c r="N24" s="797" t="s">
        <v>189</v>
      </c>
      <c r="O24" s="794">
        <f>C143+C144</f>
        <v>18.670000000000002</v>
      </c>
      <c r="Q24" s="794">
        <f t="shared" si="0"/>
        <v>18.670000000000002</v>
      </c>
    </row>
    <row r="25" spans="1:17" s="790" customFormat="1" ht="21.75" customHeight="1" x14ac:dyDescent="0.35">
      <c r="A25" s="783">
        <v>16</v>
      </c>
      <c r="B25" s="791" t="s">
        <v>25</v>
      </c>
      <c r="C25" s="785">
        <f>'inventory2020(FOR revised)'!C29</f>
        <v>1.05</v>
      </c>
      <c r="D25" s="785">
        <f>'inventory2020(FOR revised)'!D29</f>
        <v>1</v>
      </c>
      <c r="E25" s="785">
        <f>'inventory2020(FOR revised)'!E29</f>
        <v>0</v>
      </c>
      <c r="F25" s="785">
        <f>'inventory2020(FOR revised)'!F29</f>
        <v>0</v>
      </c>
      <c r="G25" s="785">
        <f>'inventory2020(FOR revised)'!G29</f>
        <v>0</v>
      </c>
      <c r="H25" s="785">
        <f>'inventory2020(FOR revised)'!H29</f>
        <v>1.05</v>
      </c>
      <c r="I25" s="792">
        <v>0</v>
      </c>
      <c r="J25" s="786" t="s">
        <v>12</v>
      </c>
      <c r="K25" s="787" t="s">
        <v>337</v>
      </c>
      <c r="L25" s="793"/>
      <c r="M25" s="789"/>
      <c r="N25" s="797" t="s">
        <v>338</v>
      </c>
      <c r="O25" s="794">
        <f>C173+C174+C175+C176+C177+C178</f>
        <v>71.400000000000006</v>
      </c>
      <c r="Q25" s="794">
        <f t="shared" si="0"/>
        <v>71.400000000000006</v>
      </c>
    </row>
    <row r="26" spans="1:17" s="790" customFormat="1" ht="21.75" customHeight="1" x14ac:dyDescent="0.35">
      <c r="A26" s="783">
        <v>17</v>
      </c>
      <c r="B26" s="791" t="s">
        <v>216</v>
      </c>
      <c r="C26" s="785">
        <f>'inventory2020(FOR revised)'!C30</f>
        <v>4.18</v>
      </c>
      <c r="D26" s="785">
        <f>'inventory2020(FOR revised)'!D30</f>
        <v>4</v>
      </c>
      <c r="E26" s="785">
        <f>'inventory2020(FOR revised)'!E30</f>
        <v>4.18</v>
      </c>
      <c r="F26" s="785">
        <f>'inventory2020(FOR revised)'!F30</f>
        <v>0</v>
      </c>
      <c r="G26" s="785">
        <f>'inventory2020(FOR revised)'!G30</f>
        <v>0</v>
      </c>
      <c r="H26" s="785">
        <f>'inventory2020(FOR revised)'!H30</f>
        <v>0</v>
      </c>
      <c r="I26" s="792">
        <v>0</v>
      </c>
      <c r="J26" s="786" t="s">
        <v>12</v>
      </c>
      <c r="K26" s="787" t="s">
        <v>339</v>
      </c>
      <c r="L26" s="793"/>
      <c r="M26" s="789"/>
      <c r="N26" s="797" t="s">
        <v>193</v>
      </c>
      <c r="O26" s="794">
        <f>C186+C187+C188+C189+C190+C191+C192</f>
        <v>88.617000000000004</v>
      </c>
      <c r="Q26" s="794">
        <f t="shared" si="0"/>
        <v>88.617000000000004</v>
      </c>
    </row>
    <row r="27" spans="1:17" s="790" customFormat="1" ht="21.75" customHeight="1" x14ac:dyDescent="0.35">
      <c r="A27" s="783">
        <v>18</v>
      </c>
      <c r="B27" s="791" t="s">
        <v>27</v>
      </c>
      <c r="C27" s="785">
        <f>'inventory2020(FOR revised)'!C31</f>
        <v>10.52</v>
      </c>
      <c r="D27" s="785">
        <f>'inventory2020(FOR revised)'!D31</f>
        <v>10.5</v>
      </c>
      <c r="E27" s="785">
        <f>'inventory2020(FOR revised)'!E31</f>
        <v>4.54</v>
      </c>
      <c r="F27" s="785">
        <f>'inventory2020(FOR revised)'!F31</f>
        <v>0</v>
      </c>
      <c r="G27" s="785">
        <f>'inventory2020(FOR revised)'!G31</f>
        <v>0</v>
      </c>
      <c r="H27" s="785">
        <f>'inventory2020(FOR revised)'!H31</f>
        <v>5.98</v>
      </c>
      <c r="I27" s="792">
        <v>0</v>
      </c>
      <c r="J27" s="786" t="s">
        <v>12</v>
      </c>
      <c r="K27" s="787" t="s">
        <v>335</v>
      </c>
      <c r="L27" s="793"/>
      <c r="M27" s="789"/>
      <c r="N27" s="797" t="s">
        <v>194</v>
      </c>
      <c r="O27" s="794">
        <f>C200+C201</f>
        <v>9</v>
      </c>
      <c r="Q27" s="794">
        <f t="shared" si="0"/>
        <v>9</v>
      </c>
    </row>
    <row r="28" spans="1:17" s="790" customFormat="1" ht="21.75" customHeight="1" x14ac:dyDescent="0.35">
      <c r="A28" s="783">
        <v>221</v>
      </c>
      <c r="B28" s="791" t="s">
        <v>219</v>
      </c>
      <c r="C28" s="785">
        <f>'inventory2020(FOR revised)'!C32</f>
        <v>4.53</v>
      </c>
      <c r="D28" s="785">
        <f>'inventory2020(FOR revised)'!D32</f>
        <v>5.2</v>
      </c>
      <c r="E28" s="785">
        <f>'inventory2020(FOR revised)'!E32</f>
        <v>0</v>
      </c>
      <c r="F28" s="785">
        <f>'inventory2020(FOR revised)'!F32</f>
        <v>0</v>
      </c>
      <c r="G28" s="785">
        <f>'inventory2020(FOR revised)'!G32</f>
        <v>0</v>
      </c>
      <c r="H28" s="785">
        <f>'inventory2020(FOR revised)'!H32</f>
        <v>4.53</v>
      </c>
      <c r="I28" s="792">
        <v>0</v>
      </c>
      <c r="J28" s="786" t="s">
        <v>12</v>
      </c>
      <c r="K28" s="787" t="s">
        <v>340</v>
      </c>
      <c r="L28" s="793"/>
      <c r="M28" s="789"/>
      <c r="N28" s="797" t="s">
        <v>195</v>
      </c>
      <c r="O28" s="794" t="e">
        <f>C209+C210+C211+C212+C213+C214+#REF!+C216+C217</f>
        <v>#REF!</v>
      </c>
      <c r="Q28" s="794" t="e">
        <f t="shared" si="0"/>
        <v>#REF!</v>
      </c>
    </row>
    <row r="29" spans="1:17" ht="21.75" customHeight="1" x14ac:dyDescent="0.35">
      <c r="A29" s="800"/>
      <c r="B29" s="801"/>
      <c r="C29" s="802">
        <f t="shared" ref="C29:I29" si="1">SUM(C10:C28)</f>
        <v>81.36</v>
      </c>
      <c r="D29" s="803">
        <f t="shared" si="1"/>
        <v>81.15000000000002</v>
      </c>
      <c r="E29" s="802">
        <f t="shared" si="1"/>
        <v>45.32</v>
      </c>
      <c r="F29" s="802">
        <f t="shared" si="1"/>
        <v>0</v>
      </c>
      <c r="G29" s="802">
        <f t="shared" si="1"/>
        <v>0</v>
      </c>
      <c r="H29" s="802">
        <f t="shared" si="1"/>
        <v>36.04</v>
      </c>
      <c r="I29" s="802">
        <f t="shared" si="1"/>
        <v>0</v>
      </c>
      <c r="J29" s="804"/>
      <c r="K29" s="805"/>
      <c r="L29" s="138"/>
      <c r="N29" s="119" t="s">
        <v>197</v>
      </c>
      <c r="O29" s="140">
        <f>C235+C236+C237+C238+C240</f>
        <v>27.7</v>
      </c>
      <c r="Q29" s="140">
        <f>C236+C237+C238+C240</f>
        <v>15.010000000000002</v>
      </c>
    </row>
    <row r="30" spans="1:17" s="113" customFormat="1" ht="21.75" customHeight="1" thickBot="1" x14ac:dyDescent="0.4">
      <c r="A30" s="806" t="s">
        <v>341</v>
      </c>
      <c r="B30" s="807"/>
      <c r="C30" s="808">
        <f>E30+F30+G30+H30+I30</f>
        <v>81.36</v>
      </c>
      <c r="D30" s="809"/>
      <c r="E30" s="808">
        <f>SUM(E10:E28)</f>
        <v>45.32</v>
      </c>
      <c r="F30" s="808">
        <f>SUM(F10:F28)</f>
        <v>0</v>
      </c>
      <c r="G30" s="808">
        <f>SUM(G10:G28)</f>
        <v>0</v>
      </c>
      <c r="H30" s="808">
        <f>SUM(H10:H28)</f>
        <v>36.04</v>
      </c>
      <c r="I30" s="808">
        <f>SUM(I10:I28)</f>
        <v>0</v>
      </c>
      <c r="J30" s="216"/>
      <c r="K30" s="217"/>
      <c r="L30" s="258"/>
      <c r="M30" s="125"/>
      <c r="N30" s="115" t="s">
        <v>198</v>
      </c>
      <c r="O30" s="126">
        <f>C248+C249+C250+C251+C252+C253</f>
        <v>8.82</v>
      </c>
      <c r="Q30" s="126">
        <f>C248+C249+C250+C251+C253</f>
        <v>8.02</v>
      </c>
    </row>
    <row r="31" spans="1:17" s="113" customFormat="1" ht="21.75" customHeight="1" thickBot="1" x14ac:dyDescent="0.4">
      <c r="A31" s="114"/>
      <c r="B31" s="125"/>
      <c r="C31" s="126"/>
      <c r="D31" s="810"/>
      <c r="E31" s="126"/>
      <c r="F31" s="126"/>
      <c r="G31" s="126"/>
      <c r="H31" s="126"/>
      <c r="I31" s="126"/>
      <c r="K31" s="125"/>
      <c r="L31" s="811"/>
      <c r="M31" s="125"/>
      <c r="N31" s="115" t="s">
        <v>199</v>
      </c>
      <c r="O31" s="126">
        <f>C261+C262</f>
        <v>7.25</v>
      </c>
      <c r="Q31" s="113">
        <v>0</v>
      </c>
    </row>
    <row r="32" spans="1:17" s="113" customFormat="1" ht="21.75" customHeight="1" x14ac:dyDescent="0.35">
      <c r="A32" s="1260" t="s">
        <v>342</v>
      </c>
      <c r="B32" s="1261"/>
      <c r="C32" s="1261"/>
      <c r="D32" s="1261"/>
      <c r="E32" s="1261"/>
      <c r="F32" s="1261"/>
      <c r="G32" s="1261"/>
      <c r="H32" s="1261"/>
      <c r="I32" s="1261"/>
      <c r="J32" s="1261"/>
      <c r="K32" s="1261"/>
      <c r="L32" s="1276"/>
      <c r="M32" s="777"/>
      <c r="N32" s="115" t="s">
        <v>200</v>
      </c>
      <c r="O32" s="126">
        <f>C270+C271+C272+C273+C274+C275+C276+C277+C278</f>
        <v>79.599999999999994</v>
      </c>
      <c r="Q32" s="126">
        <f>C270+C271+C272+C273+C274+C276+C277+C278</f>
        <v>77.180000000000007</v>
      </c>
    </row>
    <row r="33" spans="1:17" s="113" customFormat="1" ht="21.75" customHeight="1" thickBot="1" x14ac:dyDescent="0.4">
      <c r="A33" s="229"/>
      <c r="B33" s="118"/>
      <c r="C33" s="778"/>
      <c r="D33" s="779"/>
      <c r="E33" s="778"/>
      <c r="F33" s="778"/>
      <c r="G33" s="778"/>
      <c r="H33" s="778"/>
      <c r="I33" s="778"/>
      <c r="J33" s="116"/>
      <c r="K33" s="125"/>
      <c r="L33" s="807"/>
      <c r="M33" s="125"/>
      <c r="N33" s="115" t="s">
        <v>201</v>
      </c>
      <c r="O33" s="164">
        <f>C286+C287+C288+C289</f>
        <v>34.027999999999999</v>
      </c>
      <c r="Q33" s="164">
        <f>C286+C287</f>
        <v>13.027999999999999</v>
      </c>
    </row>
    <row r="34" spans="1:17" s="113" customFormat="1" ht="21.75" customHeight="1" x14ac:dyDescent="0.35">
      <c r="A34" s="1263" t="s">
        <v>302</v>
      </c>
      <c r="B34" s="1265" t="s">
        <v>28</v>
      </c>
      <c r="C34" s="1267" t="s">
        <v>343</v>
      </c>
      <c r="D34" s="812"/>
      <c r="E34" s="1271" t="s">
        <v>305</v>
      </c>
      <c r="F34" s="1271"/>
      <c r="G34" s="1271"/>
      <c r="H34" s="1271"/>
      <c r="I34" s="1271"/>
      <c r="J34" s="1265" t="s">
        <v>29</v>
      </c>
      <c r="K34" s="1272" t="s">
        <v>306</v>
      </c>
      <c r="L34" s="1274" t="s">
        <v>307</v>
      </c>
      <c r="M34" s="781"/>
      <c r="N34" s="115" t="s">
        <v>202</v>
      </c>
      <c r="O34" s="164">
        <f>C297+C298+C299+C300</f>
        <v>24.68</v>
      </c>
      <c r="Q34" s="164">
        <f>C297+C298+C299+C300</f>
        <v>24.68</v>
      </c>
    </row>
    <row r="35" spans="1:17" s="113" customFormat="1" ht="21.75" customHeight="1" thickBot="1" x14ac:dyDescent="0.4">
      <c r="A35" s="1264"/>
      <c r="B35" s="1266"/>
      <c r="C35" s="1268"/>
      <c r="D35" s="813"/>
      <c r="E35" s="782" t="s">
        <v>308</v>
      </c>
      <c r="F35" s="782" t="s">
        <v>309</v>
      </c>
      <c r="G35" s="782" t="s">
        <v>310</v>
      </c>
      <c r="H35" s="782" t="s">
        <v>311</v>
      </c>
      <c r="I35" s="782" t="s">
        <v>312</v>
      </c>
      <c r="J35" s="1266"/>
      <c r="K35" s="1273"/>
      <c r="L35" s="1275"/>
      <c r="M35" s="781"/>
      <c r="N35" s="115" t="s">
        <v>344</v>
      </c>
      <c r="O35" s="126">
        <f>C308</f>
        <v>8.7409999999999997</v>
      </c>
      <c r="Q35" s="113">
        <v>0</v>
      </c>
    </row>
    <row r="36" spans="1:17" s="113" customFormat="1" ht="21.75" customHeight="1" x14ac:dyDescent="0.35">
      <c r="A36" s="135">
        <v>21</v>
      </c>
      <c r="B36" s="138" t="s">
        <v>241</v>
      </c>
      <c r="C36" s="137">
        <f>'inventory2020(FOR revised)'!C41</f>
        <v>4.32</v>
      </c>
      <c r="D36" s="814">
        <f>'[23]road inventory 2018'!C41</f>
        <v>4.3</v>
      </c>
      <c r="E36" s="137">
        <v>4.1100000000000003</v>
      </c>
      <c r="F36" s="137">
        <v>0</v>
      </c>
      <c r="G36" s="137">
        <v>0</v>
      </c>
      <c r="H36" s="137">
        <v>0.21</v>
      </c>
      <c r="I36" s="137">
        <v>0</v>
      </c>
      <c r="J36" s="141" t="s">
        <v>10</v>
      </c>
      <c r="K36" s="796" t="s">
        <v>345</v>
      </c>
      <c r="L36" s="172"/>
      <c r="M36" s="118"/>
      <c r="N36" s="167" t="str">
        <f>N18</f>
        <v>GOOD TO FAIR (TOTAL LENGTH)</v>
      </c>
      <c r="O36" s="126" t="e">
        <f>SUM(O19:O35)</f>
        <v>#REF!</v>
      </c>
      <c r="P36" s="126" t="e">
        <f>C313-O36</f>
        <v>#REF!</v>
      </c>
      <c r="Q36" s="126" t="e">
        <f>SUM(Q19:Q35)</f>
        <v>#REF!</v>
      </c>
    </row>
    <row r="37" spans="1:17" s="816" customFormat="1" ht="21.75" customHeight="1" x14ac:dyDescent="0.35">
      <c r="A37" s="783">
        <v>22</v>
      </c>
      <c r="B37" s="793" t="s">
        <v>225</v>
      </c>
      <c r="C37" s="137">
        <f>'inventory2020(FOR revised)'!C42</f>
        <v>4.01</v>
      </c>
      <c r="D37" s="814">
        <f>'[23]road inventory 2018'!C42</f>
        <v>3.9</v>
      </c>
      <c r="E37" s="785">
        <v>0</v>
      </c>
      <c r="F37" s="785">
        <v>0</v>
      </c>
      <c r="G37" s="785">
        <v>0</v>
      </c>
      <c r="H37" s="785">
        <v>4.01</v>
      </c>
      <c r="I37" s="785">
        <v>0</v>
      </c>
      <c r="J37" s="786" t="s">
        <v>12</v>
      </c>
      <c r="K37" s="787" t="s">
        <v>346</v>
      </c>
      <c r="L37" s="793"/>
      <c r="M37" s="789"/>
      <c r="N37" s="815"/>
    </row>
    <row r="38" spans="1:17" s="816" customFormat="1" ht="21.75" customHeight="1" x14ac:dyDescent="0.35">
      <c r="A38" s="783">
        <v>23</v>
      </c>
      <c r="B38" s="793" t="s">
        <v>237</v>
      </c>
      <c r="C38" s="137">
        <f>'inventory2020(FOR revised)'!C43</f>
        <v>4.42</v>
      </c>
      <c r="D38" s="814">
        <f>'[23]road inventory 2018'!C43</f>
        <v>4.3</v>
      </c>
      <c r="E38" s="785">
        <v>2.9</v>
      </c>
      <c r="F38" s="785">
        <v>0</v>
      </c>
      <c r="G38" s="785">
        <v>0</v>
      </c>
      <c r="H38" s="785">
        <v>1.52</v>
      </c>
      <c r="I38" s="785">
        <v>0</v>
      </c>
      <c r="J38" s="786" t="s">
        <v>12</v>
      </c>
      <c r="K38" s="787" t="s">
        <v>347</v>
      </c>
      <c r="L38" s="793"/>
      <c r="M38" s="789"/>
      <c r="N38" s="815"/>
    </row>
    <row r="39" spans="1:17" s="816" customFormat="1" ht="21.75" customHeight="1" x14ac:dyDescent="0.35">
      <c r="A39" s="783">
        <v>24</v>
      </c>
      <c r="B39" s="793" t="s">
        <v>236</v>
      </c>
      <c r="C39" s="137">
        <f>'inventory2020(FOR revised)'!C44</f>
        <v>8.25</v>
      </c>
      <c r="D39" s="814">
        <f>'[23]road inventory 2018'!C44</f>
        <v>7.5</v>
      </c>
      <c r="E39" s="785">
        <v>8.25</v>
      </c>
      <c r="F39" s="785">
        <v>0</v>
      </c>
      <c r="G39" s="785">
        <v>0</v>
      </c>
      <c r="H39" s="785">
        <v>0</v>
      </c>
      <c r="I39" s="785">
        <v>0</v>
      </c>
      <c r="J39" s="786" t="s">
        <v>10</v>
      </c>
      <c r="K39" s="787" t="s">
        <v>347</v>
      </c>
      <c r="L39" s="793"/>
      <c r="M39" s="789"/>
      <c r="N39" s="815"/>
    </row>
    <row r="40" spans="1:17" s="113" customFormat="1" ht="21.75" customHeight="1" x14ac:dyDescent="0.35">
      <c r="A40" s="135">
        <v>25</v>
      </c>
      <c r="B40" s="138" t="s">
        <v>30</v>
      </c>
      <c r="C40" s="137">
        <f>'inventory2020(FOR revised)'!C45</f>
        <v>0.88</v>
      </c>
      <c r="D40" s="137">
        <f>'[23]road inventory 2018'!C45</f>
        <v>1.7</v>
      </c>
      <c r="E40" s="137">
        <v>0</v>
      </c>
      <c r="F40" s="137">
        <v>0</v>
      </c>
      <c r="G40" s="137">
        <v>0</v>
      </c>
      <c r="H40" s="137">
        <v>0.88</v>
      </c>
      <c r="I40" s="137">
        <v>0</v>
      </c>
      <c r="J40" s="141" t="s">
        <v>12</v>
      </c>
      <c r="K40" s="796" t="s">
        <v>348</v>
      </c>
      <c r="L40" s="138" t="s">
        <v>833</v>
      </c>
      <c r="M40" s="118"/>
      <c r="N40" s="115" t="s">
        <v>349</v>
      </c>
    </row>
    <row r="41" spans="1:17" s="816" customFormat="1" ht="21.75" customHeight="1" x14ac:dyDescent="0.35">
      <c r="A41" s="783">
        <v>26</v>
      </c>
      <c r="B41" s="793" t="s">
        <v>350</v>
      </c>
      <c r="C41" s="137">
        <f>'inventory2020(FOR revised)'!C46</f>
        <v>6.0600000000000005</v>
      </c>
      <c r="D41" s="814">
        <f>'[23]road inventory 2018'!C46</f>
        <v>5.9</v>
      </c>
      <c r="E41" s="785">
        <v>2.85</v>
      </c>
      <c r="F41" s="785">
        <v>0</v>
      </c>
      <c r="G41" s="785">
        <v>0</v>
      </c>
      <c r="H41" s="785">
        <v>3.21</v>
      </c>
      <c r="I41" s="785">
        <v>0</v>
      </c>
      <c r="J41" s="793" t="s">
        <v>12</v>
      </c>
      <c r="K41" s="787" t="s">
        <v>348</v>
      </c>
      <c r="L41" s="793"/>
      <c r="M41" s="789"/>
      <c r="N41" s="815"/>
    </row>
    <row r="42" spans="1:17" s="816" customFormat="1" ht="21.75" customHeight="1" x14ac:dyDescent="0.35">
      <c r="A42" s="783">
        <v>27</v>
      </c>
      <c r="B42" s="793" t="s">
        <v>224</v>
      </c>
      <c r="C42" s="137">
        <f>'inventory2020(FOR revised)'!C47</f>
        <v>1.93</v>
      </c>
      <c r="D42" s="814">
        <f>'[23]road inventory 2018'!C47</f>
        <v>1.9</v>
      </c>
      <c r="E42" s="785">
        <v>0.28000000000000003</v>
      </c>
      <c r="F42" s="785">
        <v>0</v>
      </c>
      <c r="G42" s="785">
        <v>0</v>
      </c>
      <c r="H42" s="785">
        <v>1.65</v>
      </c>
      <c r="I42" s="785">
        <v>0</v>
      </c>
      <c r="J42" s="786" t="s">
        <v>12</v>
      </c>
      <c r="K42" s="787" t="s">
        <v>351</v>
      </c>
      <c r="L42" s="793"/>
      <c r="M42" s="789"/>
      <c r="N42" s="815"/>
    </row>
    <row r="43" spans="1:17" s="816" customFormat="1" ht="21.75" customHeight="1" x14ac:dyDescent="0.35">
      <c r="A43" s="783">
        <v>28</v>
      </c>
      <c r="B43" s="793" t="s">
        <v>233</v>
      </c>
      <c r="C43" s="137">
        <f>'inventory2020(FOR revised)'!C48</f>
        <v>5.62</v>
      </c>
      <c r="D43" s="814">
        <f>'[23]road inventory 2018'!C48</f>
        <v>5.6</v>
      </c>
      <c r="E43" s="785">
        <v>1.54</v>
      </c>
      <c r="F43" s="785">
        <v>0</v>
      </c>
      <c r="G43" s="785">
        <v>0</v>
      </c>
      <c r="H43" s="785">
        <v>4.08</v>
      </c>
      <c r="I43" s="785">
        <v>0</v>
      </c>
      <c r="J43" s="786" t="s">
        <v>10</v>
      </c>
      <c r="K43" s="787" t="s">
        <v>352</v>
      </c>
      <c r="L43" s="793"/>
      <c r="M43" s="789"/>
      <c r="N43" s="815"/>
    </row>
    <row r="44" spans="1:17" s="816" customFormat="1" ht="21.75" customHeight="1" x14ac:dyDescent="0.35">
      <c r="A44" s="783">
        <v>29</v>
      </c>
      <c r="B44" s="793" t="s">
        <v>239</v>
      </c>
      <c r="C44" s="137">
        <f>'inventory2020(FOR revised)'!C49</f>
        <v>0.86</v>
      </c>
      <c r="D44" s="814">
        <f>'[23]road inventory 2018'!C49</f>
        <v>0.8</v>
      </c>
      <c r="E44" s="785">
        <v>0.11</v>
      </c>
      <c r="F44" s="785">
        <v>0</v>
      </c>
      <c r="G44" s="785">
        <v>0</v>
      </c>
      <c r="H44" s="785">
        <v>0.75</v>
      </c>
      <c r="I44" s="785">
        <v>0</v>
      </c>
      <c r="J44" s="786" t="s">
        <v>12</v>
      </c>
      <c r="K44" s="787" t="s">
        <v>353</v>
      </c>
      <c r="L44" s="793"/>
      <c r="M44" s="789"/>
      <c r="N44" s="815"/>
    </row>
    <row r="45" spans="1:17" s="113" customFormat="1" ht="21.75" customHeight="1" x14ac:dyDescent="0.35">
      <c r="A45" s="135">
        <v>30</v>
      </c>
      <c r="B45" s="138" t="s">
        <v>354</v>
      </c>
      <c r="C45" s="137">
        <f>'inventory2020(FOR revised)'!C50</f>
        <v>2</v>
      </c>
      <c r="D45" s="814">
        <f>'[23]road inventory 2018'!C50</f>
        <v>2</v>
      </c>
      <c r="E45" s="137">
        <v>1.5</v>
      </c>
      <c r="F45" s="137">
        <v>0</v>
      </c>
      <c r="G45" s="137">
        <v>0</v>
      </c>
      <c r="H45" s="137">
        <v>0.5</v>
      </c>
      <c r="I45" s="137">
        <v>0</v>
      </c>
      <c r="J45" s="141" t="s">
        <v>10</v>
      </c>
      <c r="K45" s="796" t="s">
        <v>355</v>
      </c>
      <c r="L45" s="138" t="s">
        <v>356</v>
      </c>
      <c r="M45" s="118"/>
      <c r="N45" s="115" t="s">
        <v>357</v>
      </c>
    </row>
    <row r="46" spans="1:17" s="816" customFormat="1" ht="21.75" customHeight="1" x14ac:dyDescent="0.35">
      <c r="A46" s="783">
        <v>106</v>
      </c>
      <c r="B46" s="793" t="s">
        <v>238</v>
      </c>
      <c r="C46" s="137">
        <f>'inventory2020(FOR revised)'!C51</f>
        <v>3.21</v>
      </c>
      <c r="D46" s="814">
        <f>'[23]road inventory 2018'!C51</f>
        <v>3.2</v>
      </c>
      <c r="E46" s="785">
        <v>3.21</v>
      </c>
      <c r="F46" s="785">
        <v>0</v>
      </c>
      <c r="G46" s="785">
        <v>0</v>
      </c>
      <c r="H46" s="785">
        <v>0</v>
      </c>
      <c r="I46" s="785">
        <v>0</v>
      </c>
      <c r="J46" s="786" t="s">
        <v>10</v>
      </c>
      <c r="K46" s="787" t="s">
        <v>358</v>
      </c>
      <c r="L46" s="793"/>
      <c r="M46" s="789"/>
      <c r="N46" s="815"/>
    </row>
    <row r="47" spans="1:17" s="816" customFormat="1" ht="21.75" customHeight="1" x14ac:dyDescent="0.35">
      <c r="A47" s="783">
        <v>31</v>
      </c>
      <c r="B47" s="793" t="s">
        <v>359</v>
      </c>
      <c r="C47" s="137">
        <f>'inventory2020(FOR revised)'!C52</f>
        <v>0.78</v>
      </c>
      <c r="D47" s="814">
        <f>'[23]road inventory 2018'!C52</f>
        <v>0.8</v>
      </c>
      <c r="E47" s="785">
        <v>0.78</v>
      </c>
      <c r="F47" s="785">
        <v>0</v>
      </c>
      <c r="G47" s="785">
        <v>0</v>
      </c>
      <c r="H47" s="785">
        <v>0</v>
      </c>
      <c r="I47" s="785">
        <v>0</v>
      </c>
      <c r="J47" s="786" t="s">
        <v>10</v>
      </c>
      <c r="K47" s="787" t="s">
        <v>360</v>
      </c>
      <c r="L47" s="793"/>
      <c r="M47" s="789"/>
      <c r="N47" s="815"/>
    </row>
    <row r="48" spans="1:17" s="113" customFormat="1" ht="21.75" customHeight="1" x14ac:dyDescent="0.35">
      <c r="A48" s="135">
        <v>34</v>
      </c>
      <c r="B48" s="138" t="s">
        <v>235</v>
      </c>
      <c r="C48" s="137">
        <f>'inventory2020(FOR revised)'!C55</f>
        <v>4.3099999999999996</v>
      </c>
      <c r="D48" s="814">
        <f>'[23]road inventory 2018'!C55</f>
        <v>4.2</v>
      </c>
      <c r="E48" s="137">
        <v>0</v>
      </c>
      <c r="F48" s="137">
        <v>0</v>
      </c>
      <c r="G48" s="137">
        <v>0</v>
      </c>
      <c r="H48" s="137">
        <v>4.3099999999999996</v>
      </c>
      <c r="I48" s="137">
        <v>0</v>
      </c>
      <c r="J48" s="141" t="s">
        <v>12</v>
      </c>
      <c r="K48" s="796" t="s">
        <v>363</v>
      </c>
      <c r="L48" s="138"/>
      <c r="M48" s="118"/>
      <c r="N48" s="115"/>
    </row>
    <row r="49" spans="1:14" s="816" customFormat="1" ht="21.75" customHeight="1" x14ac:dyDescent="0.35">
      <c r="A49" s="783">
        <v>35</v>
      </c>
      <c r="B49" s="793" t="s">
        <v>364</v>
      </c>
      <c r="C49" s="137">
        <f>'inventory2020(FOR revised)'!C56</f>
        <v>2.9699999999999998</v>
      </c>
      <c r="D49" s="814">
        <f>'[23]road inventory 2018'!C56</f>
        <v>3</v>
      </c>
      <c r="E49" s="785">
        <v>0.4</v>
      </c>
      <c r="F49" s="785">
        <v>0</v>
      </c>
      <c r="G49" s="785">
        <v>0</v>
      </c>
      <c r="H49" s="785">
        <v>2.57</v>
      </c>
      <c r="I49" s="785">
        <v>0</v>
      </c>
      <c r="J49" s="786" t="s">
        <v>12</v>
      </c>
      <c r="K49" s="787" t="s">
        <v>365</v>
      </c>
      <c r="L49" s="793"/>
      <c r="M49" s="789"/>
      <c r="N49" s="815"/>
    </row>
    <row r="50" spans="1:14" s="816" customFormat="1" ht="21.75" customHeight="1" x14ac:dyDescent="0.35">
      <c r="A50" s="783">
        <v>36</v>
      </c>
      <c r="B50" s="793" t="s">
        <v>366</v>
      </c>
      <c r="C50" s="137">
        <f>'inventory2020(FOR revised)'!C57</f>
        <v>6.01</v>
      </c>
      <c r="D50" s="814">
        <f>'[23]road inventory 2018'!C57</f>
        <v>6.2</v>
      </c>
      <c r="E50" s="785">
        <v>0</v>
      </c>
      <c r="F50" s="785">
        <v>0</v>
      </c>
      <c r="G50" s="785">
        <v>0</v>
      </c>
      <c r="H50" s="785">
        <v>6.01</v>
      </c>
      <c r="I50" s="785">
        <v>0</v>
      </c>
      <c r="J50" s="786" t="s">
        <v>12</v>
      </c>
      <c r="K50" s="787" t="s">
        <v>367</v>
      </c>
      <c r="L50" s="793"/>
      <c r="M50" s="789"/>
      <c r="N50" s="815"/>
    </row>
    <row r="51" spans="1:14" s="816" customFormat="1" ht="21.75" customHeight="1" x14ac:dyDescent="0.35">
      <c r="A51" s="783">
        <v>37</v>
      </c>
      <c r="B51" s="793" t="s">
        <v>234</v>
      </c>
      <c r="C51" s="137">
        <f>'inventory2020(FOR revised)'!C58</f>
        <v>1.6</v>
      </c>
      <c r="D51" s="814">
        <f>'[23]road inventory 2018'!C58</f>
        <v>1.6</v>
      </c>
      <c r="E51" s="785">
        <v>0</v>
      </c>
      <c r="F51" s="785">
        <v>0</v>
      </c>
      <c r="G51" s="785">
        <v>0</v>
      </c>
      <c r="H51" s="785">
        <v>1.6</v>
      </c>
      <c r="I51" s="785">
        <v>0</v>
      </c>
      <c r="J51" s="786" t="s">
        <v>12</v>
      </c>
      <c r="K51" s="787" t="s">
        <v>368</v>
      </c>
      <c r="L51" s="793"/>
      <c r="M51" s="789"/>
      <c r="N51" s="815"/>
    </row>
    <row r="52" spans="1:14" s="824" customFormat="1" ht="21.75" customHeight="1" x14ac:dyDescent="0.35">
      <c r="A52" s="817">
        <v>38</v>
      </c>
      <c r="B52" s="818" t="s">
        <v>36</v>
      </c>
      <c r="C52" s="819">
        <f>'inventory2020(FOR revised)'!C59</f>
        <v>3.9</v>
      </c>
      <c r="D52" s="819">
        <f>'[23]road inventory 2018'!C59</f>
        <v>4.4000000000000004</v>
      </c>
      <c r="E52" s="819">
        <v>1.504</v>
      </c>
      <c r="F52" s="819">
        <v>0</v>
      </c>
      <c r="G52" s="819">
        <v>0</v>
      </c>
      <c r="H52" s="819">
        <v>2.3959999999999999</v>
      </c>
      <c r="I52" s="819">
        <v>0</v>
      </c>
      <c r="J52" s="820" t="s">
        <v>12</v>
      </c>
      <c r="K52" s="821" t="s">
        <v>369</v>
      </c>
      <c r="L52" s="818"/>
      <c r="M52" s="822"/>
      <c r="N52" s="823"/>
    </row>
    <row r="53" spans="1:14" s="816" customFormat="1" ht="21.75" customHeight="1" x14ac:dyDescent="0.35">
      <c r="A53" s="783">
        <v>39</v>
      </c>
      <c r="B53" s="793" t="s">
        <v>370</v>
      </c>
      <c r="C53" s="137">
        <f>'inventory2020(FOR revised)'!C60</f>
        <v>4.9400000000000004</v>
      </c>
      <c r="D53" s="814">
        <f>'[23]road inventory 2018'!C60</f>
        <v>4.9000000000000004</v>
      </c>
      <c r="E53" s="785">
        <v>0</v>
      </c>
      <c r="F53" s="785">
        <v>0</v>
      </c>
      <c r="G53" s="785">
        <v>0</v>
      </c>
      <c r="H53" s="785">
        <v>4.9400000000000004</v>
      </c>
      <c r="I53" s="785">
        <v>0</v>
      </c>
      <c r="J53" s="786" t="s">
        <v>12</v>
      </c>
      <c r="K53" s="787" t="s">
        <v>371</v>
      </c>
      <c r="L53" s="793"/>
      <c r="M53" s="789"/>
      <c r="N53" s="815"/>
    </row>
    <row r="54" spans="1:14" s="816" customFormat="1" ht="21.75" customHeight="1" x14ac:dyDescent="0.35">
      <c r="A54" s="783">
        <v>105</v>
      </c>
      <c r="B54" s="793" t="s">
        <v>228</v>
      </c>
      <c r="C54" s="137">
        <f>'inventory2020(FOR revised)'!C61</f>
        <v>3.65</v>
      </c>
      <c r="D54" s="814">
        <f>'[23]road inventory 2018'!C61</f>
        <v>3.6</v>
      </c>
      <c r="E54" s="785">
        <v>0</v>
      </c>
      <c r="F54" s="785">
        <v>0</v>
      </c>
      <c r="G54" s="785">
        <v>0</v>
      </c>
      <c r="H54" s="785">
        <v>3.65</v>
      </c>
      <c r="I54" s="785">
        <v>0</v>
      </c>
      <c r="J54" s="786" t="s">
        <v>12</v>
      </c>
      <c r="K54" s="787" t="s">
        <v>372</v>
      </c>
      <c r="L54" s="793"/>
      <c r="M54" s="789"/>
      <c r="N54" s="815"/>
    </row>
    <row r="55" spans="1:14" s="816" customFormat="1" ht="21.75" customHeight="1" x14ac:dyDescent="0.35">
      <c r="A55" s="783">
        <v>42</v>
      </c>
      <c r="B55" s="793" t="s">
        <v>227</v>
      </c>
      <c r="C55" s="137">
        <f>'inventory2020(FOR revised)'!C64</f>
        <v>1.5</v>
      </c>
      <c r="D55" s="814">
        <f>'[23]road inventory 2018'!C64</f>
        <v>1.5</v>
      </c>
      <c r="E55" s="785">
        <v>0</v>
      </c>
      <c r="F55" s="785">
        <v>0</v>
      </c>
      <c r="G55" s="785">
        <v>0</v>
      </c>
      <c r="H55" s="785">
        <v>1.5</v>
      </c>
      <c r="I55" s="785">
        <v>0</v>
      </c>
      <c r="J55" s="786" t="s">
        <v>12</v>
      </c>
      <c r="K55" s="787" t="s">
        <v>375</v>
      </c>
      <c r="L55" s="793"/>
      <c r="M55" s="789"/>
      <c r="N55" s="815"/>
    </row>
    <row r="56" spans="1:14" s="816" customFormat="1" ht="21.75" customHeight="1" x14ac:dyDescent="0.35">
      <c r="A56" s="783">
        <v>104</v>
      </c>
      <c r="B56" s="793" t="s">
        <v>240</v>
      </c>
      <c r="C56" s="137">
        <f>'inventory2020(FOR revised)'!C67</f>
        <v>3.13</v>
      </c>
      <c r="D56" s="814">
        <f>'[23]road inventory 2018'!C67</f>
        <v>3.1</v>
      </c>
      <c r="E56" s="785">
        <v>0</v>
      </c>
      <c r="F56" s="785">
        <v>0</v>
      </c>
      <c r="G56" s="785">
        <v>0</v>
      </c>
      <c r="H56" s="785">
        <v>3.13</v>
      </c>
      <c r="I56" s="785">
        <v>0</v>
      </c>
      <c r="J56" s="786" t="s">
        <v>12</v>
      </c>
      <c r="K56" s="787" t="s">
        <v>379</v>
      </c>
      <c r="L56" s="793"/>
      <c r="M56" s="789"/>
      <c r="N56" s="815"/>
    </row>
    <row r="57" spans="1:14" s="816" customFormat="1" ht="21.75" customHeight="1" x14ac:dyDescent="0.35">
      <c r="A57" s="825"/>
      <c r="B57" s="826"/>
      <c r="C57" s="827">
        <f t="shared" ref="C57:I57" si="2">SUM(C36:C56)</f>
        <v>74.349999999999994</v>
      </c>
      <c r="D57" s="828">
        <f t="shared" si="2"/>
        <v>74.399999999999991</v>
      </c>
      <c r="E57" s="827">
        <f t="shared" si="2"/>
        <v>27.434000000000001</v>
      </c>
      <c r="F57" s="827">
        <f t="shared" si="2"/>
        <v>0</v>
      </c>
      <c r="G57" s="827">
        <f t="shared" si="2"/>
        <v>0</v>
      </c>
      <c r="H57" s="827">
        <f t="shared" si="2"/>
        <v>46.916000000000004</v>
      </c>
      <c r="I57" s="827">
        <f t="shared" si="2"/>
        <v>0</v>
      </c>
      <c r="J57" s="829"/>
      <c r="K57" s="830"/>
      <c r="L57" s="793"/>
      <c r="M57" s="789"/>
      <c r="N57" s="815"/>
    </row>
    <row r="58" spans="1:14" s="113" customFormat="1" ht="21.75" customHeight="1" thickBot="1" x14ac:dyDescent="0.4">
      <c r="A58" s="831" t="s">
        <v>341</v>
      </c>
      <c r="B58" s="832"/>
      <c r="C58" s="215">
        <f>SUM(E58:I58)</f>
        <v>74.350000000000009</v>
      </c>
      <c r="D58" s="833"/>
      <c r="E58" s="215">
        <f>SUM(E36:E56)</f>
        <v>27.434000000000001</v>
      </c>
      <c r="F58" s="215">
        <f>SUM(F36:F56)</f>
        <v>0</v>
      </c>
      <c r="G58" s="215">
        <f>SUM(G36:G56)</f>
        <v>0</v>
      </c>
      <c r="H58" s="215">
        <f>SUM(H36:H56)</f>
        <v>46.916000000000004</v>
      </c>
      <c r="I58" s="215">
        <f>SUM(I36:I56)</f>
        <v>0</v>
      </c>
      <c r="J58" s="216"/>
      <c r="K58" s="217"/>
      <c r="L58" s="258"/>
      <c r="M58" s="125"/>
      <c r="N58" s="115"/>
    </row>
    <row r="59" spans="1:14" s="113" customFormat="1" ht="21.75" customHeight="1" x14ac:dyDescent="0.35">
      <c r="A59" s="1260" t="s">
        <v>380</v>
      </c>
      <c r="B59" s="1261"/>
      <c r="C59" s="1261"/>
      <c r="D59" s="1261"/>
      <c r="E59" s="1261"/>
      <c r="F59" s="1261"/>
      <c r="G59" s="1261"/>
      <c r="H59" s="1261"/>
      <c r="I59" s="1261"/>
      <c r="J59" s="1261"/>
      <c r="K59" s="1261"/>
      <c r="L59" s="1276"/>
      <c r="M59" s="777"/>
      <c r="N59" s="115"/>
    </row>
    <row r="60" spans="1:14" s="113" customFormat="1" ht="21.75" customHeight="1" thickBot="1" x14ac:dyDescent="0.4">
      <c r="A60" s="229"/>
      <c r="B60" s="118"/>
      <c r="C60" s="778"/>
      <c r="D60" s="779"/>
      <c r="E60" s="778"/>
      <c r="F60" s="778"/>
      <c r="G60" s="778"/>
      <c r="H60" s="778"/>
      <c r="I60" s="778"/>
      <c r="J60" s="116"/>
      <c r="K60" s="125"/>
      <c r="L60" s="834"/>
      <c r="M60" s="125"/>
      <c r="N60" s="115"/>
    </row>
    <row r="61" spans="1:14" s="113" customFormat="1" ht="21.75" customHeight="1" x14ac:dyDescent="0.35">
      <c r="A61" s="1263" t="s">
        <v>302</v>
      </c>
      <c r="B61" s="1265" t="s">
        <v>28</v>
      </c>
      <c r="C61" s="1267" t="s">
        <v>343</v>
      </c>
      <c r="D61" s="812"/>
      <c r="E61" s="1271" t="s">
        <v>305</v>
      </c>
      <c r="F61" s="1271"/>
      <c r="G61" s="1271"/>
      <c r="H61" s="1271"/>
      <c r="I61" s="1271"/>
      <c r="J61" s="1265" t="s">
        <v>29</v>
      </c>
      <c r="K61" s="1272" t="s">
        <v>306</v>
      </c>
      <c r="L61" s="1277" t="s">
        <v>307</v>
      </c>
      <c r="M61" s="781"/>
      <c r="N61" s="115"/>
    </row>
    <row r="62" spans="1:14" s="113" customFormat="1" ht="21.75" customHeight="1" thickBot="1" x14ac:dyDescent="0.4">
      <c r="A62" s="1264"/>
      <c r="B62" s="1266"/>
      <c r="C62" s="1268"/>
      <c r="D62" s="813"/>
      <c r="E62" s="782" t="s">
        <v>308</v>
      </c>
      <c r="F62" s="782" t="s">
        <v>309</v>
      </c>
      <c r="G62" s="782" t="s">
        <v>310</v>
      </c>
      <c r="H62" s="782" t="s">
        <v>311</v>
      </c>
      <c r="I62" s="782" t="s">
        <v>312</v>
      </c>
      <c r="J62" s="1266"/>
      <c r="K62" s="1273"/>
      <c r="L62" s="1278"/>
      <c r="M62" s="781"/>
      <c r="N62" s="115"/>
    </row>
    <row r="63" spans="1:14" s="816" customFormat="1" ht="21.75" customHeight="1" x14ac:dyDescent="0.35">
      <c r="A63" s="783">
        <v>107</v>
      </c>
      <c r="B63" s="793" t="s">
        <v>381</v>
      </c>
      <c r="C63" s="785">
        <f>'inventory2020(FOR revised)'!C74</f>
        <v>2.59</v>
      </c>
      <c r="D63" s="835">
        <f>'[23]road inventory 2018'!C73</f>
        <v>2.5</v>
      </c>
      <c r="E63" s="836">
        <v>1.07</v>
      </c>
      <c r="F63" s="836">
        <v>0</v>
      </c>
      <c r="G63" s="836">
        <v>0</v>
      </c>
      <c r="H63" s="785">
        <v>1.52</v>
      </c>
      <c r="I63" s="785">
        <v>0</v>
      </c>
      <c r="J63" s="786" t="s">
        <v>12</v>
      </c>
      <c r="K63" s="787" t="s">
        <v>382</v>
      </c>
      <c r="L63" s="788"/>
      <c r="M63" s="789"/>
      <c r="N63" s="815"/>
    </row>
    <row r="64" spans="1:14" s="816" customFormat="1" ht="21.75" customHeight="1" x14ac:dyDescent="0.35">
      <c r="A64" s="783">
        <v>102</v>
      </c>
      <c r="B64" s="793" t="s">
        <v>242</v>
      </c>
      <c r="C64" s="785">
        <f>'inventory2020(FOR revised)'!C75</f>
        <v>1.33</v>
      </c>
      <c r="D64" s="835">
        <f>'[23]road inventory 2018'!C74</f>
        <v>1.3</v>
      </c>
      <c r="E64" s="836">
        <v>0</v>
      </c>
      <c r="F64" s="836">
        <v>0</v>
      </c>
      <c r="G64" s="836">
        <v>0</v>
      </c>
      <c r="H64" s="785">
        <v>1.33</v>
      </c>
      <c r="I64" s="785">
        <v>0</v>
      </c>
      <c r="J64" s="786" t="s">
        <v>12</v>
      </c>
      <c r="K64" s="787" t="s">
        <v>383</v>
      </c>
      <c r="L64" s="793"/>
      <c r="M64" s="789"/>
      <c r="N64" s="815"/>
    </row>
    <row r="65" spans="1:14" s="816" customFormat="1" ht="21.75" customHeight="1" x14ac:dyDescent="0.35">
      <c r="A65" s="783">
        <v>47</v>
      </c>
      <c r="B65" s="793" t="s">
        <v>38</v>
      </c>
      <c r="C65" s="785">
        <f>'inventory2020(FOR revised)'!C77</f>
        <v>17.2</v>
      </c>
      <c r="D65" s="835">
        <f>'[23]road inventory 2018'!C76</f>
        <v>17</v>
      </c>
      <c r="E65" s="785">
        <v>0.27</v>
      </c>
      <c r="F65" s="836">
        <v>0</v>
      </c>
      <c r="G65" s="836">
        <v>0</v>
      </c>
      <c r="H65" s="785">
        <v>16.93</v>
      </c>
      <c r="I65" s="785">
        <v>0</v>
      </c>
      <c r="J65" s="786" t="s">
        <v>12</v>
      </c>
      <c r="K65" s="787" t="s">
        <v>387</v>
      </c>
      <c r="L65" s="793"/>
      <c r="M65" s="789"/>
      <c r="N65" s="815"/>
    </row>
    <row r="66" spans="1:14" s="816" customFormat="1" ht="21.75" customHeight="1" x14ac:dyDescent="0.35">
      <c r="A66" s="783">
        <v>48</v>
      </c>
      <c r="B66" s="793" t="s">
        <v>388</v>
      </c>
      <c r="C66" s="785">
        <f>'inventory2020(FOR revised)'!C78</f>
        <v>2.63</v>
      </c>
      <c r="D66" s="835">
        <f>'[23]road inventory 2018'!C77</f>
        <v>2.6</v>
      </c>
      <c r="E66" s="836">
        <v>0</v>
      </c>
      <c r="F66" s="836">
        <v>0</v>
      </c>
      <c r="G66" s="836">
        <v>0</v>
      </c>
      <c r="H66" s="785">
        <v>2.63</v>
      </c>
      <c r="I66" s="785">
        <v>0</v>
      </c>
      <c r="J66" s="786" t="s">
        <v>12</v>
      </c>
      <c r="K66" s="787" t="s">
        <v>389</v>
      </c>
      <c r="L66" s="793"/>
      <c r="M66" s="789"/>
      <c r="N66" s="815"/>
    </row>
    <row r="67" spans="1:14" s="816" customFormat="1" ht="21.75" customHeight="1" x14ac:dyDescent="0.35">
      <c r="A67" s="783">
        <v>90</v>
      </c>
      <c r="B67" s="793" t="s">
        <v>390</v>
      </c>
      <c r="C67" s="785">
        <f>'inventory2020(FOR revised)'!C79</f>
        <v>4.2699999999999996</v>
      </c>
      <c r="D67" s="835">
        <f>'[23]road inventory 2018'!C78</f>
        <v>4.3499999999999996</v>
      </c>
      <c r="E67" s="836">
        <v>0</v>
      </c>
      <c r="F67" s="836">
        <v>0</v>
      </c>
      <c r="G67" s="836">
        <v>0</v>
      </c>
      <c r="H67" s="785">
        <v>4.2699999999999996</v>
      </c>
      <c r="I67" s="785">
        <v>0</v>
      </c>
      <c r="J67" s="786" t="s">
        <v>12</v>
      </c>
      <c r="K67" s="787" t="s">
        <v>391</v>
      </c>
      <c r="L67" s="793"/>
      <c r="M67" s="789"/>
      <c r="N67" s="815"/>
    </row>
    <row r="68" spans="1:14" s="824" customFormat="1" ht="21.75" customHeight="1" x14ac:dyDescent="0.35">
      <c r="A68" s="817">
        <v>99</v>
      </c>
      <c r="B68" s="818" t="s">
        <v>392</v>
      </c>
      <c r="C68" s="819">
        <f>'inventory2020(FOR revised)'!C80</f>
        <v>14.139999999999999</v>
      </c>
      <c r="D68" s="837">
        <f>'[23]road inventory 2018'!C79</f>
        <v>14.1</v>
      </c>
      <c r="E68" s="819">
        <v>2.1</v>
      </c>
      <c r="F68" s="819">
        <v>0</v>
      </c>
      <c r="G68" s="819">
        <v>0</v>
      </c>
      <c r="H68" s="819">
        <v>12.04</v>
      </c>
      <c r="I68" s="819">
        <v>0</v>
      </c>
      <c r="J68" s="820" t="s">
        <v>12</v>
      </c>
      <c r="K68" s="821" t="s">
        <v>393</v>
      </c>
      <c r="L68" s="818"/>
      <c r="M68" s="822"/>
      <c r="N68" s="823"/>
    </row>
    <row r="69" spans="1:14" s="113" customFormat="1" ht="21.75" customHeight="1" x14ac:dyDescent="0.35">
      <c r="A69" s="838"/>
      <c r="B69" s="839"/>
      <c r="C69" s="840">
        <f t="shared" ref="C69:H69" si="3">SUM(C63:C68)</f>
        <v>42.16</v>
      </c>
      <c r="D69" s="841">
        <f t="shared" si="3"/>
        <v>41.85</v>
      </c>
      <c r="E69" s="840">
        <f t="shared" si="3"/>
        <v>3.4400000000000004</v>
      </c>
      <c r="F69" s="840">
        <f t="shared" si="3"/>
        <v>0</v>
      </c>
      <c r="G69" s="840">
        <f t="shared" si="3"/>
        <v>0</v>
      </c>
      <c r="H69" s="840">
        <f t="shared" si="3"/>
        <v>38.72</v>
      </c>
      <c r="I69" s="840"/>
      <c r="J69" s="804"/>
      <c r="K69" s="805"/>
      <c r="L69" s="138"/>
      <c r="M69" s="118"/>
      <c r="N69" s="115"/>
    </row>
    <row r="70" spans="1:14" s="113" customFormat="1" ht="21.75" customHeight="1" thickBot="1" x14ac:dyDescent="0.4">
      <c r="A70" s="831" t="s">
        <v>341</v>
      </c>
      <c r="B70" s="832"/>
      <c r="C70" s="215">
        <f>SUM(E70:I70)</f>
        <v>42.16</v>
      </c>
      <c r="D70" s="833"/>
      <c r="E70" s="215">
        <f>SUM(E63:E68)</f>
        <v>3.4400000000000004</v>
      </c>
      <c r="F70" s="215">
        <f>SUM(F63:F68)</f>
        <v>0</v>
      </c>
      <c r="G70" s="215">
        <f>SUM(G63:G68)</f>
        <v>0</v>
      </c>
      <c r="H70" s="215">
        <f>SUM(H63:H68)</f>
        <v>38.72</v>
      </c>
      <c r="I70" s="215">
        <f>SUM(I63:I68)</f>
        <v>0</v>
      </c>
      <c r="J70" s="216"/>
      <c r="K70" s="217"/>
      <c r="L70" s="258"/>
      <c r="M70" s="125"/>
      <c r="N70" s="115"/>
    </row>
    <row r="71" spans="1:14" s="113" customFormat="1" ht="21.75" customHeight="1" thickBot="1" x14ac:dyDescent="0.4">
      <c r="A71" s="114"/>
      <c r="B71" s="196"/>
      <c r="C71" s="126"/>
      <c r="D71" s="810"/>
      <c r="E71" s="126"/>
      <c r="F71" s="126"/>
      <c r="G71" s="126"/>
      <c r="H71" s="126"/>
      <c r="I71" s="126"/>
      <c r="K71" s="125"/>
      <c r="L71" s="811"/>
      <c r="M71" s="125"/>
      <c r="N71" s="115"/>
    </row>
    <row r="72" spans="1:14" s="113" customFormat="1" ht="21.75" customHeight="1" x14ac:dyDescent="0.35">
      <c r="A72" s="1260" t="s">
        <v>394</v>
      </c>
      <c r="B72" s="1261"/>
      <c r="C72" s="1261"/>
      <c r="D72" s="1261"/>
      <c r="E72" s="1261"/>
      <c r="F72" s="1261"/>
      <c r="G72" s="1261"/>
      <c r="H72" s="1261"/>
      <c r="I72" s="1261"/>
      <c r="J72" s="1261"/>
      <c r="K72" s="1261"/>
      <c r="L72" s="1276"/>
      <c r="M72" s="777"/>
      <c r="N72" s="115"/>
    </row>
    <row r="73" spans="1:14" s="113" customFormat="1" ht="21.75" customHeight="1" thickBot="1" x14ac:dyDescent="0.4">
      <c r="A73" s="229"/>
      <c r="B73" s="118"/>
      <c r="C73" s="778"/>
      <c r="D73" s="779"/>
      <c r="E73" s="778"/>
      <c r="F73" s="778"/>
      <c r="G73" s="778"/>
      <c r="H73" s="778"/>
      <c r="I73" s="778"/>
      <c r="J73" s="116"/>
      <c r="K73" s="125"/>
      <c r="L73" s="842"/>
      <c r="M73" s="125"/>
      <c r="N73" s="115"/>
    </row>
    <row r="74" spans="1:14" s="113" customFormat="1" ht="21.75" customHeight="1" x14ac:dyDescent="0.35">
      <c r="A74" s="1263" t="s">
        <v>302</v>
      </c>
      <c r="B74" s="1265" t="s">
        <v>28</v>
      </c>
      <c r="C74" s="1267" t="s">
        <v>343</v>
      </c>
      <c r="D74" s="812"/>
      <c r="E74" s="1271" t="s">
        <v>305</v>
      </c>
      <c r="F74" s="1271"/>
      <c r="G74" s="1271"/>
      <c r="H74" s="1271"/>
      <c r="I74" s="1271"/>
      <c r="J74" s="1265" t="s">
        <v>29</v>
      </c>
      <c r="K74" s="1272" t="s">
        <v>306</v>
      </c>
      <c r="L74" s="1277" t="s">
        <v>307</v>
      </c>
      <c r="M74" s="781"/>
      <c r="N74" s="115"/>
    </row>
    <row r="75" spans="1:14" s="113" customFormat="1" ht="21.75" customHeight="1" thickBot="1" x14ac:dyDescent="0.4">
      <c r="A75" s="1264"/>
      <c r="B75" s="1266"/>
      <c r="C75" s="1268"/>
      <c r="D75" s="813"/>
      <c r="E75" s="782" t="s">
        <v>308</v>
      </c>
      <c r="F75" s="782" t="s">
        <v>309</v>
      </c>
      <c r="G75" s="782" t="s">
        <v>310</v>
      </c>
      <c r="H75" s="782" t="s">
        <v>311</v>
      </c>
      <c r="I75" s="782" t="s">
        <v>312</v>
      </c>
      <c r="J75" s="1266"/>
      <c r="K75" s="1273"/>
      <c r="L75" s="1278"/>
      <c r="M75" s="781"/>
      <c r="N75" s="115"/>
    </row>
    <row r="76" spans="1:14" s="847" customFormat="1" ht="21.75" customHeight="1" x14ac:dyDescent="0.35">
      <c r="A76" s="843">
        <v>108</v>
      </c>
      <c r="B76" s="793" t="s">
        <v>395</v>
      </c>
      <c r="C76" s="844">
        <f>'inventory2020(FOR revised)'!C88</f>
        <v>3.28</v>
      </c>
      <c r="D76" s="845">
        <f>'[23]road inventory 2018'!C86</f>
        <v>3.1</v>
      </c>
      <c r="E76" s="844">
        <v>0.48</v>
      </c>
      <c r="F76" s="844">
        <v>0</v>
      </c>
      <c r="G76" s="844">
        <v>0</v>
      </c>
      <c r="H76" s="784">
        <v>2.8</v>
      </c>
      <c r="I76" s="784">
        <v>0</v>
      </c>
      <c r="J76" s="793" t="s">
        <v>12</v>
      </c>
      <c r="K76" s="787" t="s">
        <v>396</v>
      </c>
      <c r="L76" s="788"/>
      <c r="M76" s="789"/>
      <c r="N76" s="846"/>
    </row>
    <row r="77" spans="1:14" s="113" customFormat="1" ht="21.75" customHeight="1" thickBot="1" x14ac:dyDescent="0.4">
      <c r="A77" s="831" t="s">
        <v>341</v>
      </c>
      <c r="B77" s="832"/>
      <c r="C77" s="215">
        <f>SUM(C76:C76)</f>
        <v>3.28</v>
      </c>
      <c r="D77" s="833"/>
      <c r="E77" s="215">
        <f>SUM(E76:E76)</f>
        <v>0.48</v>
      </c>
      <c r="F77" s="215">
        <f>SUM(F76:F76)</f>
        <v>0</v>
      </c>
      <c r="G77" s="215">
        <f>SUM(G76:G76)</f>
        <v>0</v>
      </c>
      <c r="H77" s="215">
        <f>SUM(H76:H76)</f>
        <v>2.8</v>
      </c>
      <c r="I77" s="215">
        <f>SUM(I76:I76)</f>
        <v>0</v>
      </c>
      <c r="J77" s="848"/>
      <c r="K77" s="849"/>
      <c r="L77" s="839"/>
      <c r="M77" s="118"/>
      <c r="N77" s="115"/>
    </row>
    <row r="78" spans="1:14" s="113" customFormat="1" ht="21.75" customHeight="1" thickBot="1" x14ac:dyDescent="0.4">
      <c r="A78" s="117"/>
      <c r="B78" s="134"/>
      <c r="C78" s="140"/>
      <c r="D78" s="754"/>
      <c r="E78" s="140"/>
      <c r="F78" s="140"/>
      <c r="G78" s="140"/>
      <c r="H78" s="140"/>
      <c r="I78" s="140"/>
      <c r="J78" s="116"/>
      <c r="K78" s="118"/>
      <c r="L78" s="850"/>
      <c r="M78" s="118"/>
      <c r="N78" s="115"/>
    </row>
    <row r="79" spans="1:14" s="113" customFormat="1" ht="21.75" customHeight="1" x14ac:dyDescent="0.35">
      <c r="A79" s="1260" t="s">
        <v>397</v>
      </c>
      <c r="B79" s="1261"/>
      <c r="C79" s="1261"/>
      <c r="D79" s="1261"/>
      <c r="E79" s="1261"/>
      <c r="F79" s="1261"/>
      <c r="G79" s="1261"/>
      <c r="H79" s="1261"/>
      <c r="I79" s="1261"/>
      <c r="J79" s="1261"/>
      <c r="K79" s="1261"/>
      <c r="L79" s="1276"/>
      <c r="M79" s="777"/>
      <c r="N79" s="115"/>
    </row>
    <row r="80" spans="1:14" s="113" customFormat="1" ht="21.75" customHeight="1" thickBot="1" x14ac:dyDescent="0.4">
      <c r="A80" s="229"/>
      <c r="B80" s="118"/>
      <c r="C80" s="778"/>
      <c r="D80" s="779"/>
      <c r="E80" s="778"/>
      <c r="F80" s="778"/>
      <c r="G80" s="778"/>
      <c r="H80" s="778"/>
      <c r="I80" s="778"/>
      <c r="J80" s="116"/>
      <c r="K80" s="125"/>
      <c r="L80" s="258"/>
      <c r="M80" s="125"/>
      <c r="N80" s="115"/>
    </row>
    <row r="81" spans="1:14" s="113" customFormat="1" ht="21.75" customHeight="1" x14ac:dyDescent="0.35">
      <c r="A81" s="1263" t="s">
        <v>302</v>
      </c>
      <c r="B81" s="1265" t="s">
        <v>28</v>
      </c>
      <c r="C81" s="1267" t="s">
        <v>343</v>
      </c>
      <c r="D81" s="812"/>
      <c r="E81" s="1271" t="s">
        <v>305</v>
      </c>
      <c r="F81" s="1271"/>
      <c r="G81" s="1271"/>
      <c r="H81" s="1271"/>
      <c r="I81" s="1271"/>
      <c r="J81" s="1265" t="s">
        <v>29</v>
      </c>
      <c r="K81" s="1272" t="s">
        <v>306</v>
      </c>
      <c r="L81" s="1277" t="s">
        <v>307</v>
      </c>
      <c r="M81" s="781"/>
      <c r="N81" s="115"/>
    </row>
    <row r="82" spans="1:14" s="113" customFormat="1" ht="21.75" customHeight="1" thickBot="1" x14ac:dyDescent="0.4">
      <c r="A82" s="1264"/>
      <c r="B82" s="1266"/>
      <c r="C82" s="1268"/>
      <c r="D82" s="813"/>
      <c r="E82" s="782" t="s">
        <v>308</v>
      </c>
      <c r="F82" s="782" t="s">
        <v>309</v>
      </c>
      <c r="G82" s="782" t="s">
        <v>310</v>
      </c>
      <c r="H82" s="782" t="s">
        <v>311</v>
      </c>
      <c r="I82" s="782" t="s">
        <v>312</v>
      </c>
      <c r="J82" s="1266"/>
      <c r="K82" s="1273"/>
      <c r="L82" s="1278"/>
      <c r="M82" s="781"/>
      <c r="N82" s="115"/>
    </row>
    <row r="83" spans="1:14" s="824" customFormat="1" ht="21.75" customHeight="1" x14ac:dyDescent="0.35">
      <c r="A83" s="817">
        <v>224</v>
      </c>
      <c r="B83" s="818" t="s">
        <v>44</v>
      </c>
      <c r="C83" s="819">
        <f>'inventory2020(FOR revised)'!C96</f>
        <v>7.24</v>
      </c>
      <c r="D83" s="837">
        <f>'[23]road inventory 2018'!C94</f>
        <v>7.2</v>
      </c>
      <c r="E83" s="819">
        <v>1.98</v>
      </c>
      <c r="F83" s="819">
        <v>0</v>
      </c>
      <c r="G83" s="819">
        <v>0</v>
      </c>
      <c r="H83" s="819">
        <v>5.26</v>
      </c>
      <c r="I83" s="819">
        <v>0</v>
      </c>
      <c r="J83" s="820" t="s">
        <v>12</v>
      </c>
      <c r="K83" s="821" t="s">
        <v>399</v>
      </c>
      <c r="L83" s="818"/>
      <c r="M83" s="822"/>
      <c r="N83" s="823"/>
    </row>
    <row r="84" spans="1:14" s="816" customFormat="1" ht="21.75" customHeight="1" x14ac:dyDescent="0.35">
      <c r="A84" s="783">
        <v>217</v>
      </c>
      <c r="B84" s="793" t="s">
        <v>243</v>
      </c>
      <c r="C84" s="137">
        <f>'inventory2020(FOR revised)'!C98</f>
        <v>1.1399999999999999</v>
      </c>
      <c r="D84" s="814">
        <f>'[23]road inventory 2018'!C96</f>
        <v>1.1000000000000001</v>
      </c>
      <c r="E84" s="785">
        <v>1.1399999999999999</v>
      </c>
      <c r="F84" s="785">
        <v>0</v>
      </c>
      <c r="G84" s="785">
        <v>0</v>
      </c>
      <c r="H84" s="785">
        <v>0</v>
      </c>
      <c r="I84" s="785">
        <v>0</v>
      </c>
      <c r="J84" s="786" t="s">
        <v>10</v>
      </c>
      <c r="K84" s="787" t="s">
        <v>402</v>
      </c>
      <c r="L84" s="793"/>
      <c r="M84" s="789"/>
      <c r="N84" s="815"/>
    </row>
    <row r="85" spans="1:14" s="816" customFormat="1" ht="21.75" customHeight="1" x14ac:dyDescent="0.35">
      <c r="A85" s="783">
        <v>225</v>
      </c>
      <c r="B85" s="793" t="s">
        <v>403</v>
      </c>
      <c r="C85" s="137">
        <f>'inventory2020(FOR revised)'!C99</f>
        <v>0.36</v>
      </c>
      <c r="D85" s="814">
        <f>'[23]road inventory 2018'!C97</f>
        <v>0.4</v>
      </c>
      <c r="E85" s="785">
        <v>0</v>
      </c>
      <c r="F85" s="785">
        <v>0</v>
      </c>
      <c r="G85" s="785">
        <v>0</v>
      </c>
      <c r="H85" s="785">
        <v>0.36</v>
      </c>
      <c r="I85" s="785">
        <v>0</v>
      </c>
      <c r="J85" s="786" t="s">
        <v>10</v>
      </c>
      <c r="K85" s="787" t="s">
        <v>404</v>
      </c>
      <c r="L85" s="793"/>
      <c r="M85" s="789"/>
      <c r="N85" s="815"/>
    </row>
    <row r="86" spans="1:14" s="816" customFormat="1" ht="21.75" customHeight="1" x14ac:dyDescent="0.35">
      <c r="A86" s="783">
        <v>226</v>
      </c>
      <c r="B86" s="793" t="s">
        <v>45</v>
      </c>
      <c r="C86" s="137">
        <f>'inventory2020(FOR revised)'!C100</f>
        <v>4.01</v>
      </c>
      <c r="D86" s="814">
        <f>'[23]road inventory 2018'!C98</f>
        <v>4.8</v>
      </c>
      <c r="E86" s="785">
        <v>0.86</v>
      </c>
      <c r="F86" s="785">
        <v>0</v>
      </c>
      <c r="G86" s="785">
        <v>0</v>
      </c>
      <c r="H86" s="785">
        <v>3.15</v>
      </c>
      <c r="I86" s="785">
        <v>0</v>
      </c>
      <c r="J86" s="786" t="s">
        <v>10</v>
      </c>
      <c r="K86" s="787" t="s">
        <v>405</v>
      </c>
      <c r="L86" s="793"/>
      <c r="M86" s="789"/>
      <c r="N86" s="815"/>
    </row>
    <row r="87" spans="1:14" s="816" customFormat="1" ht="21.75" customHeight="1" x14ac:dyDescent="0.35">
      <c r="A87" s="783">
        <v>116</v>
      </c>
      <c r="B87" s="793" t="s">
        <v>47</v>
      </c>
      <c r="C87" s="137">
        <f>'inventory2020(FOR revised)'!C101</f>
        <v>12.3</v>
      </c>
      <c r="D87" s="814">
        <f>'[23]road inventory 2018'!C99</f>
        <v>12.3</v>
      </c>
      <c r="E87" s="785">
        <v>6.67</v>
      </c>
      <c r="F87" s="785">
        <v>0</v>
      </c>
      <c r="G87" s="785">
        <v>0</v>
      </c>
      <c r="H87" s="785">
        <v>5.63</v>
      </c>
      <c r="I87" s="785">
        <v>0</v>
      </c>
      <c r="J87" s="786" t="s">
        <v>12</v>
      </c>
      <c r="K87" s="787" t="s">
        <v>405</v>
      </c>
      <c r="L87" s="793"/>
      <c r="M87" s="789"/>
      <c r="N87" s="815"/>
    </row>
    <row r="88" spans="1:14" s="816" customFormat="1" ht="21.75" customHeight="1" x14ac:dyDescent="0.35">
      <c r="A88" s="783">
        <v>46</v>
      </c>
      <c r="B88" s="793" t="s">
        <v>406</v>
      </c>
      <c r="C88" s="137">
        <f>'inventory2020(FOR revised)'!C102</f>
        <v>1.3</v>
      </c>
      <c r="D88" s="814">
        <f>'[23]road inventory 2018'!C100</f>
        <v>1.3</v>
      </c>
      <c r="E88" s="785">
        <v>1.3</v>
      </c>
      <c r="F88" s="785">
        <v>0</v>
      </c>
      <c r="G88" s="785">
        <v>0</v>
      </c>
      <c r="H88" s="785">
        <v>0</v>
      </c>
      <c r="I88" s="785">
        <v>0</v>
      </c>
      <c r="J88" s="786" t="s">
        <v>10</v>
      </c>
      <c r="K88" s="787" t="s">
        <v>407</v>
      </c>
      <c r="L88" s="793"/>
      <c r="M88" s="789"/>
      <c r="N88" s="815"/>
    </row>
    <row r="89" spans="1:14" s="824" customFormat="1" ht="21.75" customHeight="1" x14ac:dyDescent="0.35">
      <c r="A89" s="817">
        <v>100</v>
      </c>
      <c r="B89" s="818" t="s">
        <v>50</v>
      </c>
      <c r="C89" s="819">
        <f>SUM(E89:I89)</f>
        <v>7.8</v>
      </c>
      <c r="D89" s="837">
        <f>'[23]road inventory 2018'!C102</f>
        <v>7.8</v>
      </c>
      <c r="E89" s="819">
        <v>2</v>
      </c>
      <c r="F89" s="819">
        <v>0</v>
      </c>
      <c r="G89" s="819">
        <v>5.8</v>
      </c>
      <c r="H89" s="819">
        <v>0</v>
      </c>
      <c r="I89" s="819">
        <v>0</v>
      </c>
      <c r="J89" s="820" t="s">
        <v>12</v>
      </c>
      <c r="K89" s="821" t="s">
        <v>410</v>
      </c>
      <c r="L89" s="818"/>
      <c r="M89" s="822"/>
      <c r="N89" s="823"/>
    </row>
    <row r="90" spans="1:14" s="113" customFormat="1" ht="21.75" customHeight="1" x14ac:dyDescent="0.35">
      <c r="A90" s="838"/>
      <c r="B90" s="839"/>
      <c r="C90" s="840">
        <f t="shared" ref="C90:H90" si="4">SUM(C83:C89)</f>
        <v>34.15</v>
      </c>
      <c r="D90" s="828">
        <f t="shared" si="4"/>
        <v>34.9</v>
      </c>
      <c r="E90" s="840">
        <f t="shared" si="4"/>
        <v>13.950000000000001</v>
      </c>
      <c r="F90" s="840">
        <f t="shared" si="4"/>
        <v>0</v>
      </c>
      <c r="G90" s="840">
        <f t="shared" si="4"/>
        <v>5.8</v>
      </c>
      <c r="H90" s="840">
        <f t="shared" si="4"/>
        <v>14.399999999999999</v>
      </c>
      <c r="I90" s="840"/>
      <c r="J90" s="804"/>
      <c r="K90" s="805"/>
      <c r="L90" s="138"/>
      <c r="M90" s="118"/>
      <c r="N90" s="115"/>
    </row>
    <row r="91" spans="1:14" s="113" customFormat="1" ht="21.75" customHeight="1" thickBot="1" x14ac:dyDescent="0.4">
      <c r="A91" s="831" t="s">
        <v>341</v>
      </c>
      <c r="B91" s="832"/>
      <c r="C91" s="215">
        <f>SUM(E91:I91)</f>
        <v>34.15</v>
      </c>
      <c r="D91" s="833"/>
      <c r="E91" s="215">
        <f>SUM(E83:E89)</f>
        <v>13.950000000000001</v>
      </c>
      <c r="F91" s="215">
        <f>SUM(F83:F89)</f>
        <v>0</v>
      </c>
      <c r="G91" s="215">
        <f>SUM(G83:G89)</f>
        <v>5.8</v>
      </c>
      <c r="H91" s="215">
        <f>SUM(H83:H89)</f>
        <v>14.399999999999999</v>
      </c>
      <c r="I91" s="215">
        <f>SUM(I83:I89)</f>
        <v>0</v>
      </c>
      <c r="J91" s="216"/>
      <c r="K91" s="217"/>
      <c r="L91" s="258"/>
      <c r="M91" s="125"/>
      <c r="N91" s="115"/>
    </row>
    <row r="92" spans="1:14" s="113" customFormat="1" ht="21.75" customHeight="1" x14ac:dyDescent="0.35">
      <c r="A92" s="114"/>
      <c r="B92" s="196"/>
      <c r="C92" s="126"/>
      <c r="D92" s="810"/>
      <c r="E92" s="126"/>
      <c r="F92" s="126"/>
      <c r="G92" s="126"/>
      <c r="H92" s="126"/>
      <c r="I92" s="126"/>
      <c r="K92" s="125"/>
      <c r="L92" s="851"/>
      <c r="M92" s="125"/>
      <c r="N92" s="115"/>
    </row>
    <row r="93" spans="1:14" s="113" customFormat="1" ht="21.75" customHeight="1" x14ac:dyDescent="0.35">
      <c r="A93" s="1279" t="s">
        <v>411</v>
      </c>
      <c r="B93" s="1280"/>
      <c r="C93" s="1280"/>
      <c r="D93" s="1280"/>
      <c r="E93" s="1280"/>
      <c r="F93" s="1280"/>
      <c r="G93" s="1280"/>
      <c r="H93" s="1280"/>
      <c r="I93" s="1280"/>
      <c r="J93" s="1280"/>
      <c r="K93" s="1280"/>
      <c r="L93" s="1281"/>
      <c r="M93" s="777"/>
      <c r="N93" s="115"/>
    </row>
    <row r="94" spans="1:14" s="113" customFormat="1" ht="21.75" customHeight="1" thickBot="1" x14ac:dyDescent="0.4">
      <c r="A94" s="229"/>
      <c r="B94" s="118"/>
      <c r="C94" s="778"/>
      <c r="D94" s="779"/>
      <c r="E94" s="778"/>
      <c r="F94" s="778"/>
      <c r="G94" s="778"/>
      <c r="H94" s="778"/>
      <c r="I94" s="778"/>
      <c r="J94" s="116"/>
      <c r="K94" s="125"/>
      <c r="L94" s="834"/>
      <c r="M94" s="125"/>
      <c r="N94" s="115"/>
    </row>
    <row r="95" spans="1:14" s="113" customFormat="1" ht="21.75" customHeight="1" x14ac:dyDescent="0.35">
      <c r="A95" s="1263" t="s">
        <v>302</v>
      </c>
      <c r="B95" s="1265" t="s">
        <v>28</v>
      </c>
      <c r="C95" s="1267" t="s">
        <v>343</v>
      </c>
      <c r="D95" s="812"/>
      <c r="E95" s="1271" t="s">
        <v>305</v>
      </c>
      <c r="F95" s="1271"/>
      <c r="G95" s="1271"/>
      <c r="H95" s="1271"/>
      <c r="I95" s="1271"/>
      <c r="J95" s="1265" t="s">
        <v>29</v>
      </c>
      <c r="K95" s="1272" t="s">
        <v>306</v>
      </c>
      <c r="L95" s="1277" t="s">
        <v>307</v>
      </c>
      <c r="M95" s="781"/>
      <c r="N95" s="115"/>
    </row>
    <row r="96" spans="1:14" s="113" customFormat="1" ht="21.75" customHeight="1" thickBot="1" x14ac:dyDescent="0.4">
      <c r="A96" s="1264"/>
      <c r="B96" s="1266"/>
      <c r="C96" s="1268"/>
      <c r="D96" s="813"/>
      <c r="E96" s="782" t="s">
        <v>308</v>
      </c>
      <c r="F96" s="782" t="s">
        <v>309</v>
      </c>
      <c r="G96" s="782" t="s">
        <v>310</v>
      </c>
      <c r="H96" s="782" t="s">
        <v>311</v>
      </c>
      <c r="I96" s="782" t="s">
        <v>312</v>
      </c>
      <c r="J96" s="1266"/>
      <c r="K96" s="1273"/>
      <c r="L96" s="1278"/>
      <c r="M96" s="781"/>
      <c r="N96" s="115"/>
    </row>
    <row r="97" spans="1:14" s="816" customFormat="1" ht="21.75" customHeight="1" x14ac:dyDescent="0.35">
      <c r="A97" s="783">
        <v>48</v>
      </c>
      <c r="B97" s="852" t="s">
        <v>254</v>
      </c>
      <c r="C97" s="785">
        <f>'inventory2020(FOR revised)'!C112</f>
        <v>2.19</v>
      </c>
      <c r="D97" s="835">
        <f>'[23]road inventory 2018'!C109</f>
        <v>2.1</v>
      </c>
      <c r="E97" s="785">
        <v>0</v>
      </c>
      <c r="F97" s="785">
        <v>0</v>
      </c>
      <c r="G97" s="785">
        <v>0</v>
      </c>
      <c r="H97" s="785">
        <v>2.19</v>
      </c>
      <c r="I97" s="785">
        <v>0</v>
      </c>
      <c r="J97" s="786" t="s">
        <v>12</v>
      </c>
      <c r="K97" s="787" t="s">
        <v>412</v>
      </c>
      <c r="L97" s="788"/>
      <c r="M97" s="789"/>
      <c r="N97" s="815"/>
    </row>
    <row r="98" spans="1:14" s="816" customFormat="1" ht="21.75" customHeight="1" x14ac:dyDescent="0.35">
      <c r="A98" s="783">
        <v>50</v>
      </c>
      <c r="B98" s="852" t="s">
        <v>255</v>
      </c>
      <c r="C98" s="785">
        <f>'inventory2020(FOR revised)'!C113</f>
        <v>7.69</v>
      </c>
      <c r="D98" s="835">
        <f>'[23]road inventory 2018'!C110</f>
        <v>7.6</v>
      </c>
      <c r="E98" s="785">
        <v>1.79</v>
      </c>
      <c r="F98" s="785">
        <v>0</v>
      </c>
      <c r="G98" s="785">
        <v>0</v>
      </c>
      <c r="H98" s="785">
        <v>5.9</v>
      </c>
      <c r="I98" s="785">
        <v>0</v>
      </c>
      <c r="J98" s="786" t="s">
        <v>12</v>
      </c>
      <c r="K98" s="787" t="s">
        <v>413</v>
      </c>
      <c r="L98" s="793"/>
      <c r="M98" s="789"/>
      <c r="N98" s="815"/>
    </row>
    <row r="99" spans="1:14" s="816" customFormat="1" ht="21.75" customHeight="1" x14ac:dyDescent="0.35">
      <c r="A99" s="783">
        <v>51</v>
      </c>
      <c r="B99" s="852" t="s">
        <v>248</v>
      </c>
      <c r="C99" s="785">
        <f>'inventory2020(FOR revised)'!C114</f>
        <v>3.96</v>
      </c>
      <c r="D99" s="835">
        <f>'[23]road inventory 2018'!C111</f>
        <v>3</v>
      </c>
      <c r="E99" s="785">
        <v>0</v>
      </c>
      <c r="F99" s="785">
        <v>0</v>
      </c>
      <c r="G99" s="785">
        <v>0</v>
      </c>
      <c r="H99" s="785">
        <v>3.96</v>
      </c>
      <c r="I99" s="785">
        <v>0</v>
      </c>
      <c r="J99" s="786" t="s">
        <v>12</v>
      </c>
      <c r="K99" s="787" t="s">
        <v>414</v>
      </c>
      <c r="L99" s="793"/>
      <c r="M99" s="789"/>
      <c r="N99" s="815"/>
    </row>
    <row r="100" spans="1:14" s="816" customFormat="1" ht="21.75" customHeight="1" x14ac:dyDescent="0.35">
      <c r="A100" s="783">
        <v>52</v>
      </c>
      <c r="B100" s="852" t="s">
        <v>251</v>
      </c>
      <c r="C100" s="785">
        <f>'inventory2020(FOR revised)'!C115</f>
        <v>6.64</v>
      </c>
      <c r="D100" s="835">
        <f>'[23]road inventory 2018'!C112</f>
        <v>6.5</v>
      </c>
      <c r="E100" s="785">
        <v>0</v>
      </c>
      <c r="F100" s="785">
        <v>0</v>
      </c>
      <c r="G100" s="785">
        <v>0</v>
      </c>
      <c r="H100" s="785">
        <v>6.64</v>
      </c>
      <c r="I100" s="785">
        <v>0</v>
      </c>
      <c r="J100" s="786" t="s">
        <v>12</v>
      </c>
      <c r="K100" s="787" t="s">
        <v>415</v>
      </c>
      <c r="L100" s="793"/>
      <c r="M100" s="789"/>
      <c r="N100" s="815"/>
    </row>
    <row r="101" spans="1:14" s="816" customFormat="1" ht="21.75" customHeight="1" x14ac:dyDescent="0.35">
      <c r="A101" s="783">
        <v>53</v>
      </c>
      <c r="B101" s="852" t="s">
        <v>249</v>
      </c>
      <c r="C101" s="785">
        <f>'inventory2020(FOR revised)'!C116</f>
        <v>6.46</v>
      </c>
      <c r="D101" s="835">
        <f>'[23]road inventory 2018'!C113</f>
        <v>6.4</v>
      </c>
      <c r="E101" s="785">
        <v>5.64</v>
      </c>
      <c r="F101" s="785">
        <v>0</v>
      </c>
      <c r="G101" s="785">
        <v>0</v>
      </c>
      <c r="H101" s="785">
        <v>0.82</v>
      </c>
      <c r="I101" s="785">
        <v>0</v>
      </c>
      <c r="J101" s="786" t="s">
        <v>12</v>
      </c>
      <c r="K101" s="787" t="s">
        <v>416</v>
      </c>
      <c r="L101" s="793"/>
      <c r="M101" s="789"/>
      <c r="N101" s="815"/>
    </row>
    <row r="102" spans="1:14" s="816" customFormat="1" ht="21.75" customHeight="1" x14ac:dyDescent="0.35">
      <c r="A102" s="783">
        <v>54</v>
      </c>
      <c r="B102" s="852" t="s">
        <v>252</v>
      </c>
      <c r="C102" s="785">
        <f>'inventory2020(FOR revised)'!C117</f>
        <v>1.69</v>
      </c>
      <c r="D102" s="835">
        <f>'[23]road inventory 2018'!C114</f>
        <v>1.6</v>
      </c>
      <c r="E102" s="785">
        <v>1.18</v>
      </c>
      <c r="F102" s="785">
        <v>0</v>
      </c>
      <c r="G102" s="785">
        <v>0</v>
      </c>
      <c r="H102" s="785">
        <v>0.51</v>
      </c>
      <c r="I102" s="785">
        <v>0</v>
      </c>
      <c r="J102" s="786" t="s">
        <v>10</v>
      </c>
      <c r="K102" s="787" t="s">
        <v>417</v>
      </c>
      <c r="L102" s="793"/>
      <c r="M102" s="789"/>
      <c r="N102" s="815"/>
    </row>
    <row r="103" spans="1:14" s="816" customFormat="1" ht="21.75" customHeight="1" x14ac:dyDescent="0.35">
      <c r="A103" s="783">
        <v>103</v>
      </c>
      <c r="B103" s="852" t="s">
        <v>245</v>
      </c>
      <c r="C103" s="785">
        <f>'inventory2020(FOR revised)'!C118</f>
        <v>1.27</v>
      </c>
      <c r="D103" s="835">
        <f>'[23]road inventory 2018'!C115</f>
        <v>1.2</v>
      </c>
      <c r="E103" s="785">
        <v>0.19</v>
      </c>
      <c r="F103" s="785">
        <v>0</v>
      </c>
      <c r="G103" s="785">
        <v>0</v>
      </c>
      <c r="H103" s="785">
        <v>1.08</v>
      </c>
      <c r="I103" s="785">
        <v>0</v>
      </c>
      <c r="J103" s="786" t="s">
        <v>10</v>
      </c>
      <c r="K103" s="787" t="s">
        <v>418</v>
      </c>
      <c r="L103" s="793"/>
      <c r="M103" s="789"/>
      <c r="N103" s="815"/>
    </row>
    <row r="104" spans="1:14" s="816" customFormat="1" ht="21.75" customHeight="1" x14ac:dyDescent="0.35">
      <c r="A104" s="783">
        <v>55</v>
      </c>
      <c r="B104" s="852" t="s">
        <v>244</v>
      </c>
      <c r="C104" s="785">
        <f>'inventory2020(FOR revised)'!C119</f>
        <v>4.18</v>
      </c>
      <c r="D104" s="835">
        <f>'[23]road inventory 2018'!C116</f>
        <v>4.0999999999999996</v>
      </c>
      <c r="E104" s="785">
        <v>0</v>
      </c>
      <c r="F104" s="785">
        <v>0</v>
      </c>
      <c r="G104" s="785">
        <v>0</v>
      </c>
      <c r="H104" s="785">
        <v>4.18</v>
      </c>
      <c r="I104" s="785">
        <v>0</v>
      </c>
      <c r="J104" s="786" t="s">
        <v>12</v>
      </c>
      <c r="K104" s="787" t="s">
        <v>419</v>
      </c>
      <c r="L104" s="793"/>
      <c r="M104" s="789"/>
      <c r="N104" s="815"/>
    </row>
    <row r="105" spans="1:14" s="816" customFormat="1" ht="21.75" customHeight="1" x14ac:dyDescent="0.35">
      <c r="A105" s="783">
        <v>57</v>
      </c>
      <c r="B105" s="852" t="s">
        <v>268</v>
      </c>
      <c r="C105" s="785">
        <f>'inventory2020(FOR revised)'!C120</f>
        <v>1.36</v>
      </c>
      <c r="D105" s="835">
        <f>'[23]road inventory 2018'!C117</f>
        <v>1.3</v>
      </c>
      <c r="E105" s="785">
        <v>0.3</v>
      </c>
      <c r="F105" s="785">
        <v>0</v>
      </c>
      <c r="G105" s="785">
        <v>0</v>
      </c>
      <c r="H105" s="785">
        <v>1.06</v>
      </c>
      <c r="I105" s="785">
        <v>0</v>
      </c>
      <c r="J105" s="786" t="s">
        <v>12</v>
      </c>
      <c r="K105" s="787" t="s">
        <v>420</v>
      </c>
      <c r="L105" s="793"/>
      <c r="M105" s="789"/>
      <c r="N105" s="815"/>
    </row>
    <row r="106" spans="1:14" s="816" customFormat="1" ht="21.75" customHeight="1" x14ac:dyDescent="0.35">
      <c r="A106" s="783">
        <v>97</v>
      </c>
      <c r="B106" s="852" t="s">
        <v>51</v>
      </c>
      <c r="C106" s="785">
        <f>'inventory2020(FOR revised)'!C123</f>
        <v>8.4499999999999993</v>
      </c>
      <c r="D106" s="835">
        <f>'[23]road inventory 2018'!C120</f>
        <v>8.3000000000000007</v>
      </c>
      <c r="E106" s="785">
        <v>8.4499999999999993</v>
      </c>
      <c r="F106" s="785">
        <v>0</v>
      </c>
      <c r="G106" s="785">
        <v>0</v>
      </c>
      <c r="H106" s="785">
        <v>0</v>
      </c>
      <c r="I106" s="785">
        <v>0</v>
      </c>
      <c r="J106" s="786" t="s">
        <v>10</v>
      </c>
      <c r="K106" s="787" t="s">
        <v>423</v>
      </c>
      <c r="L106" s="793"/>
      <c r="M106" s="789"/>
      <c r="N106" s="815"/>
    </row>
    <row r="107" spans="1:14" s="816" customFormat="1" ht="21.75" customHeight="1" x14ac:dyDescent="0.35">
      <c r="A107" s="783">
        <v>56</v>
      </c>
      <c r="B107" s="852" t="s">
        <v>250</v>
      </c>
      <c r="C107" s="785">
        <f>'inventory2020(FOR revised)'!C124</f>
        <v>5.7200000000000006</v>
      </c>
      <c r="D107" s="835">
        <f>'[23]road inventory 2018'!C121</f>
        <v>5.7</v>
      </c>
      <c r="E107" s="785">
        <v>1.73</v>
      </c>
      <c r="F107" s="785">
        <v>0</v>
      </c>
      <c r="G107" s="785">
        <v>0</v>
      </c>
      <c r="H107" s="785">
        <v>3.99</v>
      </c>
      <c r="I107" s="785">
        <v>0</v>
      </c>
      <c r="J107" s="786" t="s">
        <v>12</v>
      </c>
      <c r="K107" s="787" t="s">
        <v>414</v>
      </c>
      <c r="L107" s="793"/>
      <c r="M107" s="789"/>
      <c r="N107" s="815"/>
    </row>
    <row r="108" spans="1:14" s="816" customFormat="1" ht="21.75" customHeight="1" x14ac:dyDescent="0.35">
      <c r="A108" s="783">
        <v>60</v>
      </c>
      <c r="B108" s="852" t="s">
        <v>253</v>
      </c>
      <c r="C108" s="785">
        <f>'inventory2020(FOR revised)'!C125</f>
        <v>9.1999999999999993</v>
      </c>
      <c r="D108" s="835">
        <f>'[23]road inventory 2018'!C122</f>
        <v>9.1999999999999993</v>
      </c>
      <c r="E108" s="785">
        <v>7.1</v>
      </c>
      <c r="F108" s="785">
        <v>0</v>
      </c>
      <c r="G108" s="785">
        <v>0</v>
      </c>
      <c r="H108" s="785">
        <v>2.1</v>
      </c>
      <c r="I108" s="785">
        <v>0</v>
      </c>
      <c r="J108" s="786" t="s">
        <v>10</v>
      </c>
      <c r="K108" s="787" t="s">
        <v>424</v>
      </c>
      <c r="L108" s="793"/>
      <c r="M108" s="789"/>
      <c r="N108" s="815"/>
    </row>
    <row r="109" spans="1:14" s="816" customFormat="1" ht="21.75" customHeight="1" x14ac:dyDescent="0.35">
      <c r="A109" s="783">
        <v>61</v>
      </c>
      <c r="B109" s="852" t="s">
        <v>260</v>
      </c>
      <c r="C109" s="785">
        <f>'inventory2020(FOR revised)'!C126</f>
        <v>4.5</v>
      </c>
      <c r="D109" s="835">
        <f>'[23]road inventory 2018'!C123</f>
        <v>4.5</v>
      </c>
      <c r="E109" s="785">
        <v>1.63</v>
      </c>
      <c r="F109" s="785">
        <v>0</v>
      </c>
      <c r="G109" s="785">
        <v>0</v>
      </c>
      <c r="H109" s="785">
        <v>2.87</v>
      </c>
      <c r="I109" s="785">
        <v>0</v>
      </c>
      <c r="J109" s="786" t="s">
        <v>10</v>
      </c>
      <c r="K109" s="787" t="s">
        <v>425</v>
      </c>
      <c r="L109" s="793"/>
      <c r="M109" s="789"/>
      <c r="N109" s="815"/>
    </row>
    <row r="110" spans="1:14" s="816" customFormat="1" ht="21.75" customHeight="1" x14ac:dyDescent="0.35">
      <c r="A110" s="783">
        <v>62</v>
      </c>
      <c r="B110" s="852" t="s">
        <v>269</v>
      </c>
      <c r="C110" s="785">
        <f>'inventory2020(FOR revised)'!C127</f>
        <v>3.03</v>
      </c>
      <c r="D110" s="835">
        <f>'[23]road inventory 2018'!C124</f>
        <v>2</v>
      </c>
      <c r="E110" s="785">
        <v>0</v>
      </c>
      <c r="F110" s="785">
        <v>0</v>
      </c>
      <c r="G110" s="785">
        <v>0</v>
      </c>
      <c r="H110" s="785">
        <v>3.03</v>
      </c>
      <c r="I110" s="785">
        <v>0</v>
      </c>
      <c r="J110" s="786" t="s">
        <v>12</v>
      </c>
      <c r="K110" s="787" t="s">
        <v>426</v>
      </c>
      <c r="L110" s="793"/>
      <c r="M110" s="789"/>
      <c r="N110" s="815"/>
    </row>
    <row r="111" spans="1:14" s="816" customFormat="1" ht="21.75" customHeight="1" x14ac:dyDescent="0.35">
      <c r="A111" s="783">
        <v>63</v>
      </c>
      <c r="B111" s="852" t="s">
        <v>265</v>
      </c>
      <c r="C111" s="785">
        <f>'inventory2020(FOR revised)'!C128</f>
        <v>3.04</v>
      </c>
      <c r="D111" s="835">
        <f>'[23]road inventory 2018'!C125</f>
        <v>3</v>
      </c>
      <c r="E111" s="785">
        <v>0.11</v>
      </c>
      <c r="F111" s="785">
        <v>0</v>
      </c>
      <c r="G111" s="785">
        <v>0</v>
      </c>
      <c r="H111" s="785">
        <v>2.93</v>
      </c>
      <c r="I111" s="785">
        <v>0</v>
      </c>
      <c r="J111" s="786" t="s">
        <v>12</v>
      </c>
      <c r="K111" s="787" t="s">
        <v>427</v>
      </c>
      <c r="L111" s="793"/>
      <c r="M111" s="789"/>
      <c r="N111" s="815"/>
    </row>
    <row r="112" spans="1:14" s="816" customFormat="1" ht="21.75" customHeight="1" x14ac:dyDescent="0.35">
      <c r="A112" s="783">
        <v>98</v>
      </c>
      <c r="B112" s="852" t="s">
        <v>247</v>
      </c>
      <c r="C112" s="785">
        <f>'inventory2020(FOR revised)'!C129</f>
        <v>5.18</v>
      </c>
      <c r="D112" s="835">
        <f>'[23]road inventory 2018'!C126</f>
        <v>5.1000000000000005</v>
      </c>
      <c r="E112" s="785">
        <v>5.08</v>
      </c>
      <c r="F112" s="785">
        <v>0</v>
      </c>
      <c r="G112" s="785">
        <v>0</v>
      </c>
      <c r="H112" s="785">
        <v>0.1</v>
      </c>
      <c r="I112" s="785">
        <v>0</v>
      </c>
      <c r="J112" s="786" t="s">
        <v>12</v>
      </c>
      <c r="K112" s="787" t="s">
        <v>428</v>
      </c>
      <c r="L112" s="793"/>
      <c r="M112" s="789"/>
      <c r="N112" s="815"/>
    </row>
    <row r="113" spans="1:14" s="816" customFormat="1" ht="21.75" customHeight="1" x14ac:dyDescent="0.35">
      <c r="A113" s="783">
        <v>64</v>
      </c>
      <c r="B113" s="852" t="s">
        <v>246</v>
      </c>
      <c r="C113" s="785">
        <f>'inventory2020(FOR revised)'!C130</f>
        <v>3.64</v>
      </c>
      <c r="D113" s="835">
        <f>'[23]road inventory 2018'!C127</f>
        <v>3.6</v>
      </c>
      <c r="E113" s="785">
        <v>2.41</v>
      </c>
      <c r="F113" s="785">
        <v>0</v>
      </c>
      <c r="G113" s="785">
        <v>0</v>
      </c>
      <c r="H113" s="785">
        <v>1.23</v>
      </c>
      <c r="I113" s="785">
        <v>0</v>
      </c>
      <c r="J113" s="786" t="s">
        <v>12</v>
      </c>
      <c r="K113" s="787" t="s">
        <v>429</v>
      </c>
      <c r="L113" s="793"/>
      <c r="M113" s="789"/>
      <c r="N113" s="815"/>
    </row>
    <row r="114" spans="1:14" s="824" customFormat="1" ht="21.75" customHeight="1" x14ac:dyDescent="0.35">
      <c r="A114" s="817">
        <v>96</v>
      </c>
      <c r="B114" s="853" t="s">
        <v>270</v>
      </c>
      <c r="C114" s="819">
        <f>'inventory2020(FOR revised)'!C131</f>
        <v>5.73</v>
      </c>
      <c r="D114" s="837">
        <f>'[23]road inventory 2018'!C128</f>
        <v>5.6999999999999993</v>
      </c>
      <c r="E114" s="819">
        <v>2.2669999999999999</v>
      </c>
      <c r="F114" s="819">
        <v>0</v>
      </c>
      <c r="G114" s="819">
        <v>0</v>
      </c>
      <c r="H114" s="819">
        <v>3.4630000000000001</v>
      </c>
      <c r="I114" s="819">
        <v>0</v>
      </c>
      <c r="J114" s="820" t="s">
        <v>12</v>
      </c>
      <c r="K114" s="821" t="s">
        <v>430</v>
      </c>
      <c r="L114" s="818"/>
      <c r="M114" s="822"/>
      <c r="N114" s="823"/>
    </row>
    <row r="115" spans="1:14" s="816" customFormat="1" ht="21.75" customHeight="1" x14ac:dyDescent="0.35">
      <c r="A115" s="783">
        <v>65</v>
      </c>
      <c r="B115" s="852" t="s">
        <v>261</v>
      </c>
      <c r="C115" s="785">
        <f>'inventory2020(FOR revised)'!C132</f>
        <v>2.7</v>
      </c>
      <c r="D115" s="835">
        <f>'[23]road inventory 2018'!C129</f>
        <v>1.65</v>
      </c>
      <c r="E115" s="785">
        <v>0</v>
      </c>
      <c r="F115" s="785">
        <v>0</v>
      </c>
      <c r="G115" s="785">
        <v>0</v>
      </c>
      <c r="H115" s="785">
        <v>2.7</v>
      </c>
      <c r="I115" s="785">
        <v>0</v>
      </c>
      <c r="J115" s="786" t="s">
        <v>12</v>
      </c>
      <c r="K115" s="787" t="s">
        <v>431</v>
      </c>
      <c r="L115" s="793"/>
      <c r="M115" s="789"/>
      <c r="N115" s="815"/>
    </row>
    <row r="116" spans="1:14" s="816" customFormat="1" ht="21.75" customHeight="1" x14ac:dyDescent="0.35">
      <c r="A116" s="783">
        <v>66</v>
      </c>
      <c r="B116" s="852" t="s">
        <v>432</v>
      </c>
      <c r="C116" s="785">
        <f>'inventory2020(FOR revised)'!C133</f>
        <v>3.8400000000000003</v>
      </c>
      <c r="D116" s="835">
        <f>'[23]road inventory 2018'!C130</f>
        <v>3.8000000000000003</v>
      </c>
      <c r="E116" s="785">
        <v>0.1</v>
      </c>
      <c r="F116" s="785">
        <v>0</v>
      </c>
      <c r="G116" s="785">
        <v>0</v>
      </c>
      <c r="H116" s="785">
        <v>3.74</v>
      </c>
      <c r="I116" s="785">
        <v>0</v>
      </c>
      <c r="J116" s="786" t="s">
        <v>12</v>
      </c>
      <c r="K116" s="787" t="s">
        <v>433</v>
      </c>
      <c r="L116" s="793"/>
      <c r="M116" s="789"/>
      <c r="N116" s="815"/>
    </row>
    <row r="117" spans="1:14" s="816" customFormat="1" ht="21.75" customHeight="1" x14ac:dyDescent="0.35">
      <c r="A117" s="783">
        <v>69</v>
      </c>
      <c r="B117" s="852" t="s">
        <v>264</v>
      </c>
      <c r="C117" s="785">
        <f>'inventory2020(FOR revised)'!C136</f>
        <v>1.68</v>
      </c>
      <c r="D117" s="835">
        <f>'[23]road inventory 2018'!C133</f>
        <v>1.6</v>
      </c>
      <c r="E117" s="785">
        <v>0</v>
      </c>
      <c r="F117" s="785">
        <v>0</v>
      </c>
      <c r="G117" s="785">
        <v>0</v>
      </c>
      <c r="H117" s="785">
        <v>1.68</v>
      </c>
      <c r="I117" s="785">
        <v>0</v>
      </c>
      <c r="J117" s="786" t="s">
        <v>12</v>
      </c>
      <c r="K117" s="793" t="s">
        <v>435</v>
      </c>
      <c r="L117" s="793"/>
      <c r="M117" s="789"/>
      <c r="N117" s="815"/>
    </row>
    <row r="118" spans="1:14" s="816" customFormat="1" ht="21.75" customHeight="1" x14ac:dyDescent="0.35">
      <c r="A118" s="854">
        <v>70</v>
      </c>
      <c r="B118" s="855" t="s">
        <v>263</v>
      </c>
      <c r="C118" s="792">
        <f>'inventory2020(FOR revised)'!C137</f>
        <v>2.77</v>
      </c>
      <c r="D118" s="856">
        <f>'[23]road inventory 2018'!C136</f>
        <v>2.6</v>
      </c>
      <c r="E118" s="792">
        <v>0</v>
      </c>
      <c r="F118" s="792">
        <v>0</v>
      </c>
      <c r="G118" s="792">
        <v>0</v>
      </c>
      <c r="H118" s="792">
        <v>2.77</v>
      </c>
      <c r="I118" s="792">
        <v>0</v>
      </c>
      <c r="J118" s="857" t="s">
        <v>12</v>
      </c>
      <c r="K118" s="858" t="s">
        <v>436</v>
      </c>
      <c r="L118" s="793"/>
      <c r="M118" s="789"/>
      <c r="N118" s="815"/>
    </row>
    <row r="119" spans="1:14" s="816" customFormat="1" ht="21.75" customHeight="1" x14ac:dyDescent="0.35">
      <c r="A119" s="783">
        <v>71</v>
      </c>
      <c r="B119" s="852" t="s">
        <v>54</v>
      </c>
      <c r="C119" s="785">
        <f>'inventory2020(FOR revised)'!C138</f>
        <v>2.69</v>
      </c>
      <c r="D119" s="835">
        <f>'[23]road inventory 2018'!C137</f>
        <v>2.7</v>
      </c>
      <c r="E119" s="785">
        <v>0</v>
      </c>
      <c r="F119" s="785">
        <v>0</v>
      </c>
      <c r="G119" s="785">
        <v>0</v>
      </c>
      <c r="H119" s="785">
        <v>2.69</v>
      </c>
      <c r="I119" s="785">
        <v>0</v>
      </c>
      <c r="J119" s="786" t="s">
        <v>12</v>
      </c>
      <c r="K119" s="787" t="s">
        <v>437</v>
      </c>
      <c r="L119" s="793"/>
      <c r="M119" s="789"/>
      <c r="N119" s="815"/>
    </row>
    <row r="120" spans="1:14" s="816" customFormat="1" ht="21.75" customHeight="1" x14ac:dyDescent="0.35">
      <c r="A120" s="783">
        <v>72</v>
      </c>
      <c r="B120" s="852" t="s">
        <v>56</v>
      </c>
      <c r="C120" s="785">
        <f>'inventory2020(FOR revised)'!C139</f>
        <v>1.8900000000000001</v>
      </c>
      <c r="D120" s="835">
        <f>'[23]road inventory 2018'!C138</f>
        <v>1.7</v>
      </c>
      <c r="E120" s="785">
        <v>0.83</v>
      </c>
      <c r="F120" s="785">
        <v>0</v>
      </c>
      <c r="G120" s="785">
        <v>0</v>
      </c>
      <c r="H120" s="785">
        <v>1.06</v>
      </c>
      <c r="I120" s="785">
        <v>0</v>
      </c>
      <c r="J120" s="786" t="s">
        <v>12</v>
      </c>
      <c r="K120" s="787" t="s">
        <v>438</v>
      </c>
      <c r="L120" s="793"/>
      <c r="M120" s="789"/>
      <c r="N120" s="815"/>
    </row>
    <row r="121" spans="1:14" s="816" customFormat="1" ht="21.75" customHeight="1" x14ac:dyDescent="0.35">
      <c r="A121" s="783">
        <v>73</v>
      </c>
      <c r="B121" s="793" t="s">
        <v>258</v>
      </c>
      <c r="C121" s="785">
        <f>'inventory2020(FOR revised)'!C140</f>
        <v>4.5599999999999996</v>
      </c>
      <c r="D121" s="835">
        <f>'[23]road inventory 2018'!C139</f>
        <v>5.5</v>
      </c>
      <c r="E121" s="785">
        <v>0</v>
      </c>
      <c r="F121" s="785">
        <v>0</v>
      </c>
      <c r="G121" s="785">
        <v>0</v>
      </c>
      <c r="H121" s="785">
        <v>4.5599999999999996</v>
      </c>
      <c r="I121" s="785">
        <v>0</v>
      </c>
      <c r="J121" s="786" t="s">
        <v>12</v>
      </c>
      <c r="K121" s="787" t="s">
        <v>439</v>
      </c>
      <c r="L121" s="793"/>
      <c r="M121" s="789"/>
      <c r="N121" s="815"/>
    </row>
    <row r="122" spans="1:14" s="113" customFormat="1" ht="21.75" customHeight="1" x14ac:dyDescent="0.35">
      <c r="A122" s="135">
        <v>75</v>
      </c>
      <c r="B122" s="138" t="s">
        <v>259</v>
      </c>
      <c r="C122" s="785">
        <f>'inventory2020(FOR revised)'!C142</f>
        <v>3.1</v>
      </c>
      <c r="D122" s="835">
        <f>'[23]road inventory 2018'!C141</f>
        <v>2.1</v>
      </c>
      <c r="E122" s="137">
        <v>0</v>
      </c>
      <c r="F122" s="137">
        <v>0</v>
      </c>
      <c r="G122" s="137">
        <v>0</v>
      </c>
      <c r="H122" s="137">
        <v>3.1</v>
      </c>
      <c r="I122" s="137">
        <v>0</v>
      </c>
      <c r="J122" s="141" t="s">
        <v>12</v>
      </c>
      <c r="K122" s="796" t="s">
        <v>440</v>
      </c>
      <c r="L122" s="138"/>
      <c r="M122" s="118"/>
      <c r="N122" s="115"/>
    </row>
    <row r="123" spans="1:14" s="816" customFormat="1" ht="21.75" customHeight="1" x14ac:dyDescent="0.35">
      <c r="A123" s="783">
        <v>76</v>
      </c>
      <c r="B123" s="793" t="s">
        <v>256</v>
      </c>
      <c r="C123" s="785">
        <f>'inventory2020(FOR revised)'!C143</f>
        <v>0.2</v>
      </c>
      <c r="D123" s="835">
        <f>'[23]road inventory 2018'!C142</f>
        <v>0.2</v>
      </c>
      <c r="E123" s="785">
        <v>0.2</v>
      </c>
      <c r="F123" s="785">
        <v>0</v>
      </c>
      <c r="G123" s="785">
        <v>0</v>
      </c>
      <c r="H123" s="785">
        <v>0</v>
      </c>
      <c r="I123" s="785">
        <v>0</v>
      </c>
      <c r="J123" s="786" t="s">
        <v>10</v>
      </c>
      <c r="K123" s="787" t="s">
        <v>425</v>
      </c>
      <c r="L123" s="793"/>
      <c r="M123" s="789"/>
      <c r="N123" s="815"/>
    </row>
    <row r="124" spans="1:14" s="816" customFormat="1" ht="21.75" customHeight="1" x14ac:dyDescent="0.35">
      <c r="A124" s="825"/>
      <c r="B124" s="826"/>
      <c r="C124" s="827">
        <f t="shared" ref="C124:I124" si="5">SUM(C97:C123)</f>
        <v>107.36000000000001</v>
      </c>
      <c r="D124" s="841">
        <f t="shared" si="5"/>
        <v>102.74999999999999</v>
      </c>
      <c r="E124" s="827">
        <f t="shared" si="5"/>
        <v>39.007000000000005</v>
      </c>
      <c r="F124" s="827">
        <f t="shared" si="5"/>
        <v>0</v>
      </c>
      <c r="G124" s="827">
        <f t="shared" si="5"/>
        <v>0</v>
      </c>
      <c r="H124" s="827">
        <f t="shared" si="5"/>
        <v>68.352999999999994</v>
      </c>
      <c r="I124" s="827">
        <f t="shared" si="5"/>
        <v>0</v>
      </c>
      <c r="J124" s="829"/>
      <c r="K124" s="830"/>
      <c r="L124" s="793"/>
      <c r="M124" s="789"/>
      <c r="N124" s="815"/>
    </row>
    <row r="125" spans="1:14" s="113" customFormat="1" ht="21.75" customHeight="1" thickBot="1" x14ac:dyDescent="0.4">
      <c r="A125" s="831" t="s">
        <v>341</v>
      </c>
      <c r="B125" s="832"/>
      <c r="C125" s="215">
        <f>E125+H125</f>
        <v>107.36</v>
      </c>
      <c r="D125" s="833"/>
      <c r="E125" s="215">
        <f>SUM(E97:E123)</f>
        <v>39.007000000000005</v>
      </c>
      <c r="F125" s="215">
        <f>SUM(F97:F123)</f>
        <v>0</v>
      </c>
      <c r="G125" s="215">
        <f>SUM(G97:G123)</f>
        <v>0</v>
      </c>
      <c r="H125" s="215">
        <f>SUM(H97:H123)</f>
        <v>68.352999999999994</v>
      </c>
      <c r="I125" s="215">
        <f>SUM(I97:I123)</f>
        <v>0</v>
      </c>
      <c r="J125" s="216"/>
      <c r="K125" s="217"/>
      <c r="L125" s="240"/>
      <c r="M125" s="125"/>
      <c r="N125" s="115"/>
    </row>
    <row r="126" spans="1:14" s="113" customFormat="1" ht="21.75" customHeight="1" x14ac:dyDescent="0.35">
      <c r="A126" s="114"/>
      <c r="B126" s="196"/>
      <c r="C126" s="126"/>
      <c r="D126" s="810"/>
      <c r="E126" s="126"/>
      <c r="F126" s="126"/>
      <c r="G126" s="126"/>
      <c r="H126" s="126"/>
      <c r="I126" s="126"/>
      <c r="K126" s="125"/>
      <c r="L126" s="240"/>
      <c r="M126" s="125"/>
      <c r="N126" s="115"/>
    </row>
    <row r="127" spans="1:14" s="113" customFormat="1" ht="21.75" customHeight="1" x14ac:dyDescent="0.35">
      <c r="A127" s="1279" t="s">
        <v>441</v>
      </c>
      <c r="B127" s="1280"/>
      <c r="C127" s="1280"/>
      <c r="D127" s="1280"/>
      <c r="E127" s="1280"/>
      <c r="F127" s="1280"/>
      <c r="G127" s="1280"/>
      <c r="H127" s="1280"/>
      <c r="I127" s="1280"/>
      <c r="J127" s="1280"/>
      <c r="K127" s="1280"/>
      <c r="L127" s="1281"/>
      <c r="M127" s="777"/>
      <c r="N127" s="115"/>
    </row>
    <row r="128" spans="1:14" s="113" customFormat="1" ht="21.75" customHeight="1" thickBot="1" x14ac:dyDescent="0.4">
      <c r="A128" s="229"/>
      <c r="B128" s="118"/>
      <c r="C128" s="778"/>
      <c r="D128" s="779"/>
      <c r="E128" s="778"/>
      <c r="F128" s="778"/>
      <c r="G128" s="778"/>
      <c r="H128" s="778"/>
      <c r="I128" s="778"/>
      <c r="J128" s="116"/>
      <c r="K128" s="125"/>
      <c r="L128" s="258"/>
      <c r="M128" s="125"/>
      <c r="N128" s="115"/>
    </row>
    <row r="129" spans="1:14" s="113" customFormat="1" ht="21.75" customHeight="1" x14ac:dyDescent="0.35">
      <c r="A129" s="1263" t="s">
        <v>302</v>
      </c>
      <c r="B129" s="1265" t="s">
        <v>28</v>
      </c>
      <c r="C129" s="1267" t="s">
        <v>343</v>
      </c>
      <c r="D129" s="812"/>
      <c r="E129" s="1271" t="s">
        <v>305</v>
      </c>
      <c r="F129" s="1271"/>
      <c r="G129" s="1271"/>
      <c r="H129" s="1271"/>
      <c r="I129" s="1271"/>
      <c r="J129" s="1265" t="s">
        <v>29</v>
      </c>
      <c r="K129" s="1272" t="s">
        <v>306</v>
      </c>
      <c r="L129" s="1277" t="s">
        <v>307</v>
      </c>
      <c r="M129" s="781"/>
      <c r="N129" s="115"/>
    </row>
    <row r="130" spans="1:14" s="113" customFormat="1" ht="21.75" customHeight="1" thickBot="1" x14ac:dyDescent="0.4">
      <c r="A130" s="1264"/>
      <c r="B130" s="1266"/>
      <c r="C130" s="1268"/>
      <c r="D130" s="813"/>
      <c r="E130" s="782" t="s">
        <v>308</v>
      </c>
      <c r="F130" s="782" t="s">
        <v>309</v>
      </c>
      <c r="G130" s="782" t="s">
        <v>310</v>
      </c>
      <c r="H130" s="782" t="s">
        <v>311</v>
      </c>
      <c r="I130" s="782" t="s">
        <v>312</v>
      </c>
      <c r="J130" s="1266"/>
      <c r="K130" s="1273"/>
      <c r="L130" s="1278"/>
      <c r="M130" s="781"/>
      <c r="N130" s="115"/>
    </row>
    <row r="131" spans="1:14" s="816" customFormat="1" ht="21.75" customHeight="1" x14ac:dyDescent="0.35">
      <c r="A131" s="825">
        <v>95</v>
      </c>
      <c r="B131" s="852" t="s">
        <v>276</v>
      </c>
      <c r="C131" s="827">
        <f>'inventory2020(FOR revised)'!C151</f>
        <v>2.3200000000000003</v>
      </c>
      <c r="D131" s="841">
        <f>'[23]road inventory 2018'!C149</f>
        <v>3</v>
      </c>
      <c r="E131" s="785">
        <v>1.02</v>
      </c>
      <c r="F131" s="785">
        <v>0</v>
      </c>
      <c r="G131" s="785">
        <v>0</v>
      </c>
      <c r="H131" s="827">
        <v>1.3</v>
      </c>
      <c r="I131" s="785">
        <v>0</v>
      </c>
      <c r="J131" s="786" t="s">
        <v>10</v>
      </c>
      <c r="K131" s="787" t="s">
        <v>442</v>
      </c>
      <c r="L131" s="788"/>
      <c r="M131" s="789"/>
      <c r="N131" s="815"/>
    </row>
    <row r="132" spans="1:14" s="816" customFormat="1" ht="21.75" customHeight="1" x14ac:dyDescent="0.35">
      <c r="A132" s="783">
        <v>77</v>
      </c>
      <c r="B132" s="852" t="s">
        <v>271</v>
      </c>
      <c r="C132" s="827">
        <f>'inventory2020(FOR revised)'!C152</f>
        <v>0.76</v>
      </c>
      <c r="D132" s="841">
        <f>'[23]road inventory 2018'!C150</f>
        <v>0.7</v>
      </c>
      <c r="E132" s="785">
        <v>0.76</v>
      </c>
      <c r="F132" s="785">
        <v>0</v>
      </c>
      <c r="G132" s="785">
        <v>0</v>
      </c>
      <c r="H132" s="785">
        <v>0</v>
      </c>
      <c r="I132" s="785">
        <v>0</v>
      </c>
      <c r="J132" s="786" t="s">
        <v>10</v>
      </c>
      <c r="K132" s="787" t="s">
        <v>443</v>
      </c>
      <c r="L132" s="793"/>
      <c r="M132" s="789"/>
      <c r="N132" s="815"/>
    </row>
    <row r="133" spans="1:14" s="816" customFormat="1" ht="21.75" customHeight="1" x14ac:dyDescent="0.35">
      <c r="A133" s="783">
        <v>94</v>
      </c>
      <c r="B133" s="852" t="s">
        <v>278</v>
      </c>
      <c r="C133" s="827">
        <f>'inventory2020(FOR revised)'!C153</f>
        <v>0.6</v>
      </c>
      <c r="D133" s="841">
        <f>'[23]road inventory 2018'!C151</f>
        <v>0.6</v>
      </c>
      <c r="E133" s="785">
        <v>0.5</v>
      </c>
      <c r="F133" s="785">
        <v>0</v>
      </c>
      <c r="G133" s="785">
        <v>0</v>
      </c>
      <c r="H133" s="785">
        <v>0.1</v>
      </c>
      <c r="I133" s="785">
        <v>0</v>
      </c>
      <c r="J133" s="786" t="s">
        <v>10</v>
      </c>
      <c r="K133" s="787" t="s">
        <v>444</v>
      </c>
      <c r="L133" s="793"/>
      <c r="M133" s="789"/>
      <c r="N133" s="815"/>
    </row>
    <row r="134" spans="1:14" s="113" customFormat="1" ht="21.75" customHeight="1" x14ac:dyDescent="0.35">
      <c r="A134" s="135">
        <v>83</v>
      </c>
      <c r="B134" s="198" t="s">
        <v>58</v>
      </c>
      <c r="C134" s="827">
        <f>'inventory2020(FOR revised)'!C159</f>
        <v>4.12</v>
      </c>
      <c r="D134" s="841">
        <f>'[23]road inventory 2018'!C157</f>
        <v>4.2</v>
      </c>
      <c r="E134" s="137">
        <v>0.34</v>
      </c>
      <c r="F134" s="137">
        <v>0</v>
      </c>
      <c r="G134" s="137">
        <v>0</v>
      </c>
      <c r="H134" s="137">
        <v>3.78</v>
      </c>
      <c r="I134" s="137">
        <v>0</v>
      </c>
      <c r="J134" s="141" t="s">
        <v>12</v>
      </c>
      <c r="K134" s="796" t="s">
        <v>447</v>
      </c>
      <c r="L134" s="138"/>
      <c r="M134" s="118"/>
      <c r="N134" s="115"/>
    </row>
    <row r="135" spans="1:14" s="816" customFormat="1" ht="21.75" customHeight="1" x14ac:dyDescent="0.35">
      <c r="A135" s="783">
        <v>85</v>
      </c>
      <c r="B135" s="852" t="s">
        <v>281</v>
      </c>
      <c r="C135" s="827">
        <f>'inventory2020(FOR revised)'!C161</f>
        <v>2.86</v>
      </c>
      <c r="D135" s="841">
        <f>'[23]road inventory 2018'!C159</f>
        <v>2.8</v>
      </c>
      <c r="E135" s="785">
        <v>0</v>
      </c>
      <c r="F135" s="785">
        <v>0</v>
      </c>
      <c r="G135" s="785">
        <v>0</v>
      </c>
      <c r="H135" s="785">
        <v>2.86</v>
      </c>
      <c r="I135" s="785">
        <v>0</v>
      </c>
      <c r="J135" s="786" t="s">
        <v>10</v>
      </c>
      <c r="K135" s="787" t="s">
        <v>451</v>
      </c>
      <c r="L135" s="793"/>
      <c r="M135" s="789"/>
      <c r="N135" s="815"/>
    </row>
    <row r="136" spans="1:14" ht="21.75" customHeight="1" x14ac:dyDescent="0.35">
      <c r="A136" s="838"/>
      <c r="B136" s="859"/>
      <c r="C136" s="840">
        <f t="shared" ref="C136:I136" si="6">SUM(C131:C135)</f>
        <v>10.66</v>
      </c>
      <c r="D136" s="840">
        <f t="shared" si="6"/>
        <v>11.3</v>
      </c>
      <c r="E136" s="840">
        <f t="shared" si="6"/>
        <v>2.62</v>
      </c>
      <c r="F136" s="840">
        <f t="shared" si="6"/>
        <v>0</v>
      </c>
      <c r="G136" s="840">
        <f t="shared" si="6"/>
        <v>0</v>
      </c>
      <c r="H136" s="840">
        <f t="shared" si="6"/>
        <v>8.0399999999999991</v>
      </c>
      <c r="I136" s="840">
        <f t="shared" si="6"/>
        <v>0</v>
      </c>
      <c r="J136" s="804"/>
      <c r="K136" s="805"/>
      <c r="L136" s="138"/>
    </row>
    <row r="137" spans="1:14" ht="21.75" customHeight="1" thickBot="1" x14ac:dyDescent="0.4">
      <c r="A137" s="831" t="s">
        <v>341</v>
      </c>
      <c r="B137" s="832"/>
      <c r="C137" s="215">
        <f>E137+H137</f>
        <v>10.66</v>
      </c>
      <c r="D137" s="833"/>
      <c r="E137" s="215">
        <f>SUM(E131:E135)</f>
        <v>2.62</v>
      </c>
      <c r="F137" s="215">
        <f>SUM(F131:F135)</f>
        <v>0</v>
      </c>
      <c r="G137" s="215">
        <f>SUM(G131:G135)</f>
        <v>0</v>
      </c>
      <c r="H137" s="215">
        <f>SUM(H131:H135)</f>
        <v>8.0399999999999991</v>
      </c>
      <c r="I137" s="215">
        <f>SUM(I131:I135)</f>
        <v>0</v>
      </c>
      <c r="J137" s="216"/>
      <c r="K137" s="217"/>
      <c r="L137" s="240"/>
      <c r="M137" s="125"/>
    </row>
    <row r="138" spans="1:14" ht="21.75" customHeight="1" thickBot="1" x14ac:dyDescent="0.4">
      <c r="A138" s="114"/>
      <c r="B138" s="196"/>
      <c r="C138" s="126"/>
      <c r="D138" s="810"/>
      <c r="E138" s="126"/>
      <c r="F138" s="126"/>
      <c r="G138" s="126"/>
      <c r="H138" s="126"/>
      <c r="I138" s="126"/>
      <c r="J138" s="113"/>
      <c r="K138" s="125"/>
      <c r="L138" s="258"/>
      <c r="M138" s="125"/>
    </row>
    <row r="139" spans="1:14" s="113" customFormat="1" ht="21.75" customHeight="1" x14ac:dyDescent="0.35">
      <c r="A139" s="1260" t="s">
        <v>455</v>
      </c>
      <c r="B139" s="1261"/>
      <c r="C139" s="1261"/>
      <c r="D139" s="1261"/>
      <c r="E139" s="1261"/>
      <c r="F139" s="1261"/>
      <c r="G139" s="1261"/>
      <c r="H139" s="1261"/>
      <c r="I139" s="1261"/>
      <c r="J139" s="1261"/>
      <c r="K139" s="1261"/>
      <c r="L139" s="1276"/>
      <c r="M139" s="777"/>
      <c r="N139" s="115"/>
    </row>
    <row r="140" spans="1:14" s="113" customFormat="1" ht="21.75" customHeight="1" thickBot="1" x14ac:dyDescent="0.4">
      <c r="A140" s="229"/>
      <c r="B140" s="118"/>
      <c r="C140" s="778"/>
      <c r="D140" s="779"/>
      <c r="E140" s="778"/>
      <c r="F140" s="778"/>
      <c r="G140" s="778"/>
      <c r="H140" s="778"/>
      <c r="I140" s="778"/>
      <c r="J140" s="116"/>
      <c r="K140" s="125"/>
      <c r="L140" s="258"/>
      <c r="M140" s="125"/>
      <c r="N140" s="115"/>
    </row>
    <row r="141" spans="1:14" s="113" customFormat="1" ht="21.75" customHeight="1" x14ac:dyDescent="0.35">
      <c r="A141" s="1263" t="s">
        <v>302</v>
      </c>
      <c r="B141" s="1265" t="s">
        <v>28</v>
      </c>
      <c r="C141" s="1267" t="s">
        <v>343</v>
      </c>
      <c r="D141" s="812"/>
      <c r="E141" s="1271" t="s">
        <v>305</v>
      </c>
      <c r="F141" s="1271"/>
      <c r="G141" s="1271"/>
      <c r="H141" s="1271"/>
      <c r="I141" s="1271"/>
      <c r="J141" s="1265" t="s">
        <v>29</v>
      </c>
      <c r="K141" s="1272" t="s">
        <v>306</v>
      </c>
      <c r="L141" s="1277" t="s">
        <v>307</v>
      </c>
      <c r="M141" s="781"/>
      <c r="N141" s="115"/>
    </row>
    <row r="142" spans="1:14" s="113" customFormat="1" ht="21.75" customHeight="1" thickBot="1" x14ac:dyDescent="0.4">
      <c r="A142" s="1264"/>
      <c r="B142" s="1266"/>
      <c r="C142" s="1268"/>
      <c r="D142" s="813"/>
      <c r="E142" s="782" t="s">
        <v>308</v>
      </c>
      <c r="F142" s="782" t="s">
        <v>309</v>
      </c>
      <c r="G142" s="782" t="s">
        <v>310</v>
      </c>
      <c r="H142" s="782" t="s">
        <v>311</v>
      </c>
      <c r="I142" s="782" t="s">
        <v>312</v>
      </c>
      <c r="J142" s="1266"/>
      <c r="K142" s="1273"/>
      <c r="L142" s="1278"/>
      <c r="M142" s="781"/>
      <c r="N142" s="115"/>
    </row>
    <row r="143" spans="1:14" ht="21.75" customHeight="1" x14ac:dyDescent="0.35">
      <c r="A143" s="171">
        <v>91</v>
      </c>
      <c r="B143" s="860" t="s">
        <v>62</v>
      </c>
      <c r="C143" s="173">
        <f>'inventory2020(FOR revised)'!C172</f>
        <v>13.07</v>
      </c>
      <c r="D143" s="861">
        <f>'[23]road inventory 2018'!C169</f>
        <v>12.9</v>
      </c>
      <c r="E143" s="173">
        <v>10</v>
      </c>
      <c r="F143" s="173">
        <v>0</v>
      </c>
      <c r="G143" s="173">
        <v>0</v>
      </c>
      <c r="H143" s="173">
        <v>3.07</v>
      </c>
      <c r="I143" s="173">
        <v>0</v>
      </c>
      <c r="J143" s="175" t="s">
        <v>10</v>
      </c>
      <c r="K143" s="862" t="s">
        <v>456</v>
      </c>
      <c r="L143" s="172"/>
    </row>
    <row r="144" spans="1:14" s="790" customFormat="1" ht="21.75" customHeight="1" x14ac:dyDescent="0.35">
      <c r="A144" s="783">
        <v>92</v>
      </c>
      <c r="B144" s="852" t="s">
        <v>457</v>
      </c>
      <c r="C144" s="173">
        <f>'inventory2020(FOR revised)'!C173</f>
        <v>5.6</v>
      </c>
      <c r="D144" s="861">
        <f>'[23]road inventory 2018'!C170</f>
        <v>5.6</v>
      </c>
      <c r="E144" s="785">
        <v>3</v>
      </c>
      <c r="F144" s="785">
        <v>0</v>
      </c>
      <c r="G144" s="785">
        <v>0</v>
      </c>
      <c r="H144" s="785">
        <v>2.6</v>
      </c>
      <c r="I144" s="785">
        <v>0</v>
      </c>
      <c r="J144" s="786" t="s">
        <v>317</v>
      </c>
      <c r="K144" s="787" t="s">
        <v>459</v>
      </c>
      <c r="L144" s="793"/>
      <c r="M144" s="789"/>
      <c r="N144" s="797"/>
    </row>
    <row r="145" spans="1:14" ht="21.75" customHeight="1" x14ac:dyDescent="0.35">
      <c r="A145" s="863" t="s">
        <v>341</v>
      </c>
      <c r="B145" s="864"/>
      <c r="C145" s="248">
        <f t="shared" ref="C145:I145" si="7">SUM(C143:C144)</f>
        <v>18.670000000000002</v>
      </c>
      <c r="D145" s="248">
        <f t="shared" si="7"/>
        <v>18.5</v>
      </c>
      <c r="E145" s="248">
        <f t="shared" si="7"/>
        <v>13</v>
      </c>
      <c r="F145" s="248">
        <f t="shared" si="7"/>
        <v>0</v>
      </c>
      <c r="G145" s="248">
        <f t="shared" si="7"/>
        <v>0</v>
      </c>
      <c r="H145" s="248">
        <f t="shared" si="7"/>
        <v>5.67</v>
      </c>
      <c r="I145" s="248">
        <f t="shared" si="7"/>
        <v>0</v>
      </c>
      <c r="J145" s="239"/>
      <c r="K145" s="865"/>
      <c r="L145" s="240"/>
      <c r="M145" s="125"/>
    </row>
    <row r="146" spans="1:14" ht="21.75" customHeight="1" x14ac:dyDescent="0.35">
      <c r="A146" s="135"/>
      <c r="B146" s="198"/>
      <c r="C146" s="137"/>
      <c r="D146" s="814"/>
      <c r="E146" s="137"/>
      <c r="F146" s="137"/>
      <c r="G146" s="137"/>
      <c r="H146" s="137"/>
      <c r="I146" s="137"/>
      <c r="J146" s="141"/>
      <c r="K146" s="796"/>
      <c r="L146" s="138"/>
    </row>
    <row r="147" spans="1:14" ht="21.75" customHeight="1" thickBot="1" x14ac:dyDescent="0.4">
      <c r="A147" s="1282" t="s">
        <v>460</v>
      </c>
      <c r="B147" s="1283"/>
      <c r="C147" s="866">
        <f>C30+C58+C70+C77+C91+C125+C137+C145</f>
        <v>371.99000000000007</v>
      </c>
      <c r="D147" s="867">
        <f>D145+D136+D124+D90+D76+D69+D57+D29</f>
        <v>367.95</v>
      </c>
      <c r="E147" s="866">
        <f>+E145+E137+E125+E91+E77+E70+E58+E30</f>
        <v>145.251</v>
      </c>
      <c r="F147" s="866">
        <f>+F145+F137+F125+F91+F77+F70+F58+F30</f>
        <v>0</v>
      </c>
      <c r="G147" s="866">
        <f>+G145+G137+G125+G91+G77+G70+G58+G30</f>
        <v>5.8</v>
      </c>
      <c r="H147" s="866">
        <f>+H145+H137+H125+H91+H77+H70+H58+H30</f>
        <v>220.93899999999999</v>
      </c>
      <c r="I147" s="866">
        <f>+I145+I137+I125+I91+I77+I70+I58+I30</f>
        <v>0</v>
      </c>
      <c r="J147" s="868"/>
      <c r="K147" s="869"/>
      <c r="L147" s="870"/>
      <c r="M147" s="125"/>
    </row>
    <row r="148" spans="1:14" ht="21.75" customHeight="1" thickBot="1" x14ac:dyDescent="0.4">
      <c r="A148" s="114"/>
      <c r="B148" s="196"/>
      <c r="C148" s="126"/>
      <c r="D148" s="810"/>
      <c r="E148" s="126"/>
      <c r="F148" s="126"/>
      <c r="G148" s="126"/>
      <c r="H148" s="126"/>
      <c r="I148" s="126"/>
      <c r="J148" s="113"/>
      <c r="K148" s="125"/>
      <c r="L148" s="258"/>
      <c r="M148" s="125"/>
    </row>
    <row r="149" spans="1:14" s="113" customFormat="1" ht="21.75" customHeight="1" x14ac:dyDescent="0.35">
      <c r="A149" s="1260" t="s">
        <v>461</v>
      </c>
      <c r="B149" s="1261"/>
      <c r="C149" s="1261"/>
      <c r="D149" s="1261"/>
      <c r="E149" s="1261"/>
      <c r="F149" s="1261"/>
      <c r="G149" s="1261"/>
      <c r="H149" s="1261"/>
      <c r="I149" s="1261"/>
      <c r="J149" s="1261"/>
      <c r="K149" s="1261"/>
      <c r="L149" s="1276"/>
      <c r="M149" s="777"/>
      <c r="N149" s="115"/>
    </row>
    <row r="150" spans="1:14" s="113" customFormat="1" ht="21.75" customHeight="1" thickBot="1" x14ac:dyDescent="0.4">
      <c r="A150" s="229"/>
      <c r="B150" s="118"/>
      <c r="C150" s="778"/>
      <c r="D150" s="779"/>
      <c r="E150" s="778"/>
      <c r="F150" s="778"/>
      <c r="G150" s="778"/>
      <c r="H150" s="778"/>
      <c r="I150" s="778"/>
      <c r="J150" s="116"/>
      <c r="K150" s="125"/>
      <c r="L150" s="258"/>
      <c r="M150" s="125"/>
      <c r="N150" s="115"/>
    </row>
    <row r="151" spans="1:14" s="113" customFormat="1" ht="21.75" customHeight="1" x14ac:dyDescent="0.35">
      <c r="A151" s="1263" t="s">
        <v>302</v>
      </c>
      <c r="B151" s="1265" t="s">
        <v>28</v>
      </c>
      <c r="C151" s="1267" t="s">
        <v>343</v>
      </c>
      <c r="D151" s="812"/>
      <c r="E151" s="1271" t="s">
        <v>305</v>
      </c>
      <c r="F151" s="1271"/>
      <c r="G151" s="1271"/>
      <c r="H151" s="1271"/>
      <c r="I151" s="1271"/>
      <c r="J151" s="1265" t="s">
        <v>29</v>
      </c>
      <c r="K151" s="1272" t="s">
        <v>306</v>
      </c>
      <c r="L151" s="1277" t="s">
        <v>307</v>
      </c>
      <c r="M151" s="781"/>
      <c r="N151" s="115"/>
    </row>
    <row r="152" spans="1:14" s="113" customFormat="1" ht="21.75" customHeight="1" thickBot="1" x14ac:dyDescent="0.4">
      <c r="A152" s="1264"/>
      <c r="B152" s="1266"/>
      <c r="C152" s="1268"/>
      <c r="D152" s="813"/>
      <c r="E152" s="782" t="s">
        <v>308</v>
      </c>
      <c r="F152" s="782" t="s">
        <v>309</v>
      </c>
      <c r="G152" s="782" t="s">
        <v>310</v>
      </c>
      <c r="H152" s="782" t="s">
        <v>311</v>
      </c>
      <c r="I152" s="782" t="s">
        <v>312</v>
      </c>
      <c r="J152" s="1266"/>
      <c r="K152" s="1273"/>
      <c r="L152" s="1278"/>
      <c r="M152" s="781"/>
      <c r="N152" s="115"/>
    </row>
    <row r="153" spans="1:14" s="790" customFormat="1" ht="21.75" customHeight="1" x14ac:dyDescent="0.35">
      <c r="A153" s="783">
        <v>89</v>
      </c>
      <c r="B153" s="793" t="s">
        <v>462</v>
      </c>
      <c r="C153" s="785">
        <f>'inventory2020(FOR revised)'!C182</f>
        <v>0.63</v>
      </c>
      <c r="D153" s="785">
        <f>'inventory2020(FOR revised)'!D182</f>
        <v>0.63</v>
      </c>
      <c r="E153" s="785">
        <f>'inventory2020(FOR revised)'!E182</f>
        <v>0.3</v>
      </c>
      <c r="F153" s="785">
        <f>'inventory2020(FOR revised)'!F182</f>
        <v>0</v>
      </c>
      <c r="G153" s="785">
        <f>'inventory2020(FOR revised)'!G182</f>
        <v>0</v>
      </c>
      <c r="H153" s="785">
        <f>'inventory2020(FOR revised)'!H182</f>
        <v>0.33</v>
      </c>
      <c r="I153" s="785">
        <v>0</v>
      </c>
      <c r="J153" s="793" t="s">
        <v>10</v>
      </c>
      <c r="K153" s="787" t="s">
        <v>360</v>
      </c>
      <c r="L153" s="788"/>
      <c r="M153" s="789"/>
      <c r="N153" s="797"/>
    </row>
    <row r="154" spans="1:14" s="790" customFormat="1" ht="21.75" customHeight="1" x14ac:dyDescent="0.35">
      <c r="A154" s="783">
        <v>109</v>
      </c>
      <c r="B154" s="793" t="s">
        <v>285</v>
      </c>
      <c r="C154" s="785">
        <f>'inventory2020(FOR revised)'!C183</f>
        <v>2.5</v>
      </c>
      <c r="D154" s="785">
        <f>'inventory2020(FOR revised)'!D183</f>
        <v>2.5</v>
      </c>
      <c r="E154" s="785">
        <f>'inventory2020(FOR revised)'!E183</f>
        <v>0.25700000000000001</v>
      </c>
      <c r="F154" s="785">
        <f>'inventory2020(FOR revised)'!F183</f>
        <v>0</v>
      </c>
      <c r="G154" s="785">
        <f>'inventory2020(FOR revised)'!G183</f>
        <v>0</v>
      </c>
      <c r="H154" s="785">
        <f>'inventory2020(FOR revised)'!H183</f>
        <v>2.2429999999999999</v>
      </c>
      <c r="I154" s="785">
        <v>0</v>
      </c>
      <c r="J154" s="793" t="s">
        <v>10</v>
      </c>
      <c r="K154" s="787" t="s">
        <v>463</v>
      </c>
      <c r="L154" s="793"/>
      <c r="M154" s="789"/>
      <c r="N154" s="797"/>
    </row>
    <row r="155" spans="1:14" s="790" customFormat="1" ht="21.75" customHeight="1" x14ac:dyDescent="0.35">
      <c r="A155" s="783">
        <v>112</v>
      </c>
      <c r="B155" s="793" t="s">
        <v>73</v>
      </c>
      <c r="C155" s="785">
        <f>'inventory2020(FOR revised)'!C186</f>
        <v>8.5100000000000016</v>
      </c>
      <c r="D155" s="785">
        <f>'inventory2020(FOR revised)'!D186</f>
        <v>8.4</v>
      </c>
      <c r="E155" s="785">
        <f>'inventory2020(FOR revised)'!E186</f>
        <v>0.21</v>
      </c>
      <c r="F155" s="785">
        <f>'inventory2020(FOR revised)'!F186</f>
        <v>0</v>
      </c>
      <c r="G155" s="785">
        <f>'inventory2020(FOR revised)'!G186</f>
        <v>0</v>
      </c>
      <c r="H155" s="785">
        <f>'inventory2020(FOR revised)'!H186</f>
        <v>8.3000000000000007</v>
      </c>
      <c r="I155" s="785">
        <v>0</v>
      </c>
      <c r="J155" s="793" t="s">
        <v>12</v>
      </c>
      <c r="K155" s="787" t="s">
        <v>466</v>
      </c>
      <c r="L155" s="793"/>
      <c r="M155" s="789"/>
      <c r="N155" s="797"/>
    </row>
    <row r="156" spans="1:14" ht="21.75" customHeight="1" x14ac:dyDescent="0.35">
      <c r="A156" s="135">
        <v>114</v>
      </c>
      <c r="B156" s="138" t="s">
        <v>468</v>
      </c>
      <c r="C156" s="785">
        <f>'inventory2020(FOR revised)'!C188</f>
        <v>9.5500000000000007</v>
      </c>
      <c r="D156" s="785">
        <f>'inventory2020(FOR revised)'!D188</f>
        <v>9.5</v>
      </c>
      <c r="E156" s="785">
        <f>'inventory2020(FOR revised)'!E188</f>
        <v>0</v>
      </c>
      <c r="F156" s="785">
        <f>'inventory2020(FOR revised)'!F188</f>
        <v>0</v>
      </c>
      <c r="G156" s="785">
        <f>'inventory2020(FOR revised)'!G188</f>
        <v>0</v>
      </c>
      <c r="H156" s="785">
        <f>'inventory2020(FOR revised)'!H188</f>
        <v>9.5500000000000007</v>
      </c>
      <c r="I156" s="137">
        <v>0</v>
      </c>
      <c r="J156" s="141" t="s">
        <v>12</v>
      </c>
      <c r="K156" s="796" t="s">
        <v>469</v>
      </c>
      <c r="L156" s="138"/>
    </row>
    <row r="157" spans="1:14" s="790" customFormat="1" ht="21.75" customHeight="1" x14ac:dyDescent="0.35">
      <c r="A157" s="783">
        <v>115</v>
      </c>
      <c r="B157" s="793" t="s">
        <v>77</v>
      </c>
      <c r="C157" s="785">
        <f>'inventory2020(FOR revised)'!C189</f>
        <v>10.71</v>
      </c>
      <c r="D157" s="785">
        <f>'inventory2020(FOR revised)'!D189</f>
        <v>10.700000000000001</v>
      </c>
      <c r="E157" s="785">
        <f>'inventory2020(FOR revised)'!E189</f>
        <v>10.71</v>
      </c>
      <c r="F157" s="785">
        <f>'inventory2020(FOR revised)'!F189</f>
        <v>0</v>
      </c>
      <c r="G157" s="785">
        <f>'inventory2020(FOR revised)'!G189</f>
        <v>0</v>
      </c>
      <c r="H157" s="785">
        <f>'inventory2020(FOR revised)'!H189</f>
        <v>0</v>
      </c>
      <c r="I157" s="785">
        <v>0</v>
      </c>
      <c r="J157" s="793" t="s">
        <v>10</v>
      </c>
      <c r="K157" s="787" t="s">
        <v>470</v>
      </c>
      <c r="L157" s="793"/>
      <c r="M157" s="789"/>
      <c r="N157" s="797"/>
    </row>
    <row r="158" spans="1:14" ht="21.75" customHeight="1" x14ac:dyDescent="0.35">
      <c r="A158" s="135">
        <v>117</v>
      </c>
      <c r="B158" s="138" t="s">
        <v>79</v>
      </c>
      <c r="C158" s="785">
        <f>'inventory2020(FOR revised)'!C190</f>
        <v>9.51</v>
      </c>
      <c r="D158" s="785">
        <f>'inventory2020(FOR revised)'!D190</f>
        <v>8.6</v>
      </c>
      <c r="E158" s="785">
        <f>'inventory2020(FOR revised)'!E190</f>
        <v>1.7</v>
      </c>
      <c r="F158" s="785">
        <f>'inventory2020(FOR revised)'!F190</f>
        <v>0</v>
      </c>
      <c r="G158" s="785">
        <f>'inventory2020(FOR revised)'!G190</f>
        <v>0</v>
      </c>
      <c r="H158" s="785">
        <f>'inventory2020(FOR revised)'!H190</f>
        <v>7.81</v>
      </c>
      <c r="I158" s="137">
        <v>0</v>
      </c>
      <c r="J158" s="141" t="s">
        <v>12</v>
      </c>
      <c r="K158" s="796" t="s">
        <v>471</v>
      </c>
      <c r="L158" s="138"/>
    </row>
    <row r="159" spans="1:14" s="790" customFormat="1" ht="21.75" customHeight="1" x14ac:dyDescent="0.35">
      <c r="A159" s="783">
        <v>132</v>
      </c>
      <c r="B159" s="793" t="s">
        <v>85</v>
      </c>
      <c r="C159" s="785">
        <f>'inventory2020(FOR revised)'!C192</f>
        <v>13.5</v>
      </c>
      <c r="D159" s="785">
        <f>'inventory2020(FOR revised)'!D192</f>
        <v>13.5</v>
      </c>
      <c r="E159" s="785">
        <f>'inventory2020(FOR revised)'!E192</f>
        <v>6.58</v>
      </c>
      <c r="F159" s="785">
        <f>'inventory2020(FOR revised)'!F192</f>
        <v>0</v>
      </c>
      <c r="G159" s="785">
        <f>'inventory2020(FOR revised)'!G192</f>
        <v>0</v>
      </c>
      <c r="H159" s="785">
        <f>'inventory2020(FOR revised)'!H192</f>
        <v>6.9200000000000008</v>
      </c>
      <c r="I159" s="785">
        <v>0</v>
      </c>
      <c r="J159" s="786" t="s">
        <v>10</v>
      </c>
      <c r="K159" s="787" t="s">
        <v>473</v>
      </c>
      <c r="L159" s="793"/>
      <c r="M159" s="789"/>
      <c r="N159" s="797"/>
    </row>
    <row r="160" spans="1:14" s="790" customFormat="1" ht="21.75" customHeight="1" x14ac:dyDescent="0.35">
      <c r="A160" s="783">
        <v>139</v>
      </c>
      <c r="B160" s="793" t="s">
        <v>474</v>
      </c>
      <c r="C160" s="785">
        <f>'inventory2020(FOR revised)'!C193</f>
        <v>9.1</v>
      </c>
      <c r="D160" s="785">
        <f>'inventory2020(FOR revised)'!D193</f>
        <v>8.9</v>
      </c>
      <c r="E160" s="785">
        <f>'inventory2020(FOR revised)'!E193</f>
        <v>0</v>
      </c>
      <c r="F160" s="785">
        <f>'inventory2020(FOR revised)'!F193</f>
        <v>0</v>
      </c>
      <c r="G160" s="785">
        <f>'inventory2020(FOR revised)'!G193</f>
        <v>0</v>
      </c>
      <c r="H160" s="785">
        <f>'inventory2020(FOR revised)'!H193</f>
        <v>9.1</v>
      </c>
      <c r="I160" s="785">
        <v>0</v>
      </c>
      <c r="J160" s="786" t="s">
        <v>12</v>
      </c>
      <c r="K160" s="793" t="s">
        <v>475</v>
      </c>
      <c r="L160" s="826"/>
      <c r="M160" s="789"/>
      <c r="N160" s="797"/>
    </row>
    <row r="161" spans="1:14" s="873" customFormat="1" ht="21.75" customHeight="1" x14ac:dyDescent="0.35">
      <c r="A161" s="924">
        <v>122</v>
      </c>
      <c r="B161" s="871" t="s">
        <v>476</v>
      </c>
      <c r="C161" s="925">
        <f>'inventory2020(FOR revised)'!C194</f>
        <v>3.4400000000000004</v>
      </c>
      <c r="D161" s="925">
        <f>'inventory2020(FOR revised)'!D194</f>
        <v>3.25</v>
      </c>
      <c r="E161" s="925">
        <f>'inventory2020(FOR revised)'!E194</f>
        <v>2.0920000000000001</v>
      </c>
      <c r="F161" s="925">
        <f>'inventory2020(FOR revised)'!F194</f>
        <v>0</v>
      </c>
      <c r="G161" s="925">
        <f>'inventory2020(FOR revised)'!G194</f>
        <v>0</v>
      </c>
      <c r="H161" s="925">
        <f>'inventory2020(FOR revised)'!H194</f>
        <v>1.3480000000000001</v>
      </c>
      <c r="I161" s="925">
        <v>0</v>
      </c>
      <c r="J161" s="926" t="s">
        <v>12</v>
      </c>
      <c r="K161" s="927" t="s">
        <v>477</v>
      </c>
      <c r="L161" s="871"/>
      <c r="M161" s="822"/>
      <c r="N161" s="872"/>
    </row>
    <row r="162" spans="1:14" s="873" customFormat="1" ht="21.75" customHeight="1" x14ac:dyDescent="0.35">
      <c r="A162" s="817">
        <v>216</v>
      </c>
      <c r="B162" s="818" t="s">
        <v>87</v>
      </c>
      <c r="C162" s="819">
        <f>'inventory2020(FOR revised)'!C195</f>
        <v>6.32</v>
      </c>
      <c r="D162" s="819">
        <f>'inventory2020(FOR revised)'!D195</f>
        <v>6.1</v>
      </c>
      <c r="E162" s="819">
        <f>'inventory2020(FOR revised)'!E195</f>
        <v>0</v>
      </c>
      <c r="F162" s="819">
        <f>'inventory2020(FOR revised)'!F195</f>
        <v>0</v>
      </c>
      <c r="G162" s="819">
        <f>'inventory2020(FOR revised)'!G195</f>
        <v>0</v>
      </c>
      <c r="H162" s="819">
        <f>'inventory2020(FOR revised)'!H195</f>
        <v>6.32</v>
      </c>
      <c r="I162" s="819">
        <v>0</v>
      </c>
      <c r="J162" s="820" t="s">
        <v>12</v>
      </c>
      <c r="K162" s="821" t="s">
        <v>478</v>
      </c>
      <c r="L162" s="818"/>
      <c r="M162" s="822"/>
      <c r="N162" s="872"/>
    </row>
    <row r="163" spans="1:14" s="873" customFormat="1" ht="21.75" customHeight="1" x14ac:dyDescent="0.35">
      <c r="A163" s="817">
        <v>133</v>
      </c>
      <c r="B163" s="818" t="s">
        <v>90</v>
      </c>
      <c r="C163" s="819">
        <f>'inventory2020(FOR revised)'!C196</f>
        <v>4.47</v>
      </c>
      <c r="D163" s="819">
        <f>'inventory2020(FOR revised)'!D196</f>
        <v>4.4000000000000004</v>
      </c>
      <c r="E163" s="819">
        <f>'inventory2020(FOR revised)'!E196</f>
        <v>0</v>
      </c>
      <c r="F163" s="819">
        <f>'inventory2020(FOR revised)'!F196</f>
        <v>0</v>
      </c>
      <c r="G163" s="819">
        <f>'inventory2020(FOR revised)'!G196</f>
        <v>0</v>
      </c>
      <c r="H163" s="819">
        <f>'inventory2020(FOR revised)'!H196</f>
        <v>4.47</v>
      </c>
      <c r="I163" s="819">
        <v>0</v>
      </c>
      <c r="J163" s="820" t="s">
        <v>12</v>
      </c>
      <c r="K163" s="821" t="s">
        <v>478</v>
      </c>
      <c r="L163" s="818"/>
      <c r="M163" s="822"/>
      <c r="N163" s="872"/>
    </row>
    <row r="164" spans="1:14" s="873" customFormat="1" ht="21.75" customHeight="1" x14ac:dyDescent="0.35">
      <c r="A164" s="817">
        <v>123</v>
      </c>
      <c r="B164" s="818" t="s">
        <v>91</v>
      </c>
      <c r="C164" s="819">
        <f>'inventory2020(FOR revised)'!C197</f>
        <v>21.63</v>
      </c>
      <c r="D164" s="819">
        <f>'inventory2020(FOR revised)'!D197</f>
        <v>17</v>
      </c>
      <c r="E164" s="819">
        <f>'inventory2020(FOR revised)'!E197</f>
        <v>14</v>
      </c>
      <c r="F164" s="819">
        <f>'inventory2020(FOR revised)'!F197</f>
        <v>0</v>
      </c>
      <c r="G164" s="819">
        <f>'inventory2020(FOR revised)'!G197</f>
        <v>0</v>
      </c>
      <c r="H164" s="819">
        <f>'inventory2020(FOR revised)'!H197</f>
        <v>7.629999999999999</v>
      </c>
      <c r="I164" s="819">
        <v>0</v>
      </c>
      <c r="J164" s="820" t="s">
        <v>12</v>
      </c>
      <c r="K164" s="821" t="s">
        <v>475</v>
      </c>
      <c r="L164" s="818"/>
      <c r="M164" s="822"/>
      <c r="N164" s="872"/>
    </row>
    <row r="165" spans="1:14" s="873" customFormat="1" ht="21.75" customHeight="1" x14ac:dyDescent="0.35">
      <c r="A165" s="817">
        <v>134</v>
      </c>
      <c r="B165" s="853" t="s">
        <v>284</v>
      </c>
      <c r="C165" s="819">
        <f>'inventory2020(FOR revised)'!C198</f>
        <v>8.23</v>
      </c>
      <c r="D165" s="819">
        <f>'inventory2020(FOR revised)'!D198</f>
        <v>8.3000000000000007</v>
      </c>
      <c r="E165" s="819">
        <f>'inventory2020(FOR revised)'!E198</f>
        <v>0</v>
      </c>
      <c r="F165" s="819">
        <f>'inventory2020(FOR revised)'!F198</f>
        <v>0</v>
      </c>
      <c r="G165" s="819">
        <f>'inventory2020(FOR revised)'!G198</f>
        <v>0</v>
      </c>
      <c r="H165" s="819">
        <f>'inventory2020(FOR revised)'!H198</f>
        <v>8.23</v>
      </c>
      <c r="I165" s="819">
        <v>0</v>
      </c>
      <c r="J165" s="820" t="s">
        <v>317</v>
      </c>
      <c r="K165" s="821"/>
      <c r="L165" s="818"/>
      <c r="M165" s="822"/>
      <c r="N165" s="872"/>
    </row>
    <row r="166" spans="1:14" ht="21.75" customHeight="1" x14ac:dyDescent="0.35">
      <c r="A166" s="838"/>
      <c r="B166" s="859"/>
      <c r="C166" s="840">
        <f t="shared" ref="C166:I166" si="8">SUM(C153:C165)</f>
        <v>108.10000000000001</v>
      </c>
      <c r="D166" s="840">
        <f t="shared" si="8"/>
        <v>101.78</v>
      </c>
      <c r="E166" s="840">
        <f t="shared" si="8"/>
        <v>35.848999999999997</v>
      </c>
      <c r="F166" s="840">
        <f t="shared" si="8"/>
        <v>0</v>
      </c>
      <c r="G166" s="840">
        <f t="shared" si="8"/>
        <v>0</v>
      </c>
      <c r="H166" s="840">
        <f t="shared" si="8"/>
        <v>72.251000000000005</v>
      </c>
      <c r="I166" s="840">
        <f t="shared" si="8"/>
        <v>0</v>
      </c>
      <c r="J166" s="804"/>
      <c r="K166" s="805"/>
      <c r="L166" s="138"/>
    </row>
    <row r="167" spans="1:14" ht="21.75" customHeight="1" thickBot="1" x14ac:dyDescent="0.4">
      <c r="A167" s="831" t="s">
        <v>341</v>
      </c>
      <c r="B167" s="832"/>
      <c r="C167" s="215">
        <f>E167+H167</f>
        <v>108.1</v>
      </c>
      <c r="D167" s="833"/>
      <c r="E167" s="215">
        <f>SUM(E153:E165)</f>
        <v>35.848999999999997</v>
      </c>
      <c r="F167" s="215">
        <f>SUM(F153:F165)</f>
        <v>0</v>
      </c>
      <c r="G167" s="215">
        <f>SUM(G153:G165)</f>
        <v>0</v>
      </c>
      <c r="H167" s="215">
        <f>SUM(H153:H165)</f>
        <v>72.251000000000005</v>
      </c>
      <c r="I167" s="215">
        <f>SUM(I153:I165)</f>
        <v>0</v>
      </c>
      <c r="J167" s="216"/>
      <c r="K167" s="217"/>
      <c r="L167" s="240"/>
      <c r="M167" s="125"/>
    </row>
    <row r="168" spans="1:14" ht="21.75" customHeight="1" thickBot="1" x14ac:dyDescent="0.4">
      <c r="L168" s="138"/>
      <c r="N168" s="238">
        <f>C166-C167</f>
        <v>0</v>
      </c>
    </row>
    <row r="169" spans="1:14" s="113" customFormat="1" ht="21.75" customHeight="1" x14ac:dyDescent="0.35">
      <c r="A169" s="1260" t="s">
        <v>479</v>
      </c>
      <c r="B169" s="1261"/>
      <c r="C169" s="1261"/>
      <c r="D169" s="1261"/>
      <c r="E169" s="1261"/>
      <c r="F169" s="1261"/>
      <c r="G169" s="1261"/>
      <c r="H169" s="1261"/>
      <c r="I169" s="1261"/>
      <c r="J169" s="1261"/>
      <c r="K169" s="1261"/>
      <c r="L169" s="874"/>
      <c r="M169" s="777"/>
      <c r="N169" s="115"/>
    </row>
    <row r="170" spans="1:14" s="113" customFormat="1" ht="21.75" customHeight="1" thickBot="1" x14ac:dyDescent="0.4">
      <c r="A170" s="229"/>
      <c r="B170" s="118"/>
      <c r="C170" s="778"/>
      <c r="D170" s="779"/>
      <c r="E170" s="778"/>
      <c r="F170" s="778"/>
      <c r="G170" s="778"/>
      <c r="H170" s="778"/>
      <c r="I170" s="778"/>
      <c r="J170" s="116"/>
      <c r="K170" s="125"/>
      <c r="L170" s="240"/>
      <c r="M170" s="125"/>
      <c r="N170" s="115"/>
    </row>
    <row r="171" spans="1:14" s="113" customFormat="1" ht="21.75" customHeight="1" x14ac:dyDescent="0.35">
      <c r="A171" s="1263" t="s">
        <v>302</v>
      </c>
      <c r="B171" s="1265" t="s">
        <v>28</v>
      </c>
      <c r="C171" s="1267" t="s">
        <v>343</v>
      </c>
      <c r="D171" s="812"/>
      <c r="E171" s="1271" t="s">
        <v>305</v>
      </c>
      <c r="F171" s="1271"/>
      <c r="G171" s="1271"/>
      <c r="H171" s="1271"/>
      <c r="I171" s="1271"/>
      <c r="J171" s="1265" t="s">
        <v>29</v>
      </c>
      <c r="K171" s="1272" t="s">
        <v>306</v>
      </c>
      <c r="L171" s="1284" t="s">
        <v>307</v>
      </c>
      <c r="M171" s="781"/>
      <c r="N171" s="115"/>
    </row>
    <row r="172" spans="1:14" s="113" customFormat="1" ht="21.75" customHeight="1" thickBot="1" x14ac:dyDescent="0.4">
      <c r="A172" s="1264"/>
      <c r="B172" s="1266"/>
      <c r="C172" s="1268"/>
      <c r="D172" s="813"/>
      <c r="E172" s="782" t="s">
        <v>308</v>
      </c>
      <c r="F172" s="782" t="s">
        <v>309</v>
      </c>
      <c r="G172" s="782" t="s">
        <v>310</v>
      </c>
      <c r="H172" s="782" t="s">
        <v>311</v>
      </c>
      <c r="I172" s="782" t="s">
        <v>312</v>
      </c>
      <c r="J172" s="1266"/>
      <c r="K172" s="1273"/>
      <c r="L172" s="1285"/>
      <c r="M172" s="781"/>
      <c r="N172" s="115"/>
    </row>
    <row r="173" spans="1:14" s="790" customFormat="1" ht="21.75" customHeight="1" x14ac:dyDescent="0.35">
      <c r="A173" s="783">
        <v>136</v>
      </c>
      <c r="B173" s="793" t="s">
        <v>93</v>
      </c>
      <c r="C173" s="785">
        <f>'inventory2020(FOR revised)'!C206</f>
        <v>11.309999999999999</v>
      </c>
      <c r="D173" s="835">
        <f>'[23]road inventory 2018'!C204</f>
        <v>11.3</v>
      </c>
      <c r="E173" s="785">
        <v>8.6999999999999993</v>
      </c>
      <c r="F173" s="785">
        <v>0</v>
      </c>
      <c r="G173" s="785">
        <v>0</v>
      </c>
      <c r="H173" s="785">
        <v>2.61</v>
      </c>
      <c r="I173" s="785">
        <v>0</v>
      </c>
      <c r="J173" s="793" t="s">
        <v>10</v>
      </c>
      <c r="K173" s="787" t="s">
        <v>480</v>
      </c>
      <c r="L173" s="793"/>
      <c r="M173" s="789"/>
      <c r="N173" s="797"/>
    </row>
    <row r="174" spans="1:14" s="790" customFormat="1" ht="21.75" customHeight="1" x14ac:dyDescent="0.35">
      <c r="A174" s="783">
        <v>137</v>
      </c>
      <c r="B174" s="793" t="s">
        <v>95</v>
      </c>
      <c r="C174" s="785">
        <f>'inventory2020(FOR revised)'!C207</f>
        <v>12.59</v>
      </c>
      <c r="D174" s="835">
        <f>'[23]road inventory 2018'!C205</f>
        <v>12.5</v>
      </c>
      <c r="E174" s="785">
        <v>8.74</v>
      </c>
      <c r="F174" s="785">
        <v>0</v>
      </c>
      <c r="G174" s="785">
        <v>0</v>
      </c>
      <c r="H174" s="785">
        <v>3.85</v>
      </c>
      <c r="I174" s="785">
        <v>0</v>
      </c>
      <c r="J174" s="793" t="s">
        <v>10</v>
      </c>
      <c r="K174" s="787" t="s">
        <v>481</v>
      </c>
      <c r="L174" s="793"/>
      <c r="M174" s="789"/>
      <c r="N174" s="797"/>
    </row>
    <row r="175" spans="1:14" s="790" customFormat="1" ht="21.75" customHeight="1" x14ac:dyDescent="0.35">
      <c r="A175" s="783">
        <v>120</v>
      </c>
      <c r="B175" s="793" t="s">
        <v>99</v>
      </c>
      <c r="C175" s="785">
        <f>'inventory2020(FOR revised)'!C209</f>
        <v>10.85</v>
      </c>
      <c r="D175" s="835">
        <f>'[23]road inventory 2018'!C207</f>
        <v>10.75</v>
      </c>
      <c r="E175" s="785">
        <v>10.24</v>
      </c>
      <c r="F175" s="785">
        <v>0</v>
      </c>
      <c r="G175" s="785">
        <v>0</v>
      </c>
      <c r="H175" s="785">
        <v>0.61</v>
      </c>
      <c r="I175" s="785">
        <v>0</v>
      </c>
      <c r="J175" s="793" t="s">
        <v>10</v>
      </c>
      <c r="K175" s="787" t="s">
        <v>483</v>
      </c>
      <c r="L175" s="793"/>
      <c r="M175" s="789"/>
      <c r="N175" s="797"/>
    </row>
    <row r="176" spans="1:14" s="790" customFormat="1" ht="21.75" customHeight="1" x14ac:dyDescent="0.35">
      <c r="A176" s="783">
        <v>140</v>
      </c>
      <c r="B176" s="793" t="s">
        <v>101</v>
      </c>
      <c r="C176" s="785">
        <f>'inventory2020(FOR revised)'!C210</f>
        <v>18.149999999999999</v>
      </c>
      <c r="D176" s="835">
        <f>'[23]road inventory 2018'!C208</f>
        <v>19.52</v>
      </c>
      <c r="E176" s="785">
        <v>2.41</v>
      </c>
      <c r="F176" s="785">
        <v>0</v>
      </c>
      <c r="G176" s="785">
        <v>0</v>
      </c>
      <c r="H176" s="785">
        <v>15.74</v>
      </c>
      <c r="I176" s="785">
        <v>0</v>
      </c>
      <c r="J176" s="793" t="s">
        <v>12</v>
      </c>
      <c r="K176" s="787"/>
      <c r="L176" s="793"/>
      <c r="M176" s="789"/>
      <c r="N176" s="797"/>
    </row>
    <row r="177" spans="1:15" ht="21.75" customHeight="1" x14ac:dyDescent="0.35">
      <c r="A177" s="135">
        <v>124</v>
      </c>
      <c r="B177" s="138" t="s">
        <v>485</v>
      </c>
      <c r="C177" s="785">
        <f>'inventory2020(FOR revised)'!C212</f>
        <v>12.5</v>
      </c>
      <c r="D177" s="835">
        <f>'[23]road inventory 2018'!C210</f>
        <v>17</v>
      </c>
      <c r="E177" s="137">
        <v>3.52</v>
      </c>
      <c r="F177" s="137">
        <v>0</v>
      </c>
      <c r="G177" s="137">
        <v>0</v>
      </c>
      <c r="H177" s="137">
        <v>8.98</v>
      </c>
      <c r="I177" s="137">
        <v>0</v>
      </c>
      <c r="J177" s="141" t="s">
        <v>12</v>
      </c>
      <c r="K177" s="796"/>
      <c r="L177" s="138"/>
    </row>
    <row r="178" spans="1:15" s="790" customFormat="1" ht="21.75" customHeight="1" x14ac:dyDescent="0.35">
      <c r="A178" s="783">
        <v>141</v>
      </c>
      <c r="B178" s="793" t="s">
        <v>486</v>
      </c>
      <c r="C178" s="785">
        <f>'inventory2020(FOR revised)'!C213</f>
        <v>6</v>
      </c>
      <c r="D178" s="835">
        <f>'[23]road inventory 2018'!C211</f>
        <v>6</v>
      </c>
      <c r="E178" s="785">
        <v>0</v>
      </c>
      <c r="F178" s="785">
        <v>0</v>
      </c>
      <c r="G178" s="785">
        <v>0</v>
      </c>
      <c r="H178" s="785">
        <v>6</v>
      </c>
      <c r="I178" s="785">
        <v>0</v>
      </c>
      <c r="J178" s="786" t="s">
        <v>12</v>
      </c>
      <c r="K178" s="787" t="s">
        <v>487</v>
      </c>
      <c r="L178" s="793"/>
      <c r="M178" s="789"/>
      <c r="N178" s="797"/>
    </row>
    <row r="179" spans="1:15" s="790" customFormat="1" ht="21.75" customHeight="1" x14ac:dyDescent="0.35">
      <c r="A179" s="825"/>
      <c r="B179" s="826"/>
      <c r="C179" s="827">
        <f t="shared" ref="C179:I179" si="9">SUM(C173:C178)</f>
        <v>71.400000000000006</v>
      </c>
      <c r="D179" s="827">
        <f t="shared" si="9"/>
        <v>77.069999999999993</v>
      </c>
      <c r="E179" s="827">
        <f t="shared" si="9"/>
        <v>33.61</v>
      </c>
      <c r="F179" s="827">
        <f t="shared" si="9"/>
        <v>0</v>
      </c>
      <c r="G179" s="827">
        <f t="shared" si="9"/>
        <v>0</v>
      </c>
      <c r="H179" s="827">
        <f t="shared" si="9"/>
        <v>37.790000000000006</v>
      </c>
      <c r="I179" s="827">
        <f t="shared" si="9"/>
        <v>0</v>
      </c>
      <c r="J179" s="829"/>
      <c r="K179" s="830"/>
      <c r="L179" s="793"/>
      <c r="M179" s="789"/>
      <c r="N179" s="797"/>
    </row>
    <row r="180" spans="1:15" ht="21.75" customHeight="1" thickBot="1" x14ac:dyDescent="0.4">
      <c r="A180" s="831" t="s">
        <v>341</v>
      </c>
      <c r="B180" s="832"/>
      <c r="C180" s="215">
        <f>SUM(C173:C178)</f>
        <v>71.400000000000006</v>
      </c>
      <c r="D180" s="833"/>
      <c r="E180" s="215">
        <f>SUM(E173:E178)</f>
        <v>33.61</v>
      </c>
      <c r="F180" s="215">
        <f>SUM(F173:F178)</f>
        <v>0</v>
      </c>
      <c r="G180" s="215">
        <f>SUM(G173:G178)</f>
        <v>0</v>
      </c>
      <c r="H180" s="215">
        <f>SUM(H173:H178)</f>
        <v>37.790000000000006</v>
      </c>
      <c r="I180" s="215">
        <f>SUM(I173:I178)</f>
        <v>0</v>
      </c>
      <c r="J180" s="216"/>
      <c r="K180" s="217"/>
      <c r="L180" s="240"/>
      <c r="M180" s="125"/>
    </row>
    <row r="181" spans="1:15" ht="21.75" customHeight="1" thickBot="1" x14ac:dyDescent="0.4">
      <c r="L181" s="138"/>
    </row>
    <row r="182" spans="1:15" s="113" customFormat="1" ht="21.75" customHeight="1" x14ac:dyDescent="0.35">
      <c r="A182" s="1260" t="s">
        <v>488</v>
      </c>
      <c r="B182" s="1261"/>
      <c r="C182" s="1261"/>
      <c r="D182" s="1261"/>
      <c r="E182" s="1261"/>
      <c r="F182" s="1261"/>
      <c r="G182" s="1261"/>
      <c r="H182" s="1261"/>
      <c r="I182" s="1261"/>
      <c r="J182" s="1261"/>
      <c r="K182" s="1261"/>
      <c r="L182" s="874"/>
      <c r="M182" s="777"/>
      <c r="N182" s="115"/>
    </row>
    <row r="183" spans="1:15" s="113" customFormat="1" ht="21.75" customHeight="1" thickBot="1" x14ac:dyDescent="0.4">
      <c r="A183" s="229"/>
      <c r="B183" s="118"/>
      <c r="C183" s="778"/>
      <c r="D183" s="779"/>
      <c r="E183" s="778"/>
      <c r="F183" s="778"/>
      <c r="G183" s="778"/>
      <c r="H183" s="778"/>
      <c r="I183" s="778"/>
      <c r="J183" s="116"/>
      <c r="K183" s="125"/>
      <c r="L183" s="240"/>
      <c r="M183" s="125"/>
      <c r="N183" s="115"/>
    </row>
    <row r="184" spans="1:15" s="113" customFormat="1" ht="21.75" customHeight="1" x14ac:dyDescent="0.35">
      <c r="A184" s="1263" t="s">
        <v>302</v>
      </c>
      <c r="B184" s="1265" t="s">
        <v>28</v>
      </c>
      <c r="C184" s="1267" t="s">
        <v>343</v>
      </c>
      <c r="D184" s="812"/>
      <c r="E184" s="1271" t="s">
        <v>305</v>
      </c>
      <c r="F184" s="1271"/>
      <c r="G184" s="1271"/>
      <c r="H184" s="1271"/>
      <c r="I184" s="1271"/>
      <c r="J184" s="1265" t="s">
        <v>29</v>
      </c>
      <c r="K184" s="1272" t="s">
        <v>306</v>
      </c>
      <c r="L184" s="1284" t="str">
        <f>L171</f>
        <v>REMARKS</v>
      </c>
      <c r="M184" s="781"/>
      <c r="N184" s="115"/>
    </row>
    <row r="185" spans="1:15" s="113" customFormat="1" ht="21.75" customHeight="1" thickBot="1" x14ac:dyDescent="0.4">
      <c r="A185" s="1264"/>
      <c r="B185" s="1266"/>
      <c r="C185" s="1268"/>
      <c r="D185" s="813"/>
      <c r="E185" s="782" t="s">
        <v>308</v>
      </c>
      <c r="F185" s="782" t="s">
        <v>309</v>
      </c>
      <c r="G185" s="782" t="s">
        <v>310</v>
      </c>
      <c r="H185" s="782" t="s">
        <v>311</v>
      </c>
      <c r="I185" s="782" t="s">
        <v>312</v>
      </c>
      <c r="J185" s="1266"/>
      <c r="K185" s="1273"/>
      <c r="L185" s="1285"/>
      <c r="M185" s="781"/>
      <c r="N185" s="115"/>
    </row>
    <row r="186" spans="1:15" s="790" customFormat="1" ht="21.75" customHeight="1" x14ac:dyDescent="0.35">
      <c r="A186" s="783">
        <v>142</v>
      </c>
      <c r="B186" s="793" t="s">
        <v>286</v>
      </c>
      <c r="C186" s="785">
        <f>'inventory2020(FOR revised)'!C221</f>
        <v>21.69</v>
      </c>
      <c r="D186" s="835">
        <f>'[23]road inventory 2018'!C218</f>
        <v>19.299999999999997</v>
      </c>
      <c r="E186" s="785">
        <v>0.8</v>
      </c>
      <c r="F186" s="785">
        <v>0</v>
      </c>
      <c r="G186" s="785">
        <v>0</v>
      </c>
      <c r="H186" s="785">
        <v>20.89</v>
      </c>
      <c r="I186" s="785">
        <v>0</v>
      </c>
      <c r="J186" s="786" t="s">
        <v>12</v>
      </c>
      <c r="K186" s="787" t="s">
        <v>489</v>
      </c>
      <c r="L186" s="793"/>
      <c r="M186" s="789"/>
      <c r="N186" s="797"/>
    </row>
    <row r="187" spans="1:15" ht="21.75" customHeight="1" x14ac:dyDescent="0.35">
      <c r="A187" s="135">
        <v>143</v>
      </c>
      <c r="B187" s="138" t="s">
        <v>287</v>
      </c>
      <c r="C187" s="785">
        <f>'inventory2020(FOR revised)'!C222</f>
        <v>8.91</v>
      </c>
      <c r="D187" s="835">
        <f>'[23]road inventory 2018'!C219</f>
        <v>8.7999999999999989</v>
      </c>
      <c r="E187" s="137">
        <v>0.2</v>
      </c>
      <c r="F187" s="137">
        <v>0</v>
      </c>
      <c r="G187" s="137">
        <v>0</v>
      </c>
      <c r="H187" s="137">
        <v>8.7100000000000009</v>
      </c>
      <c r="I187" s="137">
        <v>0</v>
      </c>
      <c r="J187" s="141" t="s">
        <v>12</v>
      </c>
      <c r="K187" s="796" t="s">
        <v>490</v>
      </c>
      <c r="L187" s="138"/>
      <c r="O187" s="116">
        <f>3750*4</f>
        <v>15000</v>
      </c>
    </row>
    <row r="188" spans="1:15" s="790" customFormat="1" ht="21.75" customHeight="1" x14ac:dyDescent="0.35">
      <c r="A188" s="783">
        <v>144</v>
      </c>
      <c r="B188" s="793" t="s">
        <v>288</v>
      </c>
      <c r="C188" s="785">
        <f>'inventory2020(FOR revised)'!C223</f>
        <v>7.88</v>
      </c>
      <c r="D188" s="835">
        <f>'[23]road inventory 2018'!C220</f>
        <v>7.8999999999999995</v>
      </c>
      <c r="E188" s="785">
        <v>1.75</v>
      </c>
      <c r="F188" s="785">
        <v>0</v>
      </c>
      <c r="G188" s="785">
        <v>0</v>
      </c>
      <c r="H188" s="785">
        <v>6.13</v>
      </c>
      <c r="I188" s="785">
        <v>0</v>
      </c>
      <c r="J188" s="786" t="s">
        <v>12</v>
      </c>
      <c r="K188" s="787" t="s">
        <v>491</v>
      </c>
      <c r="L188" s="793"/>
      <c r="M188" s="789"/>
      <c r="N188" s="797"/>
    </row>
    <row r="189" spans="1:15" s="873" customFormat="1" ht="21.75" customHeight="1" x14ac:dyDescent="0.35">
      <c r="A189" s="817">
        <v>121</v>
      </c>
      <c r="B189" s="818" t="s">
        <v>104</v>
      </c>
      <c r="C189" s="819">
        <f>'inventory2020(FOR revised)'!C224</f>
        <v>23.3</v>
      </c>
      <c r="D189" s="837">
        <f>'[23]road inventory 2018'!C221</f>
        <v>23.2</v>
      </c>
      <c r="E189" s="819">
        <v>3.6030000000000002</v>
      </c>
      <c r="F189" s="819">
        <v>0</v>
      </c>
      <c r="G189" s="819">
        <v>1.72</v>
      </c>
      <c r="H189" s="819">
        <v>17.977</v>
      </c>
      <c r="I189" s="819">
        <v>0</v>
      </c>
      <c r="J189" s="820" t="s">
        <v>12</v>
      </c>
      <c r="K189" s="821" t="s">
        <v>492</v>
      </c>
      <c r="L189" s="818"/>
      <c r="M189" s="822"/>
      <c r="N189" s="872"/>
    </row>
    <row r="190" spans="1:15" s="873" customFormat="1" ht="21.75" customHeight="1" x14ac:dyDescent="0.35">
      <c r="A190" s="817">
        <v>126</v>
      </c>
      <c r="B190" s="818" t="s">
        <v>110</v>
      </c>
      <c r="C190" s="819">
        <f>'inventory2020(FOR revised)'!C226</f>
        <v>10.097</v>
      </c>
      <c r="D190" s="837">
        <f>'[23]road inventory 2018'!C223</f>
        <v>9.6</v>
      </c>
      <c r="E190" s="819">
        <v>10.097</v>
      </c>
      <c r="F190" s="819">
        <v>0</v>
      </c>
      <c r="G190" s="819">
        <v>0</v>
      </c>
      <c r="H190" s="819">
        <v>0</v>
      </c>
      <c r="I190" s="819">
        <v>0</v>
      </c>
      <c r="J190" s="820" t="s">
        <v>836</v>
      </c>
      <c r="K190" s="821" t="s">
        <v>493</v>
      </c>
      <c r="L190" s="818"/>
      <c r="M190" s="822"/>
      <c r="N190" s="872"/>
    </row>
    <row r="191" spans="1:15" s="873" customFormat="1" ht="21.75" customHeight="1" x14ac:dyDescent="0.35">
      <c r="A191" s="817">
        <v>146</v>
      </c>
      <c r="B191" s="818" t="s">
        <v>115</v>
      </c>
      <c r="C191" s="819">
        <f>'inventory2020(FOR revised)'!C227</f>
        <v>12.15</v>
      </c>
      <c r="D191" s="837">
        <f>'[23]road inventory 2018'!C224</f>
        <v>8.3000000000000007</v>
      </c>
      <c r="E191" s="819">
        <v>0</v>
      </c>
      <c r="F191" s="819">
        <v>0</v>
      </c>
      <c r="G191" s="819">
        <v>0</v>
      </c>
      <c r="H191" s="819">
        <v>12.15</v>
      </c>
      <c r="I191" s="819">
        <v>0</v>
      </c>
      <c r="J191" s="820" t="s">
        <v>12</v>
      </c>
      <c r="K191" s="821"/>
      <c r="L191" s="818"/>
      <c r="M191" s="822"/>
      <c r="N191" s="872"/>
    </row>
    <row r="192" spans="1:15" s="873" customFormat="1" ht="21.75" customHeight="1" x14ac:dyDescent="0.35">
      <c r="A192" s="817">
        <v>147</v>
      </c>
      <c r="B192" s="818" t="s">
        <v>289</v>
      </c>
      <c r="C192" s="819">
        <f>'inventory2020(FOR revised)'!C228</f>
        <v>4.59</v>
      </c>
      <c r="D192" s="837">
        <f>'[23]road inventory 2018'!C225</f>
        <v>4.2</v>
      </c>
      <c r="E192" s="819">
        <v>0.2</v>
      </c>
      <c r="F192" s="819">
        <v>0</v>
      </c>
      <c r="G192" s="819">
        <v>0</v>
      </c>
      <c r="H192" s="819">
        <v>4.3899999999999997</v>
      </c>
      <c r="I192" s="819">
        <v>0</v>
      </c>
      <c r="J192" s="820" t="s">
        <v>10</v>
      </c>
      <c r="K192" s="821"/>
      <c r="L192" s="818"/>
      <c r="M192" s="822"/>
      <c r="N192" s="872"/>
    </row>
    <row r="193" spans="1:14" s="790" customFormat="1" ht="21.75" customHeight="1" x14ac:dyDescent="0.35">
      <c r="A193" s="825"/>
      <c r="B193" s="826"/>
      <c r="C193" s="827">
        <f t="shared" ref="C193:I193" si="10">SUM(C186:C192)</f>
        <v>88.617000000000004</v>
      </c>
      <c r="D193" s="827">
        <f t="shared" si="10"/>
        <v>81.299999999999983</v>
      </c>
      <c r="E193" s="827">
        <f t="shared" si="10"/>
        <v>16.649999999999999</v>
      </c>
      <c r="F193" s="827">
        <f t="shared" si="10"/>
        <v>0</v>
      </c>
      <c r="G193" s="827">
        <f t="shared" si="10"/>
        <v>1.72</v>
      </c>
      <c r="H193" s="827">
        <f t="shared" si="10"/>
        <v>70.247000000000014</v>
      </c>
      <c r="I193" s="827">
        <f t="shared" si="10"/>
        <v>0</v>
      </c>
      <c r="J193" s="829"/>
      <c r="K193" s="830"/>
      <c r="L193" s="793"/>
      <c r="M193" s="789"/>
      <c r="N193" s="797"/>
    </row>
    <row r="194" spans="1:14" ht="21.75" customHeight="1" thickBot="1" x14ac:dyDescent="0.4">
      <c r="A194" s="831" t="s">
        <v>341</v>
      </c>
      <c r="B194" s="832"/>
      <c r="C194" s="215">
        <f>SUM(C186:C192)</f>
        <v>88.617000000000004</v>
      </c>
      <c r="D194" s="833"/>
      <c r="E194" s="215">
        <f>SUM(E186:E192)</f>
        <v>16.649999999999999</v>
      </c>
      <c r="F194" s="215">
        <f>SUM(F186:F192)</f>
        <v>0</v>
      </c>
      <c r="G194" s="215">
        <f>SUM(G186:G192)</f>
        <v>1.72</v>
      </c>
      <c r="H194" s="215">
        <f>SUM(H186:H192)</f>
        <v>70.247000000000014</v>
      </c>
      <c r="I194" s="215">
        <f>SUM(I186:I192)</f>
        <v>0</v>
      </c>
      <c r="J194" s="216"/>
      <c r="K194" s="217"/>
      <c r="L194" s="240"/>
      <c r="M194" s="125"/>
    </row>
    <row r="195" spans="1:14" ht="21.75" customHeight="1" thickBot="1" x14ac:dyDescent="0.4">
      <c r="L195" s="138"/>
    </row>
    <row r="196" spans="1:14" s="113" customFormat="1" ht="21.75" customHeight="1" x14ac:dyDescent="0.35">
      <c r="A196" s="1260" t="s">
        <v>494</v>
      </c>
      <c r="B196" s="1261"/>
      <c r="C196" s="1261"/>
      <c r="D196" s="1261"/>
      <c r="E196" s="1261"/>
      <c r="F196" s="1261"/>
      <c r="G196" s="1261"/>
      <c r="H196" s="1261"/>
      <c r="I196" s="1261"/>
      <c r="J196" s="1261"/>
      <c r="K196" s="1261"/>
      <c r="L196" s="874"/>
      <c r="M196" s="777"/>
      <c r="N196" s="115"/>
    </row>
    <row r="197" spans="1:14" s="113" customFormat="1" ht="21.75" customHeight="1" thickBot="1" x14ac:dyDescent="0.4">
      <c r="A197" s="229"/>
      <c r="B197" s="118"/>
      <c r="C197" s="778"/>
      <c r="D197" s="779"/>
      <c r="E197" s="778"/>
      <c r="F197" s="778"/>
      <c r="G197" s="778"/>
      <c r="H197" s="778"/>
      <c r="I197" s="778"/>
      <c r="J197" s="116"/>
      <c r="K197" s="125"/>
      <c r="L197" s="240"/>
      <c r="M197" s="125"/>
      <c r="N197" s="115"/>
    </row>
    <row r="198" spans="1:14" s="113" customFormat="1" ht="21.75" customHeight="1" x14ac:dyDescent="0.35">
      <c r="A198" s="1263" t="s">
        <v>302</v>
      </c>
      <c r="B198" s="1265" t="s">
        <v>28</v>
      </c>
      <c r="C198" s="1267" t="s">
        <v>343</v>
      </c>
      <c r="D198" s="812"/>
      <c r="E198" s="1271" t="s">
        <v>305</v>
      </c>
      <c r="F198" s="1271"/>
      <c r="G198" s="1271"/>
      <c r="H198" s="1271"/>
      <c r="I198" s="1271"/>
      <c r="J198" s="1265" t="s">
        <v>29</v>
      </c>
      <c r="K198" s="1272" t="s">
        <v>306</v>
      </c>
      <c r="L198" s="1284" t="str">
        <f>L184</f>
        <v>REMARKS</v>
      </c>
      <c r="M198" s="781"/>
      <c r="N198" s="115"/>
    </row>
    <row r="199" spans="1:14" s="113" customFormat="1" ht="21.75" customHeight="1" thickBot="1" x14ac:dyDescent="0.4">
      <c r="A199" s="1264"/>
      <c r="B199" s="1266"/>
      <c r="C199" s="1268"/>
      <c r="D199" s="813"/>
      <c r="E199" s="782" t="s">
        <v>308</v>
      </c>
      <c r="F199" s="782" t="s">
        <v>309</v>
      </c>
      <c r="G199" s="782" t="s">
        <v>310</v>
      </c>
      <c r="H199" s="782" t="s">
        <v>311</v>
      </c>
      <c r="I199" s="782" t="s">
        <v>312</v>
      </c>
      <c r="J199" s="1266"/>
      <c r="K199" s="1273"/>
      <c r="L199" s="1285"/>
      <c r="M199" s="781"/>
      <c r="N199" s="115"/>
    </row>
    <row r="200" spans="1:14" s="790" customFormat="1" ht="21.75" customHeight="1" x14ac:dyDescent="0.35">
      <c r="A200" s="783">
        <v>149</v>
      </c>
      <c r="B200" s="793" t="s">
        <v>496</v>
      </c>
      <c r="C200" s="137">
        <f>'inventory2020(FOR revised)'!C237</f>
        <v>5.01</v>
      </c>
      <c r="D200" s="814">
        <f>'[23]road inventory 2018'!C233</f>
        <v>5</v>
      </c>
      <c r="E200" s="785">
        <v>0.79</v>
      </c>
      <c r="F200" s="785">
        <v>0</v>
      </c>
      <c r="G200" s="785">
        <v>0</v>
      </c>
      <c r="H200" s="785">
        <v>4.22</v>
      </c>
      <c r="I200" s="785">
        <v>0</v>
      </c>
      <c r="J200" s="786" t="s">
        <v>12</v>
      </c>
      <c r="K200" s="787" t="s">
        <v>497</v>
      </c>
      <c r="L200" s="793"/>
      <c r="M200" s="789"/>
      <c r="N200" s="797"/>
    </row>
    <row r="201" spans="1:14" s="790" customFormat="1" ht="21.75" customHeight="1" x14ac:dyDescent="0.35">
      <c r="A201" s="783">
        <v>151</v>
      </c>
      <c r="B201" s="793" t="s">
        <v>499</v>
      </c>
      <c r="C201" s="137">
        <f>'inventory2020(FOR revised)'!C239</f>
        <v>3.99</v>
      </c>
      <c r="D201" s="814">
        <f>'[23]road inventory 2018'!C235</f>
        <v>4</v>
      </c>
      <c r="E201" s="785">
        <v>0</v>
      </c>
      <c r="F201" s="785">
        <v>0</v>
      </c>
      <c r="G201" s="785">
        <v>0</v>
      </c>
      <c r="H201" s="785">
        <v>3.99</v>
      </c>
      <c r="I201" s="785">
        <v>0</v>
      </c>
      <c r="J201" s="786" t="s">
        <v>12</v>
      </c>
      <c r="K201" s="787" t="s">
        <v>500</v>
      </c>
      <c r="L201" s="793"/>
      <c r="M201" s="789"/>
      <c r="N201" s="797"/>
    </row>
    <row r="202" spans="1:14" ht="21.75" customHeight="1" x14ac:dyDescent="0.35">
      <c r="A202" s="838"/>
      <c r="B202" s="839"/>
      <c r="C202" s="840">
        <f t="shared" ref="C202:I202" si="11">SUM(C200:C201)</f>
        <v>9</v>
      </c>
      <c r="D202" s="840">
        <f t="shared" si="11"/>
        <v>9</v>
      </c>
      <c r="E202" s="840">
        <f t="shared" si="11"/>
        <v>0.79</v>
      </c>
      <c r="F202" s="840">
        <f t="shared" si="11"/>
        <v>0</v>
      </c>
      <c r="G202" s="840">
        <f t="shared" si="11"/>
        <v>0</v>
      </c>
      <c r="H202" s="840">
        <f t="shared" si="11"/>
        <v>8.2100000000000009</v>
      </c>
      <c r="I202" s="840">
        <f t="shared" si="11"/>
        <v>0</v>
      </c>
      <c r="J202" s="804"/>
      <c r="K202" s="805"/>
      <c r="L202" s="138"/>
    </row>
    <row r="203" spans="1:14" ht="21.75" customHeight="1" thickBot="1" x14ac:dyDescent="0.4">
      <c r="A203" s="831" t="s">
        <v>341</v>
      </c>
      <c r="B203" s="832"/>
      <c r="C203" s="215">
        <f>SUM(C200:C201)</f>
        <v>9</v>
      </c>
      <c r="D203" s="833"/>
      <c r="E203" s="215">
        <f>SUM(E200:E201)</f>
        <v>0.79</v>
      </c>
      <c r="F203" s="215">
        <f>SUM(F200:F201)</f>
        <v>0</v>
      </c>
      <c r="G203" s="215">
        <f>SUM(G200:G201)</f>
        <v>0</v>
      </c>
      <c r="H203" s="215">
        <f>SUM(H200:H201)</f>
        <v>8.2100000000000009</v>
      </c>
      <c r="I203" s="215">
        <f>SUM(I200:I201)</f>
        <v>0</v>
      </c>
      <c r="J203" s="216"/>
      <c r="K203" s="217"/>
      <c r="L203" s="240"/>
      <c r="M203" s="125"/>
    </row>
    <row r="204" spans="1:14" ht="21.75" customHeight="1" thickBot="1" x14ac:dyDescent="0.4">
      <c r="L204" s="138"/>
    </row>
    <row r="205" spans="1:14" s="113" customFormat="1" ht="21.75" customHeight="1" x14ac:dyDescent="0.35">
      <c r="A205" s="1260" t="s">
        <v>501</v>
      </c>
      <c r="B205" s="1261"/>
      <c r="C205" s="1261"/>
      <c r="D205" s="1261"/>
      <c r="E205" s="1261"/>
      <c r="F205" s="1261"/>
      <c r="G205" s="1261"/>
      <c r="H205" s="1261"/>
      <c r="I205" s="1261"/>
      <c r="J205" s="1261"/>
      <c r="K205" s="1261"/>
      <c r="L205" s="874"/>
      <c r="M205" s="777"/>
      <c r="N205" s="115"/>
    </row>
    <row r="206" spans="1:14" s="113" customFormat="1" ht="21.75" customHeight="1" thickBot="1" x14ac:dyDescent="0.4">
      <c r="A206" s="229"/>
      <c r="B206" s="118"/>
      <c r="C206" s="778"/>
      <c r="D206" s="779"/>
      <c r="E206" s="778"/>
      <c r="F206" s="778"/>
      <c r="G206" s="778"/>
      <c r="H206" s="778"/>
      <c r="I206" s="778"/>
      <c r="J206" s="116"/>
      <c r="K206" s="125"/>
      <c r="L206" s="240"/>
      <c r="M206" s="125"/>
      <c r="N206" s="115"/>
    </row>
    <row r="207" spans="1:14" s="113" customFormat="1" ht="21.75" customHeight="1" x14ac:dyDescent="0.35">
      <c r="A207" s="1263" t="s">
        <v>302</v>
      </c>
      <c r="B207" s="1265" t="s">
        <v>28</v>
      </c>
      <c r="C207" s="1267" t="s">
        <v>343</v>
      </c>
      <c r="D207" s="812"/>
      <c r="E207" s="1271" t="s">
        <v>305</v>
      </c>
      <c r="F207" s="1271"/>
      <c r="G207" s="1271"/>
      <c r="H207" s="1271"/>
      <c r="I207" s="1271"/>
      <c r="J207" s="1265" t="s">
        <v>29</v>
      </c>
      <c r="K207" s="1272" t="s">
        <v>306</v>
      </c>
      <c r="L207" s="1284" t="str">
        <f>L198</f>
        <v>REMARKS</v>
      </c>
      <c r="M207" s="781"/>
      <c r="N207" s="115"/>
    </row>
    <row r="208" spans="1:14" s="113" customFormat="1" ht="21.75" customHeight="1" thickBot="1" x14ac:dyDescent="0.4">
      <c r="A208" s="1264"/>
      <c r="B208" s="1266"/>
      <c r="C208" s="1268"/>
      <c r="D208" s="813"/>
      <c r="E208" s="782" t="s">
        <v>308</v>
      </c>
      <c r="F208" s="782" t="s">
        <v>309</v>
      </c>
      <c r="G208" s="782" t="s">
        <v>310</v>
      </c>
      <c r="H208" s="782" t="s">
        <v>311</v>
      </c>
      <c r="I208" s="782" t="s">
        <v>312</v>
      </c>
      <c r="J208" s="1266"/>
      <c r="K208" s="1273"/>
      <c r="L208" s="1285"/>
      <c r="M208" s="781"/>
      <c r="N208" s="115"/>
    </row>
    <row r="209" spans="1:14" s="873" customFormat="1" ht="21.75" customHeight="1" x14ac:dyDescent="0.35">
      <c r="A209" s="817">
        <v>153</v>
      </c>
      <c r="B209" s="818" t="s">
        <v>121</v>
      </c>
      <c r="C209" s="819">
        <f>'inventory2020(FOR revised)'!C248</f>
        <v>11</v>
      </c>
      <c r="D209" s="837">
        <f>'[23]road inventory 2018'!C243</f>
        <v>11</v>
      </c>
      <c r="E209" s="819">
        <v>1.96</v>
      </c>
      <c r="F209" s="819">
        <f>[24]CARRIAGEWAY!$X$360</f>
        <v>0</v>
      </c>
      <c r="G209" s="819">
        <f>[24]CARRIAGEWAY!$Z$360</f>
        <v>0</v>
      </c>
      <c r="H209" s="875">
        <v>9.0399999999999991</v>
      </c>
      <c r="I209" s="819">
        <v>0</v>
      </c>
      <c r="J209" s="820" t="str">
        <f>[24]CARRIAGEWAY!$Z$361</f>
        <v>FAIR</v>
      </c>
      <c r="K209" s="821" t="s">
        <v>502</v>
      </c>
      <c r="L209" s="818"/>
      <c r="M209" s="822"/>
      <c r="N209" s="872"/>
    </row>
    <row r="210" spans="1:14" s="790" customFormat="1" ht="21.75" customHeight="1" x14ac:dyDescent="0.35">
      <c r="A210" s="783">
        <v>125</v>
      </c>
      <c r="B210" s="793" t="s">
        <v>125</v>
      </c>
      <c r="C210" s="819">
        <f>'inventory2020(FOR revised)'!C249</f>
        <v>2.9</v>
      </c>
      <c r="D210" s="837">
        <f>'[23]road inventory 2018'!C244</f>
        <v>2.9</v>
      </c>
      <c r="E210" s="785">
        <v>0</v>
      </c>
      <c r="F210" s="785">
        <v>0</v>
      </c>
      <c r="G210" s="785">
        <v>0</v>
      </c>
      <c r="H210" s="876">
        <v>2.9</v>
      </c>
      <c r="I210" s="785">
        <v>0</v>
      </c>
      <c r="J210" s="786" t="s">
        <v>12</v>
      </c>
      <c r="K210" s="787" t="s">
        <v>502</v>
      </c>
      <c r="L210" s="793"/>
      <c r="M210" s="789"/>
      <c r="N210" s="797"/>
    </row>
    <row r="211" spans="1:14" s="790" customFormat="1" ht="21.75" customHeight="1" x14ac:dyDescent="0.35">
      <c r="A211" s="783">
        <v>154</v>
      </c>
      <c r="B211" s="793" t="s">
        <v>127</v>
      </c>
      <c r="C211" s="819">
        <f>'inventory2020(FOR revised)'!C250</f>
        <v>7</v>
      </c>
      <c r="D211" s="837">
        <f>'[23]road inventory 2018'!C245</f>
        <v>7</v>
      </c>
      <c r="E211" s="785">
        <v>0</v>
      </c>
      <c r="F211" s="785">
        <v>0</v>
      </c>
      <c r="G211" s="785">
        <v>0</v>
      </c>
      <c r="H211" s="876">
        <v>7</v>
      </c>
      <c r="I211" s="785">
        <v>0</v>
      </c>
      <c r="J211" s="786" t="s">
        <v>12</v>
      </c>
      <c r="K211" s="787" t="s">
        <v>503</v>
      </c>
      <c r="L211" s="793"/>
      <c r="M211" s="789"/>
      <c r="N211" s="797"/>
    </row>
    <row r="212" spans="1:14" s="790" customFormat="1" ht="21.75" customHeight="1" x14ac:dyDescent="0.35">
      <c r="A212" s="783">
        <v>127</v>
      </c>
      <c r="B212" s="793" t="s">
        <v>504</v>
      </c>
      <c r="C212" s="819">
        <f>'inventory2020(FOR revised)'!C251</f>
        <v>2.7</v>
      </c>
      <c r="D212" s="835">
        <f>'[23]road inventory 2018'!C249</f>
        <v>2.7</v>
      </c>
      <c r="E212" s="785">
        <v>0</v>
      </c>
      <c r="F212" s="785">
        <v>0</v>
      </c>
      <c r="G212" s="785">
        <v>0</v>
      </c>
      <c r="H212" s="876">
        <v>2.7</v>
      </c>
      <c r="I212" s="785">
        <v>0</v>
      </c>
      <c r="J212" s="786" t="s">
        <v>12</v>
      </c>
      <c r="K212" s="787" t="s">
        <v>505</v>
      </c>
      <c r="L212" s="793"/>
      <c r="M212" s="789"/>
      <c r="N212" s="797" t="s">
        <v>506</v>
      </c>
    </row>
    <row r="213" spans="1:14" ht="21.75" customHeight="1" x14ac:dyDescent="0.35">
      <c r="A213" s="135">
        <v>128</v>
      </c>
      <c r="B213" s="138" t="s">
        <v>507</v>
      </c>
      <c r="C213" s="819">
        <f>'inventory2020(FOR revised)'!C252</f>
        <v>2.2999999999999998</v>
      </c>
      <c r="D213" s="835">
        <f>'[23]road inventory 2018'!C250</f>
        <v>2.3000000000000003</v>
      </c>
      <c r="E213" s="137">
        <v>2.2999999999999998</v>
      </c>
      <c r="F213" s="137">
        <v>0</v>
      </c>
      <c r="G213" s="137">
        <v>0</v>
      </c>
      <c r="H213" s="224">
        <v>0</v>
      </c>
      <c r="I213" s="137">
        <v>0</v>
      </c>
      <c r="J213" s="141" t="s">
        <v>10</v>
      </c>
      <c r="K213" s="796" t="s">
        <v>508</v>
      </c>
      <c r="L213" s="138"/>
    </row>
    <row r="214" spans="1:14" s="873" customFormat="1" ht="21.75" customHeight="1" x14ac:dyDescent="0.35">
      <c r="A214" s="817">
        <v>156</v>
      </c>
      <c r="B214" s="818" t="s">
        <v>130</v>
      </c>
      <c r="C214" s="819">
        <f>'inventory2020(FOR revised)'!C255</f>
        <v>20</v>
      </c>
      <c r="D214" s="837">
        <f>'[23]road inventory 2018'!C253</f>
        <v>20</v>
      </c>
      <c r="E214" s="819">
        <v>8.2050000000000001</v>
      </c>
      <c r="F214" s="819">
        <v>0</v>
      </c>
      <c r="G214" s="819">
        <v>0</v>
      </c>
      <c r="H214" s="875">
        <v>11.795</v>
      </c>
      <c r="I214" s="819">
        <v>0</v>
      </c>
      <c r="J214" s="820" t="s">
        <v>10</v>
      </c>
      <c r="K214" s="821" t="s">
        <v>514</v>
      </c>
      <c r="L214" s="818"/>
      <c r="M214" s="822"/>
      <c r="N214" s="872"/>
    </row>
    <row r="215" spans="1:14" s="873" customFormat="1" ht="21.75" customHeight="1" x14ac:dyDescent="0.35">
      <c r="A215" s="817">
        <v>158</v>
      </c>
      <c r="B215" s="818" t="s">
        <v>517</v>
      </c>
      <c r="C215" s="819">
        <f>'inventory2020(FOR revised)'!C257</f>
        <v>7.2</v>
      </c>
      <c r="D215" s="819">
        <f>'[23]road inventory 2018'!C255</f>
        <v>7.1999999999999993</v>
      </c>
      <c r="E215" s="819">
        <v>4.08</v>
      </c>
      <c r="F215" s="819">
        <v>0</v>
      </c>
      <c r="G215" s="819">
        <v>3.12</v>
      </c>
      <c r="H215" s="875">
        <v>0</v>
      </c>
      <c r="I215" s="819">
        <v>0</v>
      </c>
      <c r="J215" s="820" t="s">
        <v>206</v>
      </c>
      <c r="K215" s="821"/>
      <c r="L215" s="818" t="s">
        <v>837</v>
      </c>
      <c r="M215" s="822"/>
    </row>
    <row r="216" spans="1:14" s="790" customFormat="1" ht="21.75" customHeight="1" x14ac:dyDescent="0.35">
      <c r="A216" s="783">
        <v>131</v>
      </c>
      <c r="B216" s="793" t="s">
        <v>523</v>
      </c>
      <c r="C216" s="819">
        <f>'inventory2020(FOR revised)'!C260</f>
        <v>5.1999999999999993</v>
      </c>
      <c r="D216" s="835">
        <f>'[23]road inventory 2018'!C258</f>
        <v>5.2</v>
      </c>
      <c r="E216" s="785">
        <v>2.0099999999999998</v>
      </c>
      <c r="F216" s="785">
        <v>0</v>
      </c>
      <c r="G216" s="785">
        <v>0</v>
      </c>
      <c r="H216" s="876">
        <v>3.19</v>
      </c>
      <c r="I216" s="785">
        <v>0</v>
      </c>
      <c r="J216" s="786" t="s">
        <v>12</v>
      </c>
      <c r="K216" s="787"/>
      <c r="L216" s="793"/>
      <c r="M216" s="789"/>
      <c r="N216" s="797"/>
    </row>
    <row r="217" spans="1:14" s="790" customFormat="1" ht="21.75" customHeight="1" x14ac:dyDescent="0.35">
      <c r="A217" s="783">
        <v>135</v>
      </c>
      <c r="B217" s="793" t="s">
        <v>139</v>
      </c>
      <c r="C217" s="819">
        <f>'inventory2020(FOR revised)'!C261</f>
        <v>4.4000000000000004</v>
      </c>
      <c r="D217" s="835">
        <f>'[23]road inventory 2018'!C259</f>
        <v>4.4000000000000004</v>
      </c>
      <c r="E217" s="785">
        <v>0</v>
      </c>
      <c r="F217" s="785">
        <v>0</v>
      </c>
      <c r="G217" s="785">
        <v>0</v>
      </c>
      <c r="H217" s="876">
        <v>4.4000000000000004</v>
      </c>
      <c r="I217" s="785">
        <v>0</v>
      </c>
      <c r="J217" s="786" t="s">
        <v>12</v>
      </c>
      <c r="K217" s="787" t="s">
        <v>525</v>
      </c>
      <c r="L217" s="793"/>
      <c r="M217" s="789"/>
      <c r="N217" s="797"/>
    </row>
    <row r="218" spans="1:14" s="790" customFormat="1" ht="21.75" customHeight="1" x14ac:dyDescent="0.35">
      <c r="A218" s="825"/>
      <c r="B218" s="826"/>
      <c r="C218" s="827">
        <f t="shared" ref="C218:I218" si="12">SUM(C209:C217)</f>
        <v>62.699999999999996</v>
      </c>
      <c r="D218" s="827">
        <f t="shared" si="12"/>
        <v>62.699999999999996</v>
      </c>
      <c r="E218" s="827">
        <f t="shared" si="12"/>
        <v>18.555</v>
      </c>
      <c r="F218" s="827">
        <f t="shared" si="12"/>
        <v>0</v>
      </c>
      <c r="G218" s="827">
        <f t="shared" si="12"/>
        <v>3.12</v>
      </c>
      <c r="H218" s="827">
        <f t="shared" si="12"/>
        <v>41.024999999999991</v>
      </c>
      <c r="I218" s="827">
        <f t="shared" si="12"/>
        <v>0</v>
      </c>
      <c r="J218" s="829"/>
      <c r="K218" s="830"/>
      <c r="L218" s="793"/>
      <c r="M218" s="789"/>
      <c r="N218" s="797"/>
    </row>
    <row r="219" spans="1:14" ht="21.75" customHeight="1" thickBot="1" x14ac:dyDescent="0.4">
      <c r="A219" s="831" t="s">
        <v>341</v>
      </c>
      <c r="B219" s="832"/>
      <c r="C219" s="215">
        <f>SUM(E219:I219)</f>
        <v>62.699999999999989</v>
      </c>
      <c r="D219" s="833"/>
      <c r="E219" s="215">
        <f>SUM(E209:E217)</f>
        <v>18.555</v>
      </c>
      <c r="F219" s="215">
        <f>SUM(F209:F217)</f>
        <v>0</v>
      </c>
      <c r="G219" s="215">
        <f>SUM(G209:G217)</f>
        <v>3.12</v>
      </c>
      <c r="H219" s="215">
        <f>SUM(H209:H217)</f>
        <v>41.024999999999991</v>
      </c>
      <c r="I219" s="215">
        <f>SUM(I209:I217)</f>
        <v>0</v>
      </c>
      <c r="J219" s="216"/>
      <c r="K219" s="217"/>
      <c r="L219" s="240"/>
      <c r="M219" s="125"/>
    </row>
    <row r="220" spans="1:14" ht="21.75" customHeight="1" thickBot="1" x14ac:dyDescent="0.4">
      <c r="L220" s="839"/>
    </row>
    <row r="221" spans="1:14" s="113" customFormat="1" ht="21.75" customHeight="1" x14ac:dyDescent="0.35">
      <c r="A221" s="1260" t="s">
        <v>526</v>
      </c>
      <c r="B221" s="1261"/>
      <c r="C221" s="1261"/>
      <c r="D221" s="1261"/>
      <c r="E221" s="1261"/>
      <c r="F221" s="1261"/>
      <c r="G221" s="1261"/>
      <c r="H221" s="1261"/>
      <c r="I221" s="1261"/>
      <c r="J221" s="1261"/>
      <c r="K221" s="1261"/>
      <c r="L221" s="1276"/>
      <c r="M221" s="777"/>
      <c r="N221" s="115"/>
    </row>
    <row r="222" spans="1:14" s="113" customFormat="1" ht="21.75" customHeight="1" thickBot="1" x14ac:dyDescent="0.4">
      <c r="A222" s="229"/>
      <c r="B222" s="118"/>
      <c r="C222" s="778"/>
      <c r="D222" s="779"/>
      <c r="E222" s="778"/>
      <c r="F222" s="778"/>
      <c r="G222" s="778"/>
      <c r="H222" s="778"/>
      <c r="I222" s="778"/>
      <c r="J222" s="116"/>
      <c r="K222" s="125"/>
      <c r="L222" s="807"/>
      <c r="M222" s="125"/>
      <c r="N222" s="115"/>
    </row>
    <row r="223" spans="1:14" s="113" customFormat="1" ht="21.75" customHeight="1" x14ac:dyDescent="0.35">
      <c r="A223" s="1263" t="s">
        <v>302</v>
      </c>
      <c r="B223" s="1265" t="s">
        <v>28</v>
      </c>
      <c r="C223" s="1267" t="s">
        <v>343</v>
      </c>
      <c r="D223" s="812"/>
      <c r="E223" s="1271" t="s">
        <v>305</v>
      </c>
      <c r="F223" s="1271"/>
      <c r="G223" s="1271"/>
      <c r="H223" s="1271"/>
      <c r="I223" s="1271"/>
      <c r="J223" s="1265" t="s">
        <v>29</v>
      </c>
      <c r="K223" s="1272" t="s">
        <v>306</v>
      </c>
      <c r="L223" s="1286" t="s">
        <v>307</v>
      </c>
      <c r="M223" s="781"/>
      <c r="N223" s="115"/>
    </row>
    <row r="224" spans="1:14" s="113" customFormat="1" ht="21.75" customHeight="1" thickBot="1" x14ac:dyDescent="0.4">
      <c r="A224" s="1264"/>
      <c r="B224" s="1266"/>
      <c r="C224" s="1268"/>
      <c r="D224" s="813"/>
      <c r="E224" s="782" t="s">
        <v>308</v>
      </c>
      <c r="F224" s="782" t="s">
        <v>309</v>
      </c>
      <c r="G224" s="782" t="s">
        <v>310</v>
      </c>
      <c r="H224" s="782" t="s">
        <v>311</v>
      </c>
      <c r="I224" s="782" t="s">
        <v>312</v>
      </c>
      <c r="J224" s="1266"/>
      <c r="K224" s="1273"/>
      <c r="L224" s="1287"/>
      <c r="M224" s="781"/>
      <c r="N224" s="115"/>
    </row>
    <row r="225" spans="1:14" s="790" customFormat="1" ht="21.75" customHeight="1" x14ac:dyDescent="0.35">
      <c r="A225" s="783">
        <v>161</v>
      </c>
      <c r="B225" s="793" t="s">
        <v>529</v>
      </c>
      <c r="C225" s="785">
        <f>'inventory2020(FOR revised)'!C270</f>
        <v>1.8</v>
      </c>
      <c r="D225" s="835">
        <f>'[23]road inventory 2018'!C267</f>
        <v>1.8</v>
      </c>
      <c r="E225" s="785">
        <v>1.8</v>
      </c>
      <c r="F225" s="785">
        <v>0</v>
      </c>
      <c r="G225" s="785">
        <v>0</v>
      </c>
      <c r="H225" s="785">
        <v>0</v>
      </c>
      <c r="I225" s="785">
        <v>0</v>
      </c>
      <c r="J225" s="786" t="s">
        <v>12</v>
      </c>
      <c r="K225" s="787" t="s">
        <v>528</v>
      </c>
      <c r="L225" s="793"/>
      <c r="M225" s="789"/>
      <c r="N225" s="797"/>
    </row>
    <row r="226" spans="1:14" s="790" customFormat="1" ht="21.75" customHeight="1" x14ac:dyDescent="0.35">
      <c r="A226" s="783">
        <v>166</v>
      </c>
      <c r="B226" s="793" t="s">
        <v>538</v>
      </c>
      <c r="C226" s="785">
        <f>'inventory2020(FOR revised)'!C275</f>
        <v>2.8</v>
      </c>
      <c r="D226" s="835">
        <f>'[23]road inventory 2018'!C272</f>
        <v>2.8</v>
      </c>
      <c r="E226" s="785">
        <v>0</v>
      </c>
      <c r="F226" s="785">
        <v>0</v>
      </c>
      <c r="G226" s="785">
        <v>0</v>
      </c>
      <c r="H226" s="785">
        <v>2.8</v>
      </c>
      <c r="I226" s="785">
        <v>0</v>
      </c>
      <c r="J226" s="786" t="s">
        <v>12</v>
      </c>
      <c r="K226" s="787" t="s">
        <v>539</v>
      </c>
      <c r="L226" s="793"/>
      <c r="M226" s="789"/>
      <c r="N226" s="797"/>
    </row>
    <row r="227" spans="1:14" ht="21.75" customHeight="1" x14ac:dyDescent="0.35">
      <c r="A227" s="135">
        <v>167</v>
      </c>
      <c r="B227" s="138" t="s">
        <v>540</v>
      </c>
      <c r="C227" s="785">
        <f>'inventory2020(FOR revised)'!C276</f>
        <v>5.5</v>
      </c>
      <c r="D227" s="835">
        <f>'[23]road inventory 2018'!C273</f>
        <v>5.5</v>
      </c>
      <c r="E227" s="137">
        <v>0</v>
      </c>
      <c r="F227" s="137">
        <v>0</v>
      </c>
      <c r="G227" s="137">
        <v>0</v>
      </c>
      <c r="H227" s="137">
        <v>5.5</v>
      </c>
      <c r="I227" s="137">
        <v>0</v>
      </c>
      <c r="J227" s="141" t="s">
        <v>12</v>
      </c>
      <c r="K227" s="796" t="s">
        <v>541</v>
      </c>
      <c r="L227" s="138"/>
    </row>
    <row r="228" spans="1:14" ht="21.75" customHeight="1" x14ac:dyDescent="0.35">
      <c r="A228" s="838"/>
      <c r="B228" s="839"/>
      <c r="C228" s="840">
        <f t="shared" ref="C228:I228" si="13">SUM(C225:C227)</f>
        <v>10.1</v>
      </c>
      <c r="D228" s="840">
        <f t="shared" si="13"/>
        <v>10.1</v>
      </c>
      <c r="E228" s="840">
        <f t="shared" si="13"/>
        <v>1.8</v>
      </c>
      <c r="F228" s="840">
        <f t="shared" si="13"/>
        <v>0</v>
      </c>
      <c r="G228" s="840">
        <f t="shared" si="13"/>
        <v>0</v>
      </c>
      <c r="H228" s="840">
        <f t="shared" si="13"/>
        <v>8.3000000000000007</v>
      </c>
      <c r="I228" s="840">
        <f t="shared" si="13"/>
        <v>0</v>
      </c>
      <c r="J228" s="804"/>
      <c r="K228" s="805"/>
      <c r="L228" s="138"/>
    </row>
    <row r="229" spans="1:14" ht="21.75" customHeight="1" thickBot="1" x14ac:dyDescent="0.4">
      <c r="A229" s="831" t="s">
        <v>341</v>
      </c>
      <c r="B229" s="832"/>
      <c r="C229" s="215">
        <f>SUM(E229:I229)</f>
        <v>10.100000000000001</v>
      </c>
      <c r="D229" s="833"/>
      <c r="E229" s="215">
        <f>SUM(E225:E227)</f>
        <v>1.8</v>
      </c>
      <c r="F229" s="215">
        <f>SUM(F225:F227)</f>
        <v>0</v>
      </c>
      <c r="G229" s="215">
        <f>SUM(G225:G227)</f>
        <v>0</v>
      </c>
      <c r="H229" s="215">
        <f>SUM(H225:H227)</f>
        <v>8.3000000000000007</v>
      </c>
      <c r="I229" s="215">
        <f>SUM(I225:I227)</f>
        <v>0</v>
      </c>
      <c r="J229" s="216"/>
      <c r="K229" s="217"/>
      <c r="L229" s="240"/>
      <c r="M229" s="125"/>
    </row>
    <row r="230" spans="1:14" ht="21.75" customHeight="1" thickBot="1" x14ac:dyDescent="0.4">
      <c r="L230" s="839"/>
    </row>
    <row r="231" spans="1:14" s="113" customFormat="1" ht="21.75" customHeight="1" x14ac:dyDescent="0.35">
      <c r="A231" s="1260" t="s">
        <v>547</v>
      </c>
      <c r="B231" s="1261"/>
      <c r="C231" s="1261"/>
      <c r="D231" s="1261"/>
      <c r="E231" s="1261"/>
      <c r="F231" s="1261"/>
      <c r="G231" s="1261"/>
      <c r="H231" s="1261"/>
      <c r="I231" s="1261"/>
      <c r="J231" s="1261"/>
      <c r="K231" s="1261"/>
      <c r="L231" s="877"/>
      <c r="M231" s="777"/>
      <c r="N231" s="115"/>
    </row>
    <row r="232" spans="1:14" s="113" customFormat="1" ht="21.75" customHeight="1" thickBot="1" x14ac:dyDescent="0.4">
      <c r="A232" s="229"/>
      <c r="B232" s="118"/>
      <c r="C232" s="778"/>
      <c r="D232" s="779"/>
      <c r="E232" s="778"/>
      <c r="F232" s="778"/>
      <c r="G232" s="778"/>
      <c r="H232" s="778"/>
      <c r="I232" s="778"/>
      <c r="J232" s="116"/>
      <c r="K232" s="125"/>
      <c r="L232" s="258"/>
      <c r="M232" s="125"/>
      <c r="N232" s="115"/>
    </row>
    <row r="233" spans="1:14" s="113" customFormat="1" ht="21.75" customHeight="1" x14ac:dyDescent="0.35">
      <c r="A233" s="1263" t="s">
        <v>302</v>
      </c>
      <c r="B233" s="1265" t="s">
        <v>28</v>
      </c>
      <c r="C233" s="1267" t="s">
        <v>343</v>
      </c>
      <c r="D233" s="812"/>
      <c r="E233" s="1271" t="s">
        <v>305</v>
      </c>
      <c r="F233" s="1271"/>
      <c r="G233" s="1271"/>
      <c r="H233" s="1271"/>
      <c r="I233" s="1271"/>
      <c r="J233" s="1265" t="s">
        <v>29</v>
      </c>
      <c r="K233" s="1272" t="s">
        <v>306</v>
      </c>
      <c r="L233" s="1274" t="s">
        <v>307</v>
      </c>
      <c r="M233" s="781"/>
      <c r="N233" s="115"/>
    </row>
    <row r="234" spans="1:14" s="113" customFormat="1" ht="21.75" customHeight="1" thickBot="1" x14ac:dyDescent="0.4">
      <c r="A234" s="1264"/>
      <c r="B234" s="1266"/>
      <c r="C234" s="1268"/>
      <c r="D234" s="813"/>
      <c r="E234" s="782" t="s">
        <v>308</v>
      </c>
      <c r="F234" s="782" t="s">
        <v>309</v>
      </c>
      <c r="G234" s="782" t="s">
        <v>310</v>
      </c>
      <c r="H234" s="782" t="s">
        <v>311</v>
      </c>
      <c r="I234" s="782" t="s">
        <v>312</v>
      </c>
      <c r="J234" s="1266"/>
      <c r="K234" s="1273"/>
      <c r="L234" s="1275"/>
      <c r="M234" s="781"/>
      <c r="N234" s="115"/>
    </row>
    <row r="235" spans="1:14" ht="21.75" customHeight="1" x14ac:dyDescent="0.35">
      <c r="A235" s="135">
        <v>196</v>
      </c>
      <c r="B235" s="138" t="s">
        <v>548</v>
      </c>
      <c r="C235" s="137">
        <f>'inventory2020(FOR revised)'!C287</f>
        <v>12.69</v>
      </c>
      <c r="D235" s="137">
        <f>'[23]road inventory 2018'!C283</f>
        <v>12.700000000000001</v>
      </c>
      <c r="E235" s="137">
        <v>8.1999999999999993</v>
      </c>
      <c r="F235" s="137">
        <v>0</v>
      </c>
      <c r="G235" s="137">
        <v>0</v>
      </c>
      <c r="H235" s="137">
        <v>4.49</v>
      </c>
      <c r="I235" s="137">
        <v>0</v>
      </c>
      <c r="J235" s="141" t="s">
        <v>12</v>
      </c>
      <c r="K235" s="796" t="s">
        <v>549</v>
      </c>
      <c r="L235" s="172" t="s">
        <v>838</v>
      </c>
    </row>
    <row r="236" spans="1:14" s="790" customFormat="1" ht="21.75" customHeight="1" x14ac:dyDescent="0.35">
      <c r="A236" s="783">
        <v>197</v>
      </c>
      <c r="B236" s="793" t="s">
        <v>550</v>
      </c>
      <c r="C236" s="137">
        <f>'inventory2020(FOR revised)'!C288</f>
        <v>4.9400000000000004</v>
      </c>
      <c r="D236" s="835">
        <f>'[23]road inventory 2018'!C284</f>
        <v>6.6</v>
      </c>
      <c r="E236" s="785">
        <v>4.9400000000000004</v>
      </c>
      <c r="F236" s="785">
        <v>0</v>
      </c>
      <c r="G236" s="785">
        <v>0</v>
      </c>
      <c r="H236" s="785">
        <v>0</v>
      </c>
      <c r="I236" s="785">
        <v>0</v>
      </c>
      <c r="J236" s="786" t="s">
        <v>12</v>
      </c>
      <c r="K236" s="787" t="s">
        <v>551</v>
      </c>
      <c r="L236" s="793"/>
      <c r="M236" s="789"/>
      <c r="N236" s="797"/>
    </row>
    <row r="237" spans="1:14" s="790" customFormat="1" ht="21.75" customHeight="1" x14ac:dyDescent="0.35">
      <c r="A237" s="783">
        <v>200</v>
      </c>
      <c r="B237" s="793" t="s">
        <v>291</v>
      </c>
      <c r="C237" s="137">
        <f>'inventory2020(FOR revised)'!C290</f>
        <v>1.1000000000000001</v>
      </c>
      <c r="D237" s="835">
        <f>'[23]road inventory 2018'!C286</f>
        <v>1.1000000000000001</v>
      </c>
      <c r="E237" s="785">
        <v>1.1000000000000001</v>
      </c>
      <c r="F237" s="785">
        <v>0</v>
      </c>
      <c r="G237" s="785">
        <v>0</v>
      </c>
      <c r="H237" s="785">
        <v>0</v>
      </c>
      <c r="I237" s="785">
        <v>0</v>
      </c>
      <c r="J237" s="786" t="s">
        <v>10</v>
      </c>
      <c r="K237" s="787" t="s">
        <v>554</v>
      </c>
      <c r="L237" s="793"/>
      <c r="M237" s="789"/>
      <c r="N237" s="797"/>
    </row>
    <row r="238" spans="1:14" ht="21.75" customHeight="1" x14ac:dyDescent="0.35">
      <c r="A238" s="135">
        <v>201</v>
      </c>
      <c r="B238" s="138" t="s">
        <v>555</v>
      </c>
      <c r="C238" s="137">
        <f>'inventory2020(FOR revised)'!C291</f>
        <v>4.97</v>
      </c>
      <c r="D238" s="835">
        <f>'[23]road inventory 2018'!C287</f>
        <v>5.2</v>
      </c>
      <c r="E238" s="137">
        <v>4.97</v>
      </c>
      <c r="F238" s="137">
        <v>0</v>
      </c>
      <c r="G238" s="137">
        <v>0</v>
      </c>
      <c r="H238" s="137">
        <v>0</v>
      </c>
      <c r="I238" s="137">
        <v>0</v>
      </c>
      <c r="J238" s="141" t="s">
        <v>12</v>
      </c>
      <c r="K238" s="796" t="s">
        <v>556</v>
      </c>
      <c r="L238" s="138"/>
    </row>
    <row r="239" spans="1:14" s="873" customFormat="1" ht="21.75" customHeight="1" x14ac:dyDescent="0.35">
      <c r="A239" s="817">
        <v>202</v>
      </c>
      <c r="B239" s="818" t="s">
        <v>557</v>
      </c>
      <c r="C239" s="819">
        <f>'inventory2020(FOR revised)'!C292</f>
        <v>5.3</v>
      </c>
      <c r="D239" s="819">
        <f>'[23]road inventory 2018'!C288</f>
        <v>5.3000000000000007</v>
      </c>
      <c r="E239" s="819">
        <v>2.4</v>
      </c>
      <c r="F239" s="819">
        <v>0</v>
      </c>
      <c r="G239" s="819">
        <v>0</v>
      </c>
      <c r="H239" s="819">
        <v>2.9</v>
      </c>
      <c r="I239" s="819">
        <v>0</v>
      </c>
      <c r="J239" s="820" t="s">
        <v>12</v>
      </c>
      <c r="K239" s="821" t="s">
        <v>556</v>
      </c>
      <c r="L239" s="818" t="str">
        <f>L235</f>
        <v>FOR VERIFICATION</v>
      </c>
      <c r="M239" s="822"/>
      <c r="N239" s="872"/>
    </row>
    <row r="240" spans="1:14" s="790" customFormat="1" ht="21.75" customHeight="1" x14ac:dyDescent="0.35">
      <c r="A240" s="783">
        <v>203</v>
      </c>
      <c r="B240" s="793" t="s">
        <v>558</v>
      </c>
      <c r="C240" s="137">
        <f>'inventory2020(FOR revised)'!C293</f>
        <v>4</v>
      </c>
      <c r="D240" s="835">
        <f>'[23]road inventory 2018'!C289</f>
        <v>3.8</v>
      </c>
      <c r="E240" s="785">
        <v>2.5499999999999998</v>
      </c>
      <c r="F240" s="785">
        <v>1.45</v>
      </c>
      <c r="G240" s="785">
        <v>0</v>
      </c>
      <c r="H240" s="785">
        <v>0</v>
      </c>
      <c r="I240" s="785">
        <v>0</v>
      </c>
      <c r="J240" s="786" t="s">
        <v>839</v>
      </c>
      <c r="K240" s="787" t="s">
        <v>559</v>
      </c>
      <c r="L240" s="793"/>
      <c r="M240" s="789"/>
      <c r="N240" s="797"/>
    </row>
    <row r="241" spans="1:14" ht="21.75" customHeight="1" x14ac:dyDescent="0.35">
      <c r="A241" s="135"/>
      <c r="B241" s="138"/>
      <c r="C241" s="137">
        <f t="shared" ref="C241:I241" si="14">SUM(C235:C240)</f>
        <v>33</v>
      </c>
      <c r="D241" s="137">
        <f t="shared" si="14"/>
        <v>34.700000000000003</v>
      </c>
      <c r="E241" s="137">
        <f t="shared" si="14"/>
        <v>24.16</v>
      </c>
      <c r="F241" s="137">
        <f t="shared" si="14"/>
        <v>1.45</v>
      </c>
      <c r="G241" s="137">
        <f t="shared" si="14"/>
        <v>0</v>
      </c>
      <c r="H241" s="137">
        <f t="shared" si="14"/>
        <v>7.3900000000000006</v>
      </c>
      <c r="I241" s="137">
        <f t="shared" si="14"/>
        <v>0</v>
      </c>
      <c r="J241" s="141"/>
      <c r="K241" s="796"/>
      <c r="L241" s="138"/>
    </row>
    <row r="242" spans="1:14" ht="21.75" customHeight="1" thickBot="1" x14ac:dyDescent="0.4">
      <c r="A242" s="831" t="s">
        <v>341</v>
      </c>
      <c r="B242" s="832"/>
      <c r="C242" s="215">
        <f>SUM(E242:I242)</f>
        <v>33</v>
      </c>
      <c r="D242" s="833"/>
      <c r="E242" s="215">
        <f>SUM(E235:E240)</f>
        <v>24.16</v>
      </c>
      <c r="F242" s="215">
        <f>SUM(F235:F240)</f>
        <v>1.45</v>
      </c>
      <c r="G242" s="215">
        <f>SUM(G235:G240)</f>
        <v>0</v>
      </c>
      <c r="H242" s="215">
        <f>SUM(H235:H240)</f>
        <v>7.3900000000000006</v>
      </c>
      <c r="I242" s="215">
        <f>SUM(I235:I240)</f>
        <v>0</v>
      </c>
      <c r="J242" s="216"/>
      <c r="K242" s="217"/>
      <c r="L242" s="240"/>
      <c r="M242" s="125"/>
      <c r="N242" s="238">
        <f>SUM(E242:I242)</f>
        <v>33</v>
      </c>
    </row>
    <row r="243" spans="1:14" ht="21.75" customHeight="1" x14ac:dyDescent="0.35">
      <c r="L243" s="138"/>
    </row>
    <row r="244" spans="1:14" s="113" customFormat="1" ht="21.75" customHeight="1" x14ac:dyDescent="0.35">
      <c r="A244" s="1279" t="s">
        <v>560</v>
      </c>
      <c r="B244" s="1280"/>
      <c r="C244" s="1280"/>
      <c r="D244" s="1280"/>
      <c r="E244" s="1280"/>
      <c r="F244" s="1280"/>
      <c r="G244" s="1280"/>
      <c r="H244" s="1280"/>
      <c r="I244" s="1280"/>
      <c r="J244" s="1280"/>
      <c r="K244" s="1280"/>
      <c r="L244" s="1281"/>
      <c r="M244" s="777"/>
      <c r="N244" s="115"/>
    </row>
    <row r="245" spans="1:14" s="113" customFormat="1" ht="21.75" customHeight="1" thickBot="1" x14ac:dyDescent="0.4">
      <c r="A245" s="229"/>
      <c r="B245" s="118"/>
      <c r="C245" s="778"/>
      <c r="D245" s="779"/>
      <c r="E245" s="778"/>
      <c r="F245" s="778"/>
      <c r="G245" s="778"/>
      <c r="H245" s="778"/>
      <c r="I245" s="778"/>
      <c r="J245" s="116"/>
      <c r="K245" s="125"/>
      <c r="L245" s="240"/>
      <c r="M245" s="125"/>
      <c r="N245" s="115"/>
    </row>
    <row r="246" spans="1:14" s="113" customFormat="1" ht="21.75" customHeight="1" x14ac:dyDescent="0.35">
      <c r="A246" s="1263" t="s">
        <v>302</v>
      </c>
      <c r="B246" s="1265" t="s">
        <v>28</v>
      </c>
      <c r="C246" s="1267" t="s">
        <v>343</v>
      </c>
      <c r="D246" s="812"/>
      <c r="E246" s="1271" t="s">
        <v>305</v>
      </c>
      <c r="F246" s="1271"/>
      <c r="G246" s="1271"/>
      <c r="H246" s="1271"/>
      <c r="I246" s="1271"/>
      <c r="J246" s="1265" t="s">
        <v>29</v>
      </c>
      <c r="K246" s="1272" t="s">
        <v>306</v>
      </c>
      <c r="L246" s="1284" t="str">
        <f>L233</f>
        <v>REMARKS</v>
      </c>
      <c r="M246" s="781"/>
      <c r="N246" s="115"/>
    </row>
    <row r="247" spans="1:14" s="113" customFormat="1" ht="21.75" customHeight="1" thickBot="1" x14ac:dyDescent="0.4">
      <c r="A247" s="1264"/>
      <c r="B247" s="1266"/>
      <c r="C247" s="1268"/>
      <c r="D247" s="813"/>
      <c r="E247" s="782" t="s">
        <v>308</v>
      </c>
      <c r="F247" s="782" t="s">
        <v>309</v>
      </c>
      <c r="G247" s="782" t="s">
        <v>310</v>
      </c>
      <c r="H247" s="782" t="s">
        <v>311</v>
      </c>
      <c r="I247" s="782" t="s">
        <v>312</v>
      </c>
      <c r="J247" s="1266"/>
      <c r="K247" s="1273"/>
      <c r="L247" s="1285"/>
      <c r="M247" s="781"/>
      <c r="N247" s="115"/>
    </row>
    <row r="248" spans="1:14" s="790" customFormat="1" ht="21.75" customHeight="1" x14ac:dyDescent="0.35">
      <c r="A248" s="783">
        <v>205</v>
      </c>
      <c r="B248" s="793" t="s">
        <v>563</v>
      </c>
      <c r="C248" s="137">
        <f>'inventory2020(FOR revised)'!C303</f>
        <v>0.37</v>
      </c>
      <c r="D248" s="814">
        <f>'[23]road inventory 2018'!C299</f>
        <v>0.37</v>
      </c>
      <c r="E248" s="785">
        <v>0.37</v>
      </c>
      <c r="F248" s="785">
        <v>0</v>
      </c>
      <c r="G248" s="785">
        <v>0</v>
      </c>
      <c r="H248" s="785">
        <v>0</v>
      </c>
      <c r="I248" s="785">
        <v>0</v>
      </c>
      <c r="J248" s="786" t="s">
        <v>10</v>
      </c>
      <c r="K248" s="787" t="s">
        <v>564</v>
      </c>
      <c r="L248" s="793"/>
      <c r="M248" s="789"/>
      <c r="N248" s="797"/>
    </row>
    <row r="249" spans="1:14" s="790" customFormat="1" ht="21.75" customHeight="1" x14ac:dyDescent="0.35">
      <c r="A249" s="783">
        <v>213</v>
      </c>
      <c r="B249" s="793" t="s">
        <v>293</v>
      </c>
      <c r="C249" s="137">
        <f>'inventory2020(FOR revised)'!C304</f>
        <v>2.8499999999999996</v>
      </c>
      <c r="D249" s="814">
        <f>'[23]road inventory 2018'!C300</f>
        <v>1.8599999999999999</v>
      </c>
      <c r="E249" s="785">
        <v>2.11</v>
      </c>
      <c r="F249" s="785">
        <v>0.74</v>
      </c>
      <c r="G249" s="785">
        <v>0</v>
      </c>
      <c r="H249" s="785">
        <v>0</v>
      </c>
      <c r="I249" s="785">
        <v>0</v>
      </c>
      <c r="J249" s="786" t="s">
        <v>10</v>
      </c>
      <c r="K249" s="787" t="s">
        <v>565</v>
      </c>
      <c r="L249" s="793"/>
      <c r="M249" s="789"/>
      <c r="N249" s="797"/>
    </row>
    <row r="250" spans="1:14" ht="21.75" customHeight="1" x14ac:dyDescent="0.35">
      <c r="A250" s="135">
        <v>206</v>
      </c>
      <c r="B250" s="138" t="s">
        <v>295</v>
      </c>
      <c r="C250" s="137">
        <f>'inventory2020(FOR revised)'!C305</f>
        <v>1.94</v>
      </c>
      <c r="D250" s="814">
        <f>'[23]road inventory 2018'!C301</f>
        <v>2</v>
      </c>
      <c r="E250" s="137">
        <v>1.94</v>
      </c>
      <c r="F250" s="137">
        <v>0</v>
      </c>
      <c r="G250" s="137">
        <v>0</v>
      </c>
      <c r="H250" s="137">
        <v>0</v>
      </c>
      <c r="I250" s="137">
        <v>0</v>
      </c>
      <c r="J250" s="141" t="s">
        <v>10</v>
      </c>
      <c r="K250" s="796" t="s">
        <v>566</v>
      </c>
      <c r="L250" s="138"/>
    </row>
    <row r="251" spans="1:14" ht="21.75" customHeight="1" x14ac:dyDescent="0.35">
      <c r="A251" s="135">
        <v>207</v>
      </c>
      <c r="B251" s="138" t="s">
        <v>292</v>
      </c>
      <c r="C251" s="137">
        <f>'inventory2020(FOR revised)'!C306</f>
        <v>2.0099999999999998</v>
      </c>
      <c r="D251" s="814">
        <f>'[23]road inventory 2018'!C302</f>
        <v>3.38</v>
      </c>
      <c r="E251" s="137">
        <v>0</v>
      </c>
      <c r="F251" s="137">
        <v>0</v>
      </c>
      <c r="G251" s="137">
        <v>0</v>
      </c>
      <c r="H251" s="137">
        <v>0</v>
      </c>
      <c r="I251" s="137">
        <v>2.0099999999999998</v>
      </c>
      <c r="J251" s="141" t="s">
        <v>10</v>
      </c>
      <c r="K251" s="796" t="s">
        <v>567</v>
      </c>
      <c r="L251" s="138"/>
    </row>
    <row r="252" spans="1:14" ht="21.75" customHeight="1" x14ac:dyDescent="0.35">
      <c r="A252" s="135">
        <v>210</v>
      </c>
      <c r="B252" s="138" t="s">
        <v>575</v>
      </c>
      <c r="C252" s="137">
        <f>'inventory2020(FOR revised)'!C311</f>
        <v>0.8</v>
      </c>
      <c r="D252" s="137">
        <f>'[23]road inventory 2018'!C310</f>
        <v>0.8</v>
      </c>
      <c r="E252" s="137">
        <v>0.8</v>
      </c>
      <c r="F252" s="137">
        <v>0</v>
      </c>
      <c r="G252" s="137">
        <v>0</v>
      </c>
      <c r="H252" s="137">
        <v>0</v>
      </c>
      <c r="I252" s="137">
        <v>0</v>
      </c>
      <c r="J252" s="141" t="s">
        <v>12</v>
      </c>
      <c r="K252" s="796" t="s">
        <v>576</v>
      </c>
      <c r="L252" s="138" t="e">
        <f>#REF!</f>
        <v>#REF!</v>
      </c>
    </row>
    <row r="253" spans="1:14" ht="21.75" customHeight="1" x14ac:dyDescent="0.35">
      <c r="A253" s="135">
        <v>211</v>
      </c>
      <c r="B253" s="138" t="s">
        <v>577</v>
      </c>
      <c r="C253" s="137">
        <f>'inventory2020(FOR revised)'!C312</f>
        <v>0.85</v>
      </c>
      <c r="D253" s="137">
        <f>'[23]road inventory 2018'!C311</f>
        <v>0.7</v>
      </c>
      <c r="E253" s="137">
        <v>0.85</v>
      </c>
      <c r="F253" s="137">
        <v>0</v>
      </c>
      <c r="G253" s="137">
        <v>0</v>
      </c>
      <c r="H253" s="137">
        <v>0</v>
      </c>
      <c r="I253" s="137">
        <v>0</v>
      </c>
      <c r="J253" s="141" t="s">
        <v>10</v>
      </c>
      <c r="K253" s="796" t="s">
        <v>578</v>
      </c>
      <c r="L253" s="138"/>
    </row>
    <row r="254" spans="1:14" s="790" customFormat="1" ht="21.75" customHeight="1" x14ac:dyDescent="0.35">
      <c r="A254" s="825"/>
      <c r="B254" s="826"/>
      <c r="C254" s="827">
        <f t="shared" ref="C254:I254" si="15">SUM(C248:C253)</f>
        <v>8.82</v>
      </c>
      <c r="D254" s="827">
        <f t="shared" si="15"/>
        <v>9.11</v>
      </c>
      <c r="E254" s="827">
        <f t="shared" si="15"/>
        <v>6.0699999999999994</v>
      </c>
      <c r="F254" s="827">
        <f t="shared" si="15"/>
        <v>0.74</v>
      </c>
      <c r="G254" s="827">
        <f t="shared" si="15"/>
        <v>0</v>
      </c>
      <c r="H254" s="827">
        <f t="shared" si="15"/>
        <v>0</v>
      </c>
      <c r="I254" s="827">
        <f t="shared" si="15"/>
        <v>2.0099999999999998</v>
      </c>
      <c r="J254" s="829"/>
      <c r="K254" s="830"/>
      <c r="L254" s="793"/>
      <c r="M254" s="789"/>
      <c r="N254" s="797"/>
    </row>
    <row r="255" spans="1:14" ht="21.75" customHeight="1" thickBot="1" x14ac:dyDescent="0.4">
      <c r="A255" s="831" t="s">
        <v>341</v>
      </c>
      <c r="B255" s="832"/>
      <c r="C255" s="215">
        <f>SUM(E255:I255)</f>
        <v>8.82</v>
      </c>
      <c r="D255" s="833"/>
      <c r="E255" s="215">
        <f>SUM(E248:E253)</f>
        <v>6.0699999999999994</v>
      </c>
      <c r="F255" s="215">
        <f>SUM(F248:F253)</f>
        <v>0.74</v>
      </c>
      <c r="G255" s="215">
        <f>SUM(G248:G253)</f>
        <v>0</v>
      </c>
      <c r="H255" s="215">
        <f>SUM(H248:H253)</f>
        <v>0</v>
      </c>
      <c r="I255" s="215">
        <f>SUM(I248:I253)</f>
        <v>2.0099999999999998</v>
      </c>
      <c r="J255" s="216"/>
      <c r="K255" s="217"/>
      <c r="L255" s="240"/>
      <c r="M255" s="125"/>
      <c r="N255" s="238">
        <f>SUM(E255:I255)</f>
        <v>8.82</v>
      </c>
    </row>
    <row r="256" spans="1:14" ht="21.75" customHeight="1" x14ac:dyDescent="0.35">
      <c r="L256" s="138"/>
    </row>
    <row r="257" spans="1:14" s="113" customFormat="1" ht="21.75" customHeight="1" x14ac:dyDescent="0.35">
      <c r="A257" s="1279" t="s">
        <v>579</v>
      </c>
      <c r="B257" s="1280"/>
      <c r="C257" s="1280"/>
      <c r="D257" s="1280"/>
      <c r="E257" s="1280"/>
      <c r="F257" s="1280"/>
      <c r="G257" s="1280"/>
      <c r="H257" s="1280"/>
      <c r="I257" s="1280"/>
      <c r="J257" s="1280"/>
      <c r="K257" s="1280"/>
      <c r="L257" s="1281"/>
      <c r="M257" s="777"/>
      <c r="N257" s="115"/>
    </row>
    <row r="258" spans="1:14" s="113" customFormat="1" ht="21.75" customHeight="1" thickBot="1" x14ac:dyDescent="0.4">
      <c r="A258" s="229"/>
      <c r="B258" s="118"/>
      <c r="C258" s="778"/>
      <c r="D258" s="779"/>
      <c r="E258" s="778"/>
      <c r="F258" s="778"/>
      <c r="G258" s="778"/>
      <c r="H258" s="778"/>
      <c r="I258" s="778"/>
      <c r="J258" s="116"/>
      <c r="K258" s="125"/>
      <c r="L258" s="240"/>
      <c r="M258" s="125"/>
      <c r="N258" s="115"/>
    </row>
    <row r="259" spans="1:14" s="113" customFormat="1" ht="21.75" customHeight="1" x14ac:dyDescent="0.35">
      <c r="A259" s="1263" t="s">
        <v>302</v>
      </c>
      <c r="B259" s="1265" t="s">
        <v>28</v>
      </c>
      <c r="C259" s="1267" t="s">
        <v>343</v>
      </c>
      <c r="D259" s="812"/>
      <c r="E259" s="1271" t="s">
        <v>305</v>
      </c>
      <c r="F259" s="1271"/>
      <c r="G259" s="1271"/>
      <c r="H259" s="1271"/>
      <c r="I259" s="1271"/>
      <c r="J259" s="1265" t="s">
        <v>29</v>
      </c>
      <c r="K259" s="1272" t="s">
        <v>306</v>
      </c>
      <c r="L259" s="1284" t="str">
        <f>L246</f>
        <v>REMARKS</v>
      </c>
      <c r="M259" s="781"/>
      <c r="N259" s="115"/>
    </row>
    <row r="260" spans="1:14" s="113" customFormat="1" ht="21.75" customHeight="1" thickBot="1" x14ac:dyDescent="0.4">
      <c r="A260" s="1264"/>
      <c r="B260" s="1266"/>
      <c r="C260" s="1268"/>
      <c r="D260" s="813"/>
      <c r="E260" s="782" t="s">
        <v>308</v>
      </c>
      <c r="F260" s="782" t="s">
        <v>309</v>
      </c>
      <c r="G260" s="782" t="s">
        <v>310</v>
      </c>
      <c r="H260" s="782" t="s">
        <v>311</v>
      </c>
      <c r="I260" s="782" t="s">
        <v>312</v>
      </c>
      <c r="J260" s="1266"/>
      <c r="K260" s="1273"/>
      <c r="L260" s="1285"/>
      <c r="M260" s="781"/>
      <c r="N260" s="115"/>
    </row>
    <row r="261" spans="1:14" ht="21.75" customHeight="1" x14ac:dyDescent="0.35">
      <c r="A261" s="135">
        <v>214</v>
      </c>
      <c r="B261" s="138" t="s">
        <v>580</v>
      </c>
      <c r="C261" s="137">
        <f>'inventory2020(FOR revised)'!C320</f>
        <v>4.5</v>
      </c>
      <c r="D261" s="137">
        <f>'[23]road inventory 2018'!C318</f>
        <v>4.5</v>
      </c>
      <c r="E261" s="177">
        <v>0.7</v>
      </c>
      <c r="F261" s="177">
        <v>0</v>
      </c>
      <c r="G261" s="177">
        <v>0</v>
      </c>
      <c r="H261" s="137">
        <v>3.8</v>
      </c>
      <c r="I261" s="137">
        <v>0</v>
      </c>
      <c r="J261" s="141" t="s">
        <v>12</v>
      </c>
      <c r="K261" s="796" t="s">
        <v>581</v>
      </c>
      <c r="L261" s="138" t="e">
        <f>#REF!</f>
        <v>#REF!</v>
      </c>
    </row>
    <row r="262" spans="1:14" ht="21.75" customHeight="1" x14ac:dyDescent="0.35">
      <c r="A262" s="135">
        <v>212</v>
      </c>
      <c r="B262" s="138" t="s">
        <v>582</v>
      </c>
      <c r="C262" s="137">
        <f>'inventory2020(FOR revised)'!C321</f>
        <v>2.75</v>
      </c>
      <c r="D262" s="137">
        <f>'[23]road inventory 2018'!C319</f>
        <v>2.75</v>
      </c>
      <c r="E262" s="177">
        <v>2.6</v>
      </c>
      <c r="F262" s="177">
        <v>0</v>
      </c>
      <c r="G262" s="177">
        <v>0</v>
      </c>
      <c r="H262" s="137">
        <v>0.15</v>
      </c>
      <c r="I262" s="137">
        <v>0</v>
      </c>
      <c r="J262" s="141" t="s">
        <v>12</v>
      </c>
      <c r="K262" s="796" t="s">
        <v>528</v>
      </c>
      <c r="L262" s="138" t="e">
        <f>L261</f>
        <v>#REF!</v>
      </c>
    </row>
    <row r="263" spans="1:14" s="790" customFormat="1" ht="21.75" customHeight="1" x14ac:dyDescent="0.35">
      <c r="A263" s="825"/>
      <c r="B263" s="826"/>
      <c r="C263" s="827">
        <f>SUM(C261:C262)</f>
        <v>7.25</v>
      </c>
      <c r="D263" s="827">
        <f t="shared" ref="D263:I263" si="16">SUM(D261:D262)</f>
        <v>7.25</v>
      </c>
      <c r="E263" s="827">
        <f t="shared" si="16"/>
        <v>3.3</v>
      </c>
      <c r="F263" s="827">
        <f t="shared" si="16"/>
        <v>0</v>
      </c>
      <c r="G263" s="827">
        <f t="shared" si="16"/>
        <v>0</v>
      </c>
      <c r="H263" s="827">
        <f t="shared" si="16"/>
        <v>3.9499999999999997</v>
      </c>
      <c r="I263" s="827">
        <f t="shared" si="16"/>
        <v>0</v>
      </c>
      <c r="J263" s="829"/>
      <c r="K263" s="830"/>
      <c r="L263" s="793"/>
      <c r="M263" s="789"/>
      <c r="N263" s="797"/>
    </row>
    <row r="264" spans="1:14" ht="21.75" customHeight="1" thickBot="1" x14ac:dyDescent="0.4">
      <c r="A264" s="831" t="s">
        <v>341</v>
      </c>
      <c r="B264" s="878"/>
      <c r="C264" s="215">
        <f>SUM(E264:I264)</f>
        <v>7.25</v>
      </c>
      <c r="D264" s="833"/>
      <c r="E264" s="215">
        <f>SUM(E261:E262)</f>
        <v>3.3</v>
      </c>
      <c r="F264" s="215">
        <f>SUM(F261:F262)</f>
        <v>0</v>
      </c>
      <c r="G264" s="215">
        <f>SUM(G261:G262)</f>
        <v>0</v>
      </c>
      <c r="H264" s="215">
        <f>SUM(H261:H262)</f>
        <v>3.9499999999999997</v>
      </c>
      <c r="I264" s="215">
        <f>SUM(I261:I262)</f>
        <v>0</v>
      </c>
      <c r="J264" s="216"/>
      <c r="K264" s="217"/>
      <c r="L264" s="240"/>
      <c r="M264" s="125"/>
    </row>
    <row r="265" spans="1:14" ht="21.75" customHeight="1" x14ac:dyDescent="0.35">
      <c r="L265" s="138"/>
    </row>
    <row r="266" spans="1:14" s="113" customFormat="1" ht="21.75" customHeight="1" x14ac:dyDescent="0.35">
      <c r="A266" s="1279" t="s">
        <v>583</v>
      </c>
      <c r="B266" s="1280"/>
      <c r="C266" s="1280"/>
      <c r="D266" s="1280"/>
      <c r="E266" s="1280"/>
      <c r="F266" s="1280"/>
      <c r="G266" s="1280"/>
      <c r="H266" s="1280"/>
      <c r="I266" s="1280"/>
      <c r="J266" s="1280"/>
      <c r="K266" s="1280"/>
      <c r="L266" s="1281"/>
      <c r="M266" s="777"/>
      <c r="N266" s="115"/>
    </row>
    <row r="267" spans="1:14" s="113" customFormat="1" ht="21.75" customHeight="1" thickBot="1" x14ac:dyDescent="0.4">
      <c r="A267" s="229"/>
      <c r="B267" s="118"/>
      <c r="C267" s="778"/>
      <c r="D267" s="779"/>
      <c r="E267" s="778"/>
      <c r="F267" s="778"/>
      <c r="G267" s="778"/>
      <c r="H267" s="778"/>
      <c r="I267" s="778"/>
      <c r="J267" s="116"/>
      <c r="K267" s="125"/>
      <c r="L267" s="240"/>
      <c r="M267" s="125"/>
      <c r="N267" s="115"/>
    </row>
    <row r="268" spans="1:14" s="113" customFormat="1" ht="21.75" customHeight="1" x14ac:dyDescent="0.35">
      <c r="A268" s="1263" t="s">
        <v>302</v>
      </c>
      <c r="B268" s="1265" t="s">
        <v>28</v>
      </c>
      <c r="C268" s="1267" t="s">
        <v>343</v>
      </c>
      <c r="D268" s="812"/>
      <c r="E268" s="1271" t="s">
        <v>305</v>
      </c>
      <c r="F268" s="1271"/>
      <c r="G268" s="1271"/>
      <c r="H268" s="1271"/>
      <c r="I268" s="1271"/>
      <c r="J268" s="1265" t="s">
        <v>29</v>
      </c>
      <c r="K268" s="1272" t="s">
        <v>306</v>
      </c>
      <c r="L268" s="1284" t="str">
        <f>L259</f>
        <v>REMARKS</v>
      </c>
      <c r="M268" s="781"/>
      <c r="N268" s="115"/>
    </row>
    <row r="269" spans="1:14" s="113" customFormat="1" ht="21.75" customHeight="1" thickBot="1" x14ac:dyDescent="0.4">
      <c r="A269" s="1264"/>
      <c r="B269" s="1266"/>
      <c r="C269" s="1268"/>
      <c r="D269" s="813"/>
      <c r="E269" s="782" t="s">
        <v>308</v>
      </c>
      <c r="F269" s="782" t="s">
        <v>309</v>
      </c>
      <c r="G269" s="782" t="s">
        <v>310</v>
      </c>
      <c r="H269" s="782" t="s">
        <v>311</v>
      </c>
      <c r="I269" s="782" t="s">
        <v>312</v>
      </c>
      <c r="J269" s="1266"/>
      <c r="K269" s="1273"/>
      <c r="L269" s="1285"/>
      <c r="M269" s="781"/>
      <c r="N269" s="115"/>
    </row>
    <row r="270" spans="1:14" s="887" customFormat="1" ht="21.75" customHeight="1" x14ac:dyDescent="0.35">
      <c r="A270" s="879">
        <v>173</v>
      </c>
      <c r="B270" s="880" t="s">
        <v>584</v>
      </c>
      <c r="C270" s="881">
        <f>'inventory2020(FOR revised)'!C329</f>
        <v>1.04</v>
      </c>
      <c r="D270" s="882">
        <f>'[23]road inventory 2018'!C326</f>
        <v>1.5</v>
      </c>
      <c r="E270" s="881">
        <v>1.04</v>
      </c>
      <c r="F270" s="881">
        <v>0</v>
      </c>
      <c r="G270" s="881">
        <v>0</v>
      </c>
      <c r="H270" s="881">
        <v>0</v>
      </c>
      <c r="I270" s="881">
        <v>0</v>
      </c>
      <c r="J270" s="883" t="s">
        <v>839</v>
      </c>
      <c r="K270" s="884"/>
      <c r="L270" s="880"/>
      <c r="M270" s="885"/>
      <c r="N270" s="886"/>
    </row>
    <row r="271" spans="1:14" s="887" customFormat="1" ht="21.75" customHeight="1" x14ac:dyDescent="0.35">
      <c r="A271" s="879">
        <v>175</v>
      </c>
      <c r="B271" s="880" t="s">
        <v>586</v>
      </c>
      <c r="C271" s="881">
        <f>'inventory2020(FOR revised)'!C331</f>
        <v>3.31</v>
      </c>
      <c r="D271" s="882">
        <f>'[23]road inventory 2018'!C328</f>
        <v>3.6</v>
      </c>
      <c r="E271" s="881">
        <v>3.31</v>
      </c>
      <c r="F271" s="881">
        <v>0</v>
      </c>
      <c r="G271" s="881">
        <v>0</v>
      </c>
      <c r="H271" s="881">
        <v>0</v>
      </c>
      <c r="I271" s="881">
        <v>0</v>
      </c>
      <c r="J271" s="880" t="s">
        <v>12</v>
      </c>
      <c r="K271" s="884"/>
      <c r="L271" s="880"/>
      <c r="M271" s="885"/>
      <c r="N271" s="886"/>
    </row>
    <row r="272" spans="1:14" s="887" customFormat="1" ht="21.75" customHeight="1" x14ac:dyDescent="0.35">
      <c r="A272" s="879">
        <v>176</v>
      </c>
      <c r="B272" s="880" t="s">
        <v>587</v>
      </c>
      <c r="C272" s="881">
        <f>'inventory2020(FOR revised)'!C332</f>
        <v>22.21</v>
      </c>
      <c r="D272" s="882">
        <f>'[23]road inventory 2018'!C329</f>
        <v>20.5</v>
      </c>
      <c r="E272" s="881">
        <v>5.21</v>
      </c>
      <c r="F272" s="881">
        <v>0</v>
      </c>
      <c r="G272" s="881">
        <v>0</v>
      </c>
      <c r="H272" s="881">
        <v>17</v>
      </c>
      <c r="I272" s="881">
        <v>0</v>
      </c>
      <c r="J272" s="880" t="s">
        <v>12</v>
      </c>
      <c r="K272" s="884"/>
      <c r="L272" s="880"/>
      <c r="M272" s="885"/>
      <c r="N272" s="886"/>
    </row>
    <row r="273" spans="1:19" s="887" customFormat="1" ht="21.75" customHeight="1" x14ac:dyDescent="0.35">
      <c r="A273" s="879">
        <v>177</v>
      </c>
      <c r="B273" s="880" t="s">
        <v>588</v>
      </c>
      <c r="C273" s="881">
        <f>'inventory2020(FOR revised)'!C333</f>
        <v>13.55</v>
      </c>
      <c r="D273" s="882">
        <f>'[23]road inventory 2018'!C330</f>
        <v>13.5</v>
      </c>
      <c r="E273" s="881">
        <v>13.55</v>
      </c>
      <c r="F273" s="881">
        <v>0</v>
      </c>
      <c r="G273" s="881">
        <v>0</v>
      </c>
      <c r="H273" s="881">
        <v>0</v>
      </c>
      <c r="I273" s="881">
        <v>0</v>
      </c>
      <c r="J273" s="883" t="s">
        <v>10</v>
      </c>
      <c r="K273" s="884"/>
      <c r="L273" s="880"/>
      <c r="M273" s="885"/>
      <c r="N273" s="886"/>
    </row>
    <row r="274" spans="1:19" s="887" customFormat="1" ht="21.75" customHeight="1" x14ac:dyDescent="0.35">
      <c r="A274" s="879">
        <v>172</v>
      </c>
      <c r="B274" s="880" t="s">
        <v>589</v>
      </c>
      <c r="C274" s="881">
        <f>'inventory2020(FOR revised)'!C334</f>
        <v>4.4399999999999995</v>
      </c>
      <c r="D274" s="882">
        <f>'[23]road inventory 2018'!C331</f>
        <v>5.7</v>
      </c>
      <c r="E274" s="881">
        <v>1.02</v>
      </c>
      <c r="F274" s="881">
        <v>0</v>
      </c>
      <c r="G274" s="881">
        <v>0</v>
      </c>
      <c r="H274" s="881">
        <v>0</v>
      </c>
      <c r="I274" s="881">
        <v>3.42</v>
      </c>
      <c r="J274" s="883" t="str">
        <f>J238</f>
        <v>Fair</v>
      </c>
      <c r="K274" s="884"/>
      <c r="L274" s="880"/>
      <c r="M274" s="885"/>
      <c r="N274" s="886"/>
      <c r="S274" s="888" t="e">
        <f>C308+#REF!+D288+D289+#REF!+#REF!+D275+#REF!+#REF!+D252+#REF!+#REF!+#REF!+#REF!+D239+D235</f>
        <v>#REF!</v>
      </c>
    </row>
    <row r="275" spans="1:19" ht="21.75" customHeight="1" x14ac:dyDescent="0.35">
      <c r="A275" s="135">
        <v>180</v>
      </c>
      <c r="B275" s="138" t="s">
        <v>591</v>
      </c>
      <c r="C275" s="881">
        <f>'inventory2020(FOR revised)'!C337</f>
        <v>2.42</v>
      </c>
      <c r="D275" s="137">
        <f>'[23]road inventory 2018'!C334</f>
        <v>2.42</v>
      </c>
      <c r="E275" s="137">
        <v>0</v>
      </c>
      <c r="F275" s="137">
        <v>0</v>
      </c>
      <c r="G275" s="137">
        <v>0</v>
      </c>
      <c r="H275" s="137">
        <v>2.42</v>
      </c>
      <c r="I275" s="137">
        <v>0</v>
      </c>
      <c r="J275" s="138" t="s">
        <v>12</v>
      </c>
      <c r="K275" s="796"/>
      <c r="L275" s="138" t="e">
        <f>#REF!</f>
        <v>#REF!</v>
      </c>
    </row>
    <row r="276" spans="1:19" ht="21.75" customHeight="1" x14ac:dyDescent="0.35">
      <c r="A276" s="135">
        <v>181</v>
      </c>
      <c r="B276" s="138" t="s">
        <v>592</v>
      </c>
      <c r="C276" s="881">
        <f>'inventory2020(FOR revised)'!C338</f>
        <v>4.03</v>
      </c>
      <c r="D276" s="137">
        <f>'[23]road inventory 2018'!C335</f>
        <v>4.9000000000000004</v>
      </c>
      <c r="E276" s="137">
        <v>4.03</v>
      </c>
      <c r="F276" s="137">
        <v>0</v>
      </c>
      <c r="G276" s="137">
        <v>0</v>
      </c>
      <c r="H276" s="137">
        <v>0</v>
      </c>
      <c r="I276" s="137">
        <v>0</v>
      </c>
      <c r="J276" s="141" t="s">
        <v>10</v>
      </c>
      <c r="K276" s="796"/>
      <c r="L276" s="138"/>
    </row>
    <row r="277" spans="1:19" ht="21.75" customHeight="1" x14ac:dyDescent="0.35">
      <c r="A277" s="135">
        <v>182</v>
      </c>
      <c r="B277" s="138" t="s">
        <v>593</v>
      </c>
      <c r="C277" s="881">
        <f>'inventory2020(FOR revised)'!C339</f>
        <v>16.57</v>
      </c>
      <c r="D277" s="137">
        <f>'[23]road inventory 2018'!C336</f>
        <v>16</v>
      </c>
      <c r="E277" s="137">
        <v>16.57</v>
      </c>
      <c r="F277" s="137">
        <v>0</v>
      </c>
      <c r="G277" s="137">
        <v>0</v>
      </c>
      <c r="H277" s="137">
        <v>0</v>
      </c>
      <c r="I277" s="137">
        <v>0</v>
      </c>
      <c r="J277" s="138" t="s">
        <v>10</v>
      </c>
      <c r="K277" s="796"/>
      <c r="L277" s="138"/>
    </row>
    <row r="278" spans="1:19" s="887" customFormat="1" ht="21.75" customHeight="1" x14ac:dyDescent="0.35">
      <c r="A278" s="879">
        <v>184</v>
      </c>
      <c r="B278" s="880" t="s">
        <v>595</v>
      </c>
      <c r="C278" s="881">
        <f>'inventory2020(FOR revised)'!C341</f>
        <v>12.03</v>
      </c>
      <c r="D278" s="882">
        <f>'[23]road inventory 2018'!C338</f>
        <v>12</v>
      </c>
      <c r="E278" s="881">
        <v>10.01</v>
      </c>
      <c r="F278" s="881">
        <v>0</v>
      </c>
      <c r="G278" s="881">
        <v>0</v>
      </c>
      <c r="H278" s="881">
        <v>2.02</v>
      </c>
      <c r="I278" s="881">
        <v>0</v>
      </c>
      <c r="J278" s="880" t="s">
        <v>10</v>
      </c>
      <c r="K278" s="884"/>
      <c r="L278" s="880"/>
      <c r="M278" s="885"/>
      <c r="N278" s="886"/>
    </row>
    <row r="279" spans="1:19" s="873" customFormat="1" ht="21.75" customHeight="1" x14ac:dyDescent="0.35">
      <c r="A279" s="889"/>
      <c r="B279" s="890"/>
      <c r="C279" s="891">
        <f t="shared" ref="C279:I279" si="17">SUM(C270:C278)</f>
        <v>79.599999999999994</v>
      </c>
      <c r="D279" s="891">
        <f t="shared" si="17"/>
        <v>80.12</v>
      </c>
      <c r="E279" s="891">
        <f t="shared" si="17"/>
        <v>54.74</v>
      </c>
      <c r="F279" s="891">
        <f t="shared" si="17"/>
        <v>0</v>
      </c>
      <c r="G279" s="891">
        <f t="shared" si="17"/>
        <v>0</v>
      </c>
      <c r="H279" s="891">
        <f t="shared" si="17"/>
        <v>21.44</v>
      </c>
      <c r="I279" s="891">
        <f t="shared" si="17"/>
        <v>3.42</v>
      </c>
      <c r="J279" s="890"/>
      <c r="K279" s="892"/>
      <c r="L279" s="818"/>
      <c r="M279" s="822"/>
      <c r="N279" s="872"/>
    </row>
    <row r="280" spans="1:19" ht="21.75" customHeight="1" thickBot="1" x14ac:dyDescent="0.4">
      <c r="A280" s="831" t="s">
        <v>341</v>
      </c>
      <c r="B280" s="832"/>
      <c r="C280" s="215">
        <f>SUM(E280:I280)</f>
        <v>79.600000000000009</v>
      </c>
      <c r="D280" s="833"/>
      <c r="E280" s="215">
        <f>SUM(E270:E278)</f>
        <v>54.74</v>
      </c>
      <c r="F280" s="215">
        <f>SUM(F270:F278)</f>
        <v>0</v>
      </c>
      <c r="G280" s="215">
        <f>SUM(G270:G278)</f>
        <v>0</v>
      </c>
      <c r="H280" s="215">
        <f>SUM(H270:H278)</f>
        <v>21.44</v>
      </c>
      <c r="I280" s="215">
        <f>SUM(I270:I278)</f>
        <v>3.42</v>
      </c>
      <c r="J280" s="216"/>
      <c r="K280" s="217"/>
      <c r="L280" s="240"/>
      <c r="M280" s="125"/>
      <c r="N280" s="238">
        <f>SUM(E280:I280)</f>
        <v>79.600000000000009</v>
      </c>
    </row>
    <row r="281" spans="1:19" ht="21.75" customHeight="1" x14ac:dyDescent="0.35">
      <c r="L281" s="138"/>
    </row>
    <row r="282" spans="1:19" s="113" customFormat="1" ht="21.75" customHeight="1" x14ac:dyDescent="0.35">
      <c r="A282" s="1279" t="s">
        <v>596</v>
      </c>
      <c r="B282" s="1280"/>
      <c r="C282" s="1280"/>
      <c r="D282" s="1280"/>
      <c r="E282" s="1280"/>
      <c r="F282" s="1280"/>
      <c r="G282" s="1280"/>
      <c r="H282" s="1280"/>
      <c r="I282" s="1280"/>
      <c r="J282" s="1280"/>
      <c r="K282" s="1280"/>
      <c r="L282" s="1281"/>
      <c r="M282" s="777"/>
      <c r="N282" s="115"/>
    </row>
    <row r="283" spans="1:19" s="113" customFormat="1" ht="21.75" customHeight="1" thickBot="1" x14ac:dyDescent="0.4">
      <c r="A283" s="229"/>
      <c r="B283" s="118"/>
      <c r="C283" s="778"/>
      <c r="D283" s="779"/>
      <c r="E283" s="778"/>
      <c r="F283" s="778"/>
      <c r="G283" s="778"/>
      <c r="H283" s="778"/>
      <c r="I283" s="778"/>
      <c r="J283" s="116"/>
      <c r="K283" s="125"/>
      <c r="L283" s="240"/>
      <c r="M283" s="125"/>
      <c r="N283" s="115"/>
    </row>
    <row r="284" spans="1:19" s="113" customFormat="1" ht="21.75" customHeight="1" x14ac:dyDescent="0.35">
      <c r="A284" s="1263" t="s">
        <v>302</v>
      </c>
      <c r="B284" s="1265" t="s">
        <v>28</v>
      </c>
      <c r="C284" s="1267" t="s">
        <v>343</v>
      </c>
      <c r="D284" s="812"/>
      <c r="E284" s="1271" t="s">
        <v>305</v>
      </c>
      <c r="F284" s="1271"/>
      <c r="G284" s="1271"/>
      <c r="H284" s="1271"/>
      <c r="I284" s="1271"/>
      <c r="J284" s="1265" t="s">
        <v>29</v>
      </c>
      <c r="K284" s="1272" t="s">
        <v>306</v>
      </c>
      <c r="L284" s="1284" t="str">
        <f>L268</f>
        <v>REMARKS</v>
      </c>
      <c r="M284" s="781"/>
      <c r="N284" s="115"/>
    </row>
    <row r="285" spans="1:19" s="113" customFormat="1" ht="21.75" customHeight="1" thickBot="1" x14ac:dyDescent="0.4">
      <c r="A285" s="1264"/>
      <c r="B285" s="1266"/>
      <c r="C285" s="1268"/>
      <c r="D285" s="813"/>
      <c r="E285" s="782" t="s">
        <v>308</v>
      </c>
      <c r="F285" s="782" t="s">
        <v>309</v>
      </c>
      <c r="G285" s="782" t="s">
        <v>310</v>
      </c>
      <c r="H285" s="782" t="s">
        <v>311</v>
      </c>
      <c r="I285" s="782" t="s">
        <v>312</v>
      </c>
      <c r="J285" s="1266"/>
      <c r="K285" s="1273"/>
      <c r="L285" s="1285"/>
      <c r="M285" s="781"/>
      <c r="N285" s="115"/>
    </row>
    <row r="286" spans="1:19" s="790" customFormat="1" ht="21.75" customHeight="1" x14ac:dyDescent="0.35">
      <c r="A286" s="783">
        <v>189</v>
      </c>
      <c r="B286" s="793" t="s">
        <v>599</v>
      </c>
      <c r="C286" s="785">
        <f>'inventory2020(FOR revised)'!C351</f>
        <v>0.998</v>
      </c>
      <c r="D286" s="893">
        <f>'[23]road inventory 2018'!C347</f>
        <v>0.74199999999999999</v>
      </c>
      <c r="E286" s="785">
        <v>0.998</v>
      </c>
      <c r="F286" s="785">
        <v>0</v>
      </c>
      <c r="G286" s="785">
        <v>0</v>
      </c>
      <c r="H286" s="785">
        <v>0</v>
      </c>
      <c r="I286" s="785">
        <v>0</v>
      </c>
      <c r="J286" s="793" t="s">
        <v>12</v>
      </c>
      <c r="K286" s="787"/>
      <c r="L286" s="793"/>
      <c r="M286" s="789"/>
      <c r="N286" s="797"/>
    </row>
    <row r="287" spans="1:19" s="873" customFormat="1" ht="21.75" customHeight="1" x14ac:dyDescent="0.35">
      <c r="A287" s="817">
        <v>185</v>
      </c>
      <c r="B287" s="818" t="s">
        <v>840</v>
      </c>
      <c r="C287" s="785">
        <f>'inventory2020(FOR revised)'!C352</f>
        <v>12.03</v>
      </c>
      <c r="D287" s="893">
        <f>'[23]road inventory 2018'!C348</f>
        <v>10.9</v>
      </c>
      <c r="E287" s="819">
        <v>10.01</v>
      </c>
      <c r="F287" s="819">
        <v>0</v>
      </c>
      <c r="G287" s="819">
        <v>0</v>
      </c>
      <c r="H287" s="819">
        <v>2.02</v>
      </c>
      <c r="I287" s="819">
        <v>0</v>
      </c>
      <c r="J287" s="818" t="s">
        <v>10</v>
      </c>
      <c r="K287" s="821"/>
      <c r="L287" s="818"/>
      <c r="M287" s="822"/>
      <c r="N287" s="872"/>
    </row>
    <row r="288" spans="1:19" ht="21.75" customHeight="1" x14ac:dyDescent="0.35">
      <c r="A288" s="135">
        <v>190</v>
      </c>
      <c r="B288" s="138" t="s">
        <v>602</v>
      </c>
      <c r="C288" s="785">
        <f>'inventory2020(FOR revised)'!C354</f>
        <v>17.5</v>
      </c>
      <c r="D288" s="141">
        <f>'[23]road inventory 2018'!C350</f>
        <v>17.5</v>
      </c>
      <c r="E288" s="137">
        <v>0</v>
      </c>
      <c r="F288" s="137">
        <v>0</v>
      </c>
      <c r="G288" s="137">
        <v>0</v>
      </c>
      <c r="H288" s="137">
        <v>17.5</v>
      </c>
      <c r="I288" s="137">
        <v>0</v>
      </c>
      <c r="J288" s="138" t="s">
        <v>12</v>
      </c>
      <c r="K288" s="796"/>
      <c r="L288" s="138" t="e">
        <f>#REF!</f>
        <v>#REF!</v>
      </c>
    </row>
    <row r="289" spans="1:14" ht="21.75" customHeight="1" x14ac:dyDescent="0.35">
      <c r="A289" s="135">
        <v>191</v>
      </c>
      <c r="B289" s="138" t="s">
        <v>603</v>
      </c>
      <c r="C289" s="785">
        <f>'inventory2020(FOR revised)'!C355</f>
        <v>3.5</v>
      </c>
      <c r="D289" s="141">
        <f>'[23]road inventory 2018'!C351</f>
        <v>3.5</v>
      </c>
      <c r="E289" s="137">
        <v>0</v>
      </c>
      <c r="F289" s="137">
        <v>0</v>
      </c>
      <c r="G289" s="137">
        <v>0</v>
      </c>
      <c r="H289" s="137">
        <v>3.5</v>
      </c>
      <c r="I289" s="137">
        <v>0</v>
      </c>
      <c r="J289" s="138" t="s">
        <v>12</v>
      </c>
      <c r="K289" s="796"/>
      <c r="L289" s="138" t="e">
        <f>L288</f>
        <v>#REF!</v>
      </c>
    </row>
    <row r="290" spans="1:14" ht="21.75" customHeight="1" x14ac:dyDescent="0.35">
      <c r="A290" s="838"/>
      <c r="B290" s="839"/>
      <c r="C290" s="894">
        <f t="shared" ref="C290:I290" si="18">SUM(C286:C289)</f>
        <v>34.027999999999999</v>
      </c>
      <c r="D290" s="894">
        <f t="shared" si="18"/>
        <v>32.641999999999996</v>
      </c>
      <c r="E290" s="894">
        <f t="shared" si="18"/>
        <v>11.007999999999999</v>
      </c>
      <c r="F290" s="894">
        <f t="shared" si="18"/>
        <v>0</v>
      </c>
      <c r="G290" s="894">
        <f t="shared" si="18"/>
        <v>0</v>
      </c>
      <c r="H290" s="894">
        <f t="shared" si="18"/>
        <v>23.02</v>
      </c>
      <c r="I290" s="894">
        <f t="shared" si="18"/>
        <v>0</v>
      </c>
      <c r="J290" s="839"/>
      <c r="K290" s="805"/>
      <c r="L290" s="138"/>
    </row>
    <row r="291" spans="1:14" ht="21.75" customHeight="1" thickBot="1" x14ac:dyDescent="0.4">
      <c r="A291" s="831" t="s">
        <v>341</v>
      </c>
      <c r="B291" s="832"/>
      <c r="C291" s="215">
        <f>SUM(E291:I291)</f>
        <v>34.027999999999999</v>
      </c>
      <c r="D291" s="833">
        <f t="shared" ref="D291:I291" si="19">SUM(D286:D289)</f>
        <v>32.641999999999996</v>
      </c>
      <c r="E291" s="215">
        <f t="shared" si="19"/>
        <v>11.007999999999999</v>
      </c>
      <c r="F291" s="215">
        <f t="shared" si="19"/>
        <v>0</v>
      </c>
      <c r="G291" s="215">
        <f t="shared" si="19"/>
        <v>0</v>
      </c>
      <c r="H291" s="215">
        <f t="shared" si="19"/>
        <v>23.02</v>
      </c>
      <c r="I291" s="215">
        <f t="shared" si="19"/>
        <v>0</v>
      </c>
      <c r="J291" s="216"/>
      <c r="K291" s="217"/>
      <c r="L291" s="240"/>
      <c r="M291" s="125"/>
      <c r="N291" s="238">
        <f>SUM(E291:I291)</f>
        <v>34.027999999999999</v>
      </c>
    </row>
    <row r="292" spans="1:14" ht="21.75" customHeight="1" x14ac:dyDescent="0.35">
      <c r="L292" s="138"/>
    </row>
    <row r="293" spans="1:14" s="113" customFormat="1" ht="21.75" customHeight="1" x14ac:dyDescent="0.35">
      <c r="A293" s="1279" t="s">
        <v>605</v>
      </c>
      <c r="B293" s="1280"/>
      <c r="C293" s="1280"/>
      <c r="D293" s="1280"/>
      <c r="E293" s="1280"/>
      <c r="F293" s="1280"/>
      <c r="G293" s="1280"/>
      <c r="H293" s="1280"/>
      <c r="I293" s="1280"/>
      <c r="J293" s="1280"/>
      <c r="K293" s="1280"/>
      <c r="L293" s="1281"/>
      <c r="M293" s="777"/>
      <c r="N293" s="115"/>
    </row>
    <row r="294" spans="1:14" s="113" customFormat="1" ht="21.75" customHeight="1" thickBot="1" x14ac:dyDescent="0.4">
      <c r="A294" s="229"/>
      <c r="B294" s="118"/>
      <c r="C294" s="778"/>
      <c r="D294" s="779"/>
      <c r="E294" s="778"/>
      <c r="F294" s="778"/>
      <c r="G294" s="778"/>
      <c r="H294" s="778"/>
      <c r="I294" s="778"/>
      <c r="J294" s="116"/>
      <c r="K294" s="125"/>
      <c r="L294" s="240"/>
      <c r="M294" s="125"/>
      <c r="N294" s="115"/>
    </row>
    <row r="295" spans="1:14" s="113" customFormat="1" ht="21.75" customHeight="1" x14ac:dyDescent="0.35">
      <c r="A295" s="1263" t="s">
        <v>302</v>
      </c>
      <c r="B295" s="1265" t="s">
        <v>28</v>
      </c>
      <c r="C295" s="1267" t="s">
        <v>343</v>
      </c>
      <c r="D295" s="812"/>
      <c r="E295" s="1271" t="s">
        <v>305</v>
      </c>
      <c r="F295" s="1271"/>
      <c r="G295" s="1271"/>
      <c r="H295" s="1271"/>
      <c r="I295" s="1271"/>
      <c r="J295" s="1265" t="s">
        <v>29</v>
      </c>
      <c r="K295" s="1272" t="s">
        <v>306</v>
      </c>
      <c r="L295" s="1284" t="str">
        <f>L284</f>
        <v>REMARKS</v>
      </c>
      <c r="M295" s="781"/>
      <c r="N295" s="115"/>
    </row>
    <row r="296" spans="1:14" s="113" customFormat="1" ht="21.75" customHeight="1" thickBot="1" x14ac:dyDescent="0.4">
      <c r="A296" s="1264"/>
      <c r="B296" s="1266"/>
      <c r="C296" s="1268"/>
      <c r="D296" s="813"/>
      <c r="E296" s="782" t="s">
        <v>308</v>
      </c>
      <c r="F296" s="782" t="s">
        <v>309</v>
      </c>
      <c r="G296" s="782" t="s">
        <v>310</v>
      </c>
      <c r="H296" s="782" t="s">
        <v>311</v>
      </c>
      <c r="I296" s="782" t="s">
        <v>312</v>
      </c>
      <c r="J296" s="1266"/>
      <c r="K296" s="1273"/>
      <c r="L296" s="1285"/>
      <c r="M296" s="781"/>
      <c r="N296" s="115"/>
    </row>
    <row r="297" spans="1:14" s="873" customFormat="1" ht="21.75" customHeight="1" x14ac:dyDescent="0.35">
      <c r="A297" s="817">
        <v>192</v>
      </c>
      <c r="B297" s="818" t="s">
        <v>606</v>
      </c>
      <c r="C297" s="895">
        <f>'inventory2020(FOR revised)'!C364</f>
        <v>13.02</v>
      </c>
      <c r="D297" s="896">
        <f>'[23]road inventory 2018'!C359</f>
        <v>17</v>
      </c>
      <c r="E297" s="819">
        <v>10.754</v>
      </c>
      <c r="F297" s="819">
        <v>0</v>
      </c>
      <c r="G297" s="819">
        <v>0</v>
      </c>
      <c r="H297" s="819">
        <v>2.266</v>
      </c>
      <c r="I297" s="819">
        <v>0</v>
      </c>
      <c r="J297" s="818" t="s">
        <v>12</v>
      </c>
      <c r="K297" s="821"/>
      <c r="L297" s="818"/>
      <c r="M297" s="822"/>
      <c r="N297" s="872"/>
    </row>
    <row r="298" spans="1:14" s="873" customFormat="1" ht="21.75" customHeight="1" x14ac:dyDescent="0.35">
      <c r="A298" s="817">
        <v>193</v>
      </c>
      <c r="B298" s="818" t="s">
        <v>607</v>
      </c>
      <c r="C298" s="895">
        <f>'inventory2020(FOR revised)'!C365</f>
        <v>1.53</v>
      </c>
      <c r="D298" s="896">
        <f>'[23]road inventory 2018'!C360</f>
        <v>1.8</v>
      </c>
      <c r="E298" s="819">
        <v>1.53</v>
      </c>
      <c r="F298" s="819">
        <v>0</v>
      </c>
      <c r="G298" s="819">
        <v>0</v>
      </c>
      <c r="H298" s="819">
        <v>0</v>
      </c>
      <c r="I298" s="819">
        <v>0</v>
      </c>
      <c r="J298" s="818" t="s">
        <v>12</v>
      </c>
      <c r="K298" s="821"/>
      <c r="L298" s="818"/>
      <c r="M298" s="822"/>
      <c r="N298" s="872"/>
    </row>
    <row r="299" spans="1:14" s="873" customFormat="1" ht="21.75" customHeight="1" thickBot="1" x14ac:dyDescent="0.4">
      <c r="A299" s="897">
        <v>194</v>
      </c>
      <c r="B299" s="898" t="s">
        <v>608</v>
      </c>
      <c r="C299" s="895">
        <f>'inventory2020(FOR revised)'!C366</f>
        <v>5.12</v>
      </c>
      <c r="D299" s="899">
        <f>'[23]road inventory 2018'!C361</f>
        <v>5.3</v>
      </c>
      <c r="E299" s="900">
        <v>4.12</v>
      </c>
      <c r="F299" s="900">
        <v>0</v>
      </c>
      <c r="G299" s="900">
        <v>0</v>
      </c>
      <c r="H299" s="900">
        <v>1</v>
      </c>
      <c r="I299" s="900">
        <v>0</v>
      </c>
      <c r="J299" s="898" t="s">
        <v>12</v>
      </c>
      <c r="K299" s="901"/>
      <c r="L299" s="818"/>
      <c r="M299" s="822"/>
      <c r="N299" s="872"/>
    </row>
    <row r="300" spans="1:14" s="873" customFormat="1" ht="21.75" customHeight="1" x14ac:dyDescent="0.35">
      <c r="A300" s="817">
        <v>195</v>
      </c>
      <c r="B300" s="818" t="s">
        <v>609</v>
      </c>
      <c r="C300" s="895">
        <f>'inventory2020(FOR revised)'!C367</f>
        <v>5.01</v>
      </c>
      <c r="D300" s="896">
        <f>'[23]road inventory 2018'!C365</f>
        <v>3.9000000000000004</v>
      </c>
      <c r="E300" s="819">
        <v>1.06</v>
      </c>
      <c r="F300" s="819">
        <v>0</v>
      </c>
      <c r="G300" s="819">
        <v>0</v>
      </c>
      <c r="H300" s="819">
        <v>3.95</v>
      </c>
      <c r="I300" s="819">
        <v>0</v>
      </c>
      <c r="J300" s="818" t="s">
        <v>12</v>
      </c>
      <c r="K300" s="821"/>
      <c r="L300" s="818"/>
      <c r="M300" s="822"/>
      <c r="N300" s="872"/>
    </row>
    <row r="301" spans="1:14" s="790" customFormat="1" ht="21.75" customHeight="1" x14ac:dyDescent="0.35">
      <c r="A301" s="825"/>
      <c r="B301" s="826"/>
      <c r="C301" s="902">
        <f t="shared" ref="C301:I301" si="20">SUM(C297:C300)</f>
        <v>24.68</v>
      </c>
      <c r="D301" s="902">
        <f t="shared" si="20"/>
        <v>28</v>
      </c>
      <c r="E301" s="902">
        <f t="shared" si="20"/>
        <v>17.463999999999999</v>
      </c>
      <c r="F301" s="902">
        <f t="shared" si="20"/>
        <v>0</v>
      </c>
      <c r="G301" s="902">
        <f t="shared" si="20"/>
        <v>0</v>
      </c>
      <c r="H301" s="902">
        <f t="shared" si="20"/>
        <v>7.2160000000000002</v>
      </c>
      <c r="I301" s="902">
        <f t="shared" si="20"/>
        <v>0</v>
      </c>
      <c r="J301" s="826"/>
      <c r="K301" s="830"/>
      <c r="L301" s="793"/>
      <c r="M301" s="789"/>
      <c r="N301" s="797"/>
    </row>
    <row r="302" spans="1:14" ht="21.75" customHeight="1" thickBot="1" x14ac:dyDescent="0.4">
      <c r="A302" s="831" t="s">
        <v>341</v>
      </c>
      <c r="B302" s="832"/>
      <c r="C302" s="215">
        <f>SUM(E302:I302)</f>
        <v>24.68</v>
      </c>
      <c r="D302" s="833">
        <f t="shared" ref="D302:I302" si="21">SUM(D297:D300)</f>
        <v>28</v>
      </c>
      <c r="E302" s="215">
        <f t="shared" si="21"/>
        <v>17.463999999999999</v>
      </c>
      <c r="F302" s="215">
        <f t="shared" si="21"/>
        <v>0</v>
      </c>
      <c r="G302" s="215">
        <f t="shared" si="21"/>
        <v>0</v>
      </c>
      <c r="H302" s="215">
        <f t="shared" si="21"/>
        <v>7.2160000000000002</v>
      </c>
      <c r="I302" s="215">
        <f t="shared" si="21"/>
        <v>0</v>
      </c>
      <c r="J302" s="216"/>
      <c r="K302" s="217"/>
      <c r="L302" s="240"/>
      <c r="M302" s="125"/>
    </row>
    <row r="303" spans="1:14" ht="21.75" customHeight="1" x14ac:dyDescent="0.35">
      <c r="A303" s="114"/>
      <c r="B303" s="196"/>
      <c r="C303" s="126"/>
      <c r="D303" s="810"/>
      <c r="E303" s="126"/>
      <c r="F303" s="126"/>
      <c r="G303" s="126"/>
      <c r="H303" s="126"/>
      <c r="I303" s="126"/>
      <c r="J303" s="113"/>
      <c r="K303" s="125"/>
      <c r="L303" s="240"/>
      <c r="M303" s="125"/>
      <c r="N303" s="238">
        <f>SUM(E302:I302)</f>
        <v>24.68</v>
      </c>
    </row>
    <row r="304" spans="1:14" s="113" customFormat="1" ht="21.75" customHeight="1" x14ac:dyDescent="0.35">
      <c r="A304" s="1279" t="s">
        <v>610</v>
      </c>
      <c r="B304" s="1280"/>
      <c r="C304" s="1280"/>
      <c r="D304" s="1280"/>
      <c r="E304" s="1280"/>
      <c r="F304" s="1280"/>
      <c r="G304" s="1280"/>
      <c r="H304" s="1280"/>
      <c r="I304" s="1280"/>
      <c r="J304" s="1280"/>
      <c r="K304" s="1280"/>
      <c r="L304" s="1281"/>
      <c r="M304" s="777"/>
      <c r="N304" s="115"/>
    </row>
    <row r="305" spans="1:14" s="113" customFormat="1" ht="21.75" customHeight="1" thickBot="1" x14ac:dyDescent="0.4">
      <c r="A305" s="229"/>
      <c r="B305" s="118"/>
      <c r="C305" s="778"/>
      <c r="D305" s="779"/>
      <c r="E305" s="778"/>
      <c r="F305" s="778"/>
      <c r="G305" s="778"/>
      <c r="H305" s="778"/>
      <c r="I305" s="778"/>
      <c r="J305" s="116"/>
      <c r="K305" s="125"/>
      <c r="L305" s="240"/>
      <c r="M305" s="125"/>
      <c r="N305" s="115"/>
    </row>
    <row r="306" spans="1:14" s="113" customFormat="1" ht="21.75" customHeight="1" x14ac:dyDescent="0.35">
      <c r="A306" s="1263" t="s">
        <v>302</v>
      </c>
      <c r="B306" s="1265" t="s">
        <v>28</v>
      </c>
      <c r="C306" s="1267" t="s">
        <v>343</v>
      </c>
      <c r="D306" s="812"/>
      <c r="E306" s="1271" t="s">
        <v>305</v>
      </c>
      <c r="F306" s="1271"/>
      <c r="G306" s="1271"/>
      <c r="H306" s="1271"/>
      <c r="I306" s="1271"/>
      <c r="J306" s="1265" t="s">
        <v>29</v>
      </c>
      <c r="K306" s="1272" t="s">
        <v>306</v>
      </c>
      <c r="L306" s="1284" t="str">
        <f>L295</f>
        <v>REMARKS</v>
      </c>
      <c r="M306" s="781"/>
      <c r="N306" s="115"/>
    </row>
    <row r="307" spans="1:14" s="113" customFormat="1" ht="21.75" customHeight="1" thickBot="1" x14ac:dyDescent="0.4">
      <c r="A307" s="1264"/>
      <c r="B307" s="1266"/>
      <c r="C307" s="1268"/>
      <c r="D307" s="813"/>
      <c r="E307" s="782" t="s">
        <v>308</v>
      </c>
      <c r="F307" s="782" t="s">
        <v>309</v>
      </c>
      <c r="G307" s="782" t="s">
        <v>310</v>
      </c>
      <c r="H307" s="782" t="s">
        <v>311</v>
      </c>
      <c r="I307" s="782" t="s">
        <v>312</v>
      </c>
      <c r="J307" s="1266"/>
      <c r="K307" s="1273"/>
      <c r="L307" s="1285"/>
      <c r="M307" s="781"/>
      <c r="N307" s="115"/>
    </row>
    <row r="308" spans="1:14" ht="21.75" customHeight="1" x14ac:dyDescent="0.35">
      <c r="A308" s="135">
        <v>171</v>
      </c>
      <c r="B308" s="138" t="s">
        <v>611</v>
      </c>
      <c r="C308" s="137">
        <f>'inventory2020(FOR revised)'!C375</f>
        <v>8.7409999999999997</v>
      </c>
      <c r="D308" s="137"/>
      <c r="E308" s="137">
        <v>1.18</v>
      </c>
      <c r="F308" s="137">
        <v>0</v>
      </c>
      <c r="G308" s="137">
        <v>0</v>
      </c>
      <c r="H308" s="137">
        <v>7.5609999999999999</v>
      </c>
      <c r="I308" s="137">
        <v>0</v>
      </c>
      <c r="J308" s="141" t="s">
        <v>12</v>
      </c>
      <c r="K308" s="796"/>
      <c r="L308" s="138"/>
    </row>
    <row r="309" spans="1:14" ht="21.75" customHeight="1" x14ac:dyDescent="0.35">
      <c r="A309" s="135"/>
      <c r="B309" s="138"/>
      <c r="C309" s="137"/>
      <c r="D309" s="814"/>
      <c r="E309" s="137"/>
      <c r="F309" s="137"/>
      <c r="G309" s="137"/>
      <c r="H309" s="137"/>
      <c r="I309" s="137"/>
      <c r="J309" s="239"/>
      <c r="K309" s="865"/>
      <c r="L309" s="240"/>
      <c r="M309" s="125"/>
    </row>
    <row r="310" spans="1:14" ht="21.75" customHeight="1" x14ac:dyDescent="0.35">
      <c r="A310" s="863" t="s">
        <v>341</v>
      </c>
      <c r="B310" s="267"/>
      <c r="C310" s="268">
        <f t="shared" ref="C310:I310" si="22">+C308</f>
        <v>8.7409999999999997</v>
      </c>
      <c r="D310" s="903"/>
      <c r="E310" s="268">
        <f t="shared" si="22"/>
        <v>1.18</v>
      </c>
      <c r="F310" s="268">
        <f t="shared" si="22"/>
        <v>0</v>
      </c>
      <c r="G310" s="268">
        <f t="shared" si="22"/>
        <v>0</v>
      </c>
      <c r="H310" s="268">
        <f t="shared" si="22"/>
        <v>7.5609999999999999</v>
      </c>
      <c r="I310" s="268">
        <f t="shared" si="22"/>
        <v>0</v>
      </c>
      <c r="J310" s="239"/>
      <c r="K310" s="865"/>
      <c r="L310" s="240"/>
      <c r="M310" s="125"/>
    </row>
    <row r="311" spans="1:14" ht="21.75" customHeight="1" x14ac:dyDescent="0.35">
      <c r="A311" s="135"/>
      <c r="B311" s="904"/>
      <c r="C311" s="173"/>
      <c r="D311" s="861"/>
      <c r="E311" s="173"/>
      <c r="F311" s="173"/>
      <c r="G311" s="173"/>
      <c r="H311" s="173"/>
      <c r="I311" s="173"/>
      <c r="J311" s="239"/>
      <c r="K311" s="905"/>
      <c r="L311" s="240"/>
      <c r="M311" s="125"/>
    </row>
    <row r="312" spans="1:14" ht="21.75" customHeight="1" thickBot="1" x14ac:dyDescent="0.4">
      <c r="A312" s="1288" t="s">
        <v>612</v>
      </c>
      <c r="B312" s="1289"/>
      <c r="C312" s="906">
        <f>C310+C302+C291+C280+C264+C255+C242+C229+C219+C203+C194+C180+C167</f>
        <v>546.03600000000006</v>
      </c>
      <c r="D312" s="907"/>
      <c r="E312" s="906">
        <f>+E310+E302+E291+E280+E264+E255+E242+E229+E219+E203+E194+E180+E167</f>
        <v>225.17599999999999</v>
      </c>
      <c r="F312" s="906">
        <f>+F310+F302+F291+F280+F264+F255+F242+F229+F219+F203+F194+F180+F167</f>
        <v>2.19</v>
      </c>
      <c r="G312" s="906">
        <f>+G310+G302+G291+G280+G264+G255+G242+G229+G219+G203+G194+G180+G167</f>
        <v>4.84</v>
      </c>
      <c r="H312" s="906">
        <f>+H310+H302+H291+H280+H264+H255+H242+H229+H219+H203+H194+H180+H167</f>
        <v>308.39999999999998</v>
      </c>
      <c r="I312" s="906">
        <f>+I310+I302+I291+I280+I264+I255+I242+I229+I219+I203+I194+I180+I167</f>
        <v>5.43</v>
      </c>
      <c r="J312" s="868"/>
      <c r="K312" s="908"/>
      <c r="L312" s="240"/>
      <c r="M312" s="125"/>
    </row>
    <row r="313" spans="1:14" ht="21.75" customHeight="1" thickBot="1" x14ac:dyDescent="0.4">
      <c r="A313" s="1290" t="s">
        <v>204</v>
      </c>
      <c r="B313" s="1291"/>
      <c r="C313" s="909">
        <f>C312+C147</f>
        <v>918.02600000000007</v>
      </c>
      <c r="D313" s="910"/>
      <c r="E313" s="909">
        <f>+E312+E147</f>
        <v>370.42700000000002</v>
      </c>
      <c r="F313" s="909">
        <f>+F312+F147</f>
        <v>2.19</v>
      </c>
      <c r="G313" s="909">
        <f>+G312+G147</f>
        <v>10.64</v>
      </c>
      <c r="H313" s="909">
        <f>+H312+H147</f>
        <v>529.33899999999994</v>
      </c>
      <c r="I313" s="909">
        <f>+I312+I147</f>
        <v>5.43</v>
      </c>
      <c r="J313" s="911"/>
      <c r="K313" s="912"/>
      <c r="L313" s="913"/>
      <c r="M313" s="914"/>
    </row>
    <row r="314" spans="1:14" ht="15" customHeight="1" x14ac:dyDescent="0.35">
      <c r="A314" s="185"/>
      <c r="B314" s="185"/>
      <c r="C314" s="126"/>
      <c r="D314" s="810"/>
      <c r="E314" s="126"/>
      <c r="F314" s="126"/>
      <c r="G314" s="126"/>
      <c r="H314" s="126"/>
      <c r="I314" s="126"/>
      <c r="J314" s="113"/>
      <c r="K314" s="125"/>
      <c r="L314" s="125"/>
      <c r="M314" s="125"/>
    </row>
    <row r="315" spans="1:14" ht="15" customHeight="1" x14ac:dyDescent="0.35">
      <c r="A315" s="116"/>
      <c r="B315" s="185" t="s">
        <v>841</v>
      </c>
      <c r="C315" s="126">
        <f>SUM(E313:I313)</f>
        <v>918.02599999999995</v>
      </c>
      <c r="D315" s="810"/>
      <c r="E315" s="126"/>
      <c r="F315" s="126"/>
      <c r="G315" s="126"/>
      <c r="H315" s="126"/>
      <c r="I315" s="126"/>
      <c r="J315" s="113"/>
      <c r="K315" s="125"/>
      <c r="L315" s="125"/>
      <c r="M315" s="125"/>
    </row>
    <row r="316" spans="1:14" ht="15" customHeight="1" x14ac:dyDescent="0.35">
      <c r="A316" s="116"/>
      <c r="B316" s="185"/>
      <c r="C316" s="126"/>
      <c r="D316" s="810"/>
      <c r="E316" s="126"/>
      <c r="F316" s="126"/>
      <c r="G316" s="126"/>
      <c r="H316" s="126"/>
      <c r="I316" s="126"/>
      <c r="J316" s="113"/>
      <c r="K316" s="125"/>
      <c r="L316" s="125"/>
      <c r="M316" s="125"/>
    </row>
    <row r="317" spans="1:14" ht="15" customHeight="1" x14ac:dyDescent="0.35">
      <c r="A317" s="116"/>
      <c r="B317" s="185"/>
      <c r="C317" s="126"/>
      <c r="D317" s="810"/>
      <c r="E317" s="126"/>
      <c r="F317" s="126"/>
      <c r="G317" s="126"/>
      <c r="H317" s="126"/>
      <c r="I317" s="126"/>
      <c r="J317" s="113"/>
      <c r="K317" s="125"/>
      <c r="L317" s="125"/>
      <c r="M317" s="125"/>
    </row>
    <row r="318" spans="1:14" ht="15" customHeight="1" x14ac:dyDescent="0.35">
      <c r="A318" s="116"/>
      <c r="B318" s="915" t="s">
        <v>154</v>
      </c>
      <c r="C318" s="126"/>
      <c r="D318" s="810"/>
      <c r="E318" s="126"/>
      <c r="F318" s="126"/>
      <c r="G318" s="126"/>
      <c r="H318" s="126"/>
      <c r="I318" s="126"/>
      <c r="J318" s="113"/>
      <c r="K318" s="125"/>
      <c r="L318" s="125"/>
      <c r="M318" s="125"/>
    </row>
    <row r="319" spans="1:14" ht="15" customHeight="1" x14ac:dyDescent="0.35">
      <c r="A319" s="116"/>
      <c r="B319" s="119" t="s">
        <v>155</v>
      </c>
      <c r="C319" s="126"/>
      <c r="D319" s="810"/>
      <c r="E319" s="126"/>
      <c r="F319" s="126"/>
      <c r="G319" s="126"/>
      <c r="H319" s="126"/>
      <c r="I319" s="126"/>
      <c r="J319" s="113"/>
      <c r="K319" s="125"/>
      <c r="L319" s="125"/>
      <c r="M319" s="125"/>
    </row>
    <row r="320" spans="1:14" ht="15" customHeight="1" x14ac:dyDescent="0.35">
      <c r="A320" s="116"/>
      <c r="B320" s="119" t="s">
        <v>842</v>
      </c>
      <c r="C320" s="126"/>
      <c r="D320" s="810"/>
      <c r="E320" s="126"/>
      <c r="F320" s="126"/>
      <c r="G320" s="126"/>
      <c r="H320" s="126"/>
      <c r="I320" s="126"/>
      <c r="J320" s="113"/>
      <c r="K320" s="125"/>
      <c r="L320" s="125"/>
      <c r="M320" s="125"/>
    </row>
    <row r="321" spans="1:14" ht="38.25" customHeight="1" x14ac:dyDescent="0.35">
      <c r="A321" s="916"/>
      <c r="B321" s="916"/>
      <c r="C321" s="917"/>
      <c r="D321" s="918"/>
      <c r="E321" s="917"/>
      <c r="F321" s="917"/>
      <c r="G321" s="917"/>
      <c r="H321" s="917"/>
      <c r="I321" s="917"/>
      <c r="J321" s="919"/>
      <c r="K321" s="914"/>
      <c r="L321" s="914"/>
      <c r="M321" s="914"/>
    </row>
    <row r="322" spans="1:14" s="117" customFormat="1" ht="18" customHeight="1" x14ac:dyDescent="0.35">
      <c r="B322" s="118"/>
      <c r="C322" s="116"/>
      <c r="D322" s="776"/>
      <c r="E322" s="116"/>
      <c r="F322" s="116"/>
      <c r="G322" s="116"/>
      <c r="H322" s="116"/>
      <c r="I322" s="116"/>
      <c r="J322" s="116"/>
      <c r="K322" s="118"/>
      <c r="L322" s="118"/>
      <c r="M322" s="118"/>
      <c r="N322" s="255"/>
    </row>
    <row r="323" spans="1:14" s="117" customFormat="1" ht="18" customHeight="1" x14ac:dyDescent="0.35">
      <c r="B323" s="118"/>
      <c r="C323" s="116"/>
      <c r="D323" s="776"/>
      <c r="E323" s="116"/>
      <c r="F323" s="116"/>
      <c r="G323" s="116"/>
      <c r="H323" s="116"/>
      <c r="I323" s="116"/>
      <c r="J323" s="116"/>
      <c r="K323" s="118"/>
      <c r="L323" s="118"/>
      <c r="M323" s="118"/>
      <c r="N323" s="255"/>
    </row>
    <row r="324" spans="1:14" s="117" customFormat="1" ht="18" customHeight="1" x14ac:dyDescent="0.35">
      <c r="B324" s="118"/>
      <c r="C324" s="116"/>
      <c r="D324" s="776"/>
      <c r="E324" s="116"/>
      <c r="F324" s="116"/>
      <c r="G324" s="116"/>
      <c r="H324" s="116"/>
      <c r="I324" s="116"/>
      <c r="J324" s="116"/>
      <c r="K324" s="118"/>
      <c r="L324" s="118"/>
      <c r="M324" s="118"/>
      <c r="N324" s="255"/>
    </row>
    <row r="325" spans="1:14" s="117" customFormat="1" ht="18" customHeight="1" x14ac:dyDescent="0.35">
      <c r="B325" s="118"/>
      <c r="C325" s="116"/>
      <c r="D325" s="776"/>
      <c r="E325" s="116"/>
      <c r="F325" s="116"/>
      <c r="G325" s="116"/>
      <c r="H325" s="116"/>
      <c r="I325" s="116"/>
      <c r="J325" s="116"/>
      <c r="K325" s="118"/>
      <c r="L325" s="118"/>
      <c r="M325" s="118"/>
      <c r="N325" s="255"/>
    </row>
    <row r="326" spans="1:14" s="117" customFormat="1" ht="18" customHeight="1" x14ac:dyDescent="0.35">
      <c r="B326" s="118"/>
      <c r="C326" s="116"/>
      <c r="D326" s="776"/>
      <c r="E326" s="116"/>
      <c r="F326" s="116"/>
      <c r="G326" s="116"/>
      <c r="H326" s="116"/>
      <c r="I326" s="116"/>
      <c r="J326" s="116"/>
      <c r="K326" s="118"/>
      <c r="L326" s="118"/>
      <c r="M326" s="118"/>
      <c r="N326" s="255"/>
    </row>
    <row r="327" spans="1:14" s="117" customFormat="1" ht="18" customHeight="1" x14ac:dyDescent="0.35">
      <c r="B327" s="118"/>
      <c r="C327" s="116"/>
      <c r="D327" s="776"/>
      <c r="E327" s="116"/>
      <c r="F327" s="116"/>
      <c r="G327" s="116"/>
      <c r="H327" s="116"/>
      <c r="I327" s="116"/>
      <c r="J327" s="116"/>
      <c r="K327" s="118"/>
      <c r="L327" s="118"/>
      <c r="M327" s="118"/>
      <c r="N327" s="255"/>
    </row>
    <row r="328" spans="1:14" s="117" customFormat="1" ht="18" customHeight="1" x14ac:dyDescent="0.35">
      <c r="B328" s="118"/>
      <c r="C328" s="116"/>
      <c r="D328" s="776"/>
      <c r="E328" s="116"/>
      <c r="F328" s="116"/>
      <c r="G328" s="116"/>
      <c r="H328" s="116"/>
      <c r="I328" s="116"/>
      <c r="J328" s="116"/>
      <c r="K328" s="118"/>
      <c r="L328" s="118"/>
      <c r="M328" s="118"/>
      <c r="N328" s="255"/>
    </row>
    <row r="329" spans="1:14" s="117" customFormat="1" ht="18" customHeight="1" x14ac:dyDescent="0.35">
      <c r="B329" s="118"/>
      <c r="C329" s="116"/>
      <c r="D329" s="776"/>
      <c r="E329" s="116"/>
      <c r="F329" s="116"/>
      <c r="G329" s="116"/>
      <c r="H329" s="116"/>
      <c r="I329" s="116"/>
      <c r="J329" s="116"/>
      <c r="K329" s="118"/>
      <c r="L329" s="118"/>
      <c r="M329" s="118"/>
      <c r="N329" s="255"/>
    </row>
    <row r="330" spans="1:14" s="117" customFormat="1" ht="18" customHeight="1" x14ac:dyDescent="0.35">
      <c r="B330" s="118"/>
      <c r="C330" s="116"/>
      <c r="D330" s="776"/>
      <c r="E330" s="116"/>
      <c r="F330" s="116"/>
      <c r="G330" s="116"/>
      <c r="H330" s="116"/>
      <c r="I330" s="116"/>
      <c r="J330" s="116"/>
      <c r="K330" s="118"/>
      <c r="L330" s="118"/>
      <c r="M330" s="118"/>
      <c r="N330" s="255"/>
    </row>
    <row r="331" spans="1:14" s="117" customFormat="1" ht="18" customHeight="1" x14ac:dyDescent="0.35">
      <c r="B331" s="118"/>
      <c r="C331" s="116"/>
      <c r="D331" s="776"/>
      <c r="E331" s="116"/>
      <c r="F331" s="116"/>
      <c r="G331" s="116"/>
      <c r="H331" s="116"/>
      <c r="I331" s="116"/>
      <c r="J331" s="116"/>
      <c r="K331" s="118"/>
      <c r="L331" s="118"/>
      <c r="M331" s="118"/>
      <c r="N331" s="255"/>
    </row>
    <row r="332" spans="1:14" s="117" customFormat="1" ht="18" customHeight="1" x14ac:dyDescent="0.35">
      <c r="B332" s="118"/>
      <c r="C332" s="116"/>
      <c r="D332" s="776"/>
      <c r="E332" s="116"/>
      <c r="F332" s="116"/>
      <c r="G332" s="116"/>
      <c r="H332" s="116"/>
      <c r="I332" s="116"/>
      <c r="J332" s="116"/>
      <c r="K332" s="118"/>
      <c r="L332" s="118"/>
      <c r="M332" s="118"/>
      <c r="N332" s="255"/>
    </row>
    <row r="333" spans="1:14" s="117" customFormat="1" ht="18" customHeight="1" x14ac:dyDescent="0.35">
      <c r="B333" s="118"/>
      <c r="C333" s="116"/>
      <c r="D333" s="776"/>
      <c r="E333" s="116"/>
      <c r="F333" s="116"/>
      <c r="G333" s="116"/>
      <c r="H333" s="116"/>
      <c r="I333" s="116"/>
      <c r="J333" s="116"/>
      <c r="K333" s="118"/>
      <c r="L333" s="118"/>
      <c r="M333" s="118"/>
      <c r="N333" s="255"/>
    </row>
    <row r="334" spans="1:14" s="117" customFormat="1" ht="18" customHeight="1" x14ac:dyDescent="0.35">
      <c r="B334" s="118"/>
      <c r="C334" s="116"/>
      <c r="D334" s="776"/>
      <c r="E334" s="116"/>
      <c r="F334" s="116"/>
      <c r="G334" s="116"/>
      <c r="H334" s="116"/>
      <c r="I334" s="116"/>
      <c r="J334" s="116"/>
      <c r="K334" s="118"/>
      <c r="L334" s="118"/>
      <c r="M334" s="118"/>
      <c r="N334" s="255"/>
    </row>
    <row r="335" spans="1:14" s="117" customFormat="1" ht="18" customHeight="1" x14ac:dyDescent="0.35">
      <c r="B335" s="118"/>
      <c r="C335" s="116"/>
      <c r="D335" s="776"/>
      <c r="E335" s="116"/>
      <c r="F335" s="116"/>
      <c r="G335" s="116"/>
      <c r="H335" s="116"/>
      <c r="I335" s="116"/>
      <c r="J335" s="116"/>
      <c r="K335" s="118"/>
      <c r="L335" s="118"/>
      <c r="M335" s="118"/>
      <c r="N335" s="255"/>
    </row>
    <row r="336" spans="1:14" s="117" customFormat="1" ht="18" customHeight="1" x14ac:dyDescent="0.35">
      <c r="B336" s="118"/>
      <c r="C336" s="116"/>
      <c r="D336" s="776"/>
      <c r="E336" s="116"/>
      <c r="F336" s="116"/>
      <c r="G336" s="116"/>
      <c r="H336" s="116"/>
      <c r="I336" s="116"/>
      <c r="J336" s="116"/>
      <c r="K336" s="118"/>
      <c r="L336" s="118"/>
      <c r="M336" s="118"/>
      <c r="N336" s="255"/>
    </row>
    <row r="337" spans="2:14" s="117" customFormat="1" ht="18" customHeight="1" x14ac:dyDescent="0.35">
      <c r="B337" s="118"/>
      <c r="C337" s="116"/>
      <c r="D337" s="776"/>
      <c r="E337" s="116"/>
      <c r="F337" s="116"/>
      <c r="G337" s="116"/>
      <c r="H337" s="116"/>
      <c r="I337" s="116"/>
      <c r="J337" s="116"/>
      <c r="K337" s="118"/>
      <c r="L337" s="118"/>
      <c r="M337" s="118"/>
      <c r="N337" s="255"/>
    </row>
    <row r="338" spans="2:14" s="117" customFormat="1" ht="18" customHeight="1" x14ac:dyDescent="0.35">
      <c r="B338" s="118"/>
      <c r="C338" s="116"/>
      <c r="D338" s="776"/>
      <c r="E338" s="116"/>
      <c r="F338" s="116"/>
      <c r="G338" s="116"/>
      <c r="H338" s="116"/>
      <c r="I338" s="116"/>
      <c r="J338" s="116"/>
      <c r="K338" s="118"/>
      <c r="L338" s="118"/>
      <c r="M338" s="118"/>
      <c r="N338" s="255"/>
    </row>
    <row r="339" spans="2:14" s="117" customFormat="1" ht="18" customHeight="1" x14ac:dyDescent="0.35">
      <c r="B339" s="118"/>
      <c r="C339" s="116"/>
      <c r="D339" s="776"/>
      <c r="E339" s="116"/>
      <c r="F339" s="116"/>
      <c r="G339" s="116"/>
      <c r="H339" s="116"/>
      <c r="I339" s="116"/>
      <c r="J339" s="116"/>
      <c r="K339" s="118"/>
      <c r="L339" s="118"/>
      <c r="M339" s="118"/>
      <c r="N339" s="255"/>
    </row>
    <row r="340" spans="2:14" s="117" customFormat="1" ht="18" customHeight="1" x14ac:dyDescent="0.35">
      <c r="B340" s="118"/>
      <c r="C340" s="116"/>
      <c r="D340" s="776"/>
      <c r="E340" s="116"/>
      <c r="F340" s="116"/>
      <c r="G340" s="116"/>
      <c r="H340" s="116"/>
      <c r="I340" s="116"/>
      <c r="J340" s="116"/>
      <c r="K340" s="118"/>
      <c r="L340" s="118"/>
      <c r="M340" s="118"/>
      <c r="N340" s="255"/>
    </row>
    <row r="341" spans="2:14" s="117" customFormat="1" ht="18" customHeight="1" x14ac:dyDescent="0.35">
      <c r="B341" s="118"/>
      <c r="C341" s="116"/>
      <c r="D341" s="776"/>
      <c r="E341" s="116"/>
      <c r="F341" s="116"/>
      <c r="G341" s="116"/>
      <c r="H341" s="116"/>
      <c r="I341" s="116"/>
      <c r="J341" s="116"/>
      <c r="K341" s="118"/>
      <c r="L341" s="118"/>
      <c r="M341" s="118"/>
      <c r="N341" s="255"/>
    </row>
    <row r="342" spans="2:14" s="117" customFormat="1" ht="18" customHeight="1" x14ac:dyDescent="0.35">
      <c r="B342" s="118"/>
      <c r="C342" s="116"/>
      <c r="D342" s="776"/>
      <c r="E342" s="116"/>
      <c r="F342" s="116"/>
      <c r="G342" s="116"/>
      <c r="H342" s="116"/>
      <c r="I342" s="116"/>
      <c r="J342" s="116"/>
      <c r="K342" s="118"/>
      <c r="L342" s="118"/>
      <c r="M342" s="118"/>
      <c r="N342" s="255"/>
    </row>
    <row r="343" spans="2:14" s="117" customFormat="1" ht="18" customHeight="1" x14ac:dyDescent="0.35">
      <c r="B343" s="118"/>
      <c r="C343" s="116"/>
      <c r="D343" s="776"/>
      <c r="E343" s="116"/>
      <c r="F343" s="116"/>
      <c r="G343" s="116"/>
      <c r="H343" s="116"/>
      <c r="I343" s="116"/>
      <c r="J343" s="116"/>
      <c r="K343" s="118"/>
      <c r="L343" s="118"/>
      <c r="M343" s="118"/>
      <c r="N343" s="255"/>
    </row>
    <row r="344" spans="2:14" s="117" customFormat="1" ht="18" customHeight="1" x14ac:dyDescent="0.35">
      <c r="B344" s="118"/>
      <c r="C344" s="116"/>
      <c r="D344" s="776"/>
      <c r="E344" s="116"/>
      <c r="F344" s="116"/>
      <c r="G344" s="116"/>
      <c r="H344" s="116"/>
      <c r="I344" s="116"/>
      <c r="J344" s="116"/>
      <c r="K344" s="118"/>
      <c r="L344" s="118"/>
      <c r="M344" s="118"/>
      <c r="N344" s="255"/>
    </row>
    <row r="345" spans="2:14" s="117" customFormat="1" ht="18" customHeight="1" x14ac:dyDescent="0.35">
      <c r="B345" s="118"/>
      <c r="C345" s="116"/>
      <c r="D345" s="776"/>
      <c r="E345" s="116"/>
      <c r="F345" s="116"/>
      <c r="G345" s="116"/>
      <c r="H345" s="116"/>
      <c r="I345" s="116"/>
      <c r="J345" s="116"/>
      <c r="K345" s="118"/>
      <c r="L345" s="118"/>
      <c r="M345" s="118"/>
      <c r="N345" s="255"/>
    </row>
    <row r="346" spans="2:14" s="117" customFormat="1" ht="18" customHeight="1" x14ac:dyDescent="0.35">
      <c r="B346" s="118"/>
      <c r="C346" s="116"/>
      <c r="D346" s="776"/>
      <c r="E346" s="116"/>
      <c r="F346" s="116"/>
      <c r="G346" s="116"/>
      <c r="H346" s="116"/>
      <c r="I346" s="116"/>
      <c r="J346" s="116"/>
      <c r="K346" s="118"/>
      <c r="L346" s="118"/>
      <c r="M346" s="118"/>
      <c r="N346" s="255"/>
    </row>
    <row r="347" spans="2:14" s="117" customFormat="1" ht="18" customHeight="1" x14ac:dyDescent="0.35">
      <c r="B347" s="118"/>
      <c r="C347" s="116"/>
      <c r="D347" s="776"/>
      <c r="E347" s="116"/>
      <c r="F347" s="116"/>
      <c r="G347" s="116"/>
      <c r="H347" s="116"/>
      <c r="I347" s="116"/>
      <c r="J347" s="116"/>
      <c r="K347" s="118"/>
      <c r="L347" s="118"/>
      <c r="M347" s="118"/>
      <c r="N347" s="255"/>
    </row>
    <row r="348" spans="2:14" s="117" customFormat="1" ht="18" customHeight="1" x14ac:dyDescent="0.35">
      <c r="B348" s="118"/>
      <c r="C348" s="116"/>
      <c r="D348" s="776"/>
      <c r="E348" s="116"/>
      <c r="F348" s="116"/>
      <c r="G348" s="116"/>
      <c r="H348" s="116"/>
      <c r="I348" s="116"/>
      <c r="J348" s="116"/>
      <c r="K348" s="118"/>
      <c r="L348" s="118"/>
      <c r="M348" s="118"/>
      <c r="N348" s="255"/>
    </row>
    <row r="349" spans="2:14" s="117" customFormat="1" ht="18" customHeight="1" x14ac:dyDescent="0.35">
      <c r="B349" s="118"/>
      <c r="C349" s="116"/>
      <c r="D349" s="776"/>
      <c r="E349" s="116"/>
      <c r="F349" s="116"/>
      <c r="G349" s="116"/>
      <c r="H349" s="116"/>
      <c r="I349" s="116"/>
      <c r="J349" s="116"/>
      <c r="K349" s="118"/>
      <c r="L349" s="118"/>
      <c r="M349" s="118"/>
      <c r="N349" s="255"/>
    </row>
    <row r="350" spans="2:14" s="117" customFormat="1" ht="18" customHeight="1" x14ac:dyDescent="0.35">
      <c r="B350" s="118"/>
      <c r="C350" s="116"/>
      <c r="D350" s="776"/>
      <c r="E350" s="116"/>
      <c r="F350" s="116"/>
      <c r="G350" s="116"/>
      <c r="H350" s="116"/>
      <c r="I350" s="116"/>
      <c r="J350" s="116"/>
      <c r="K350" s="118"/>
      <c r="L350" s="118"/>
      <c r="M350" s="118"/>
      <c r="N350" s="255"/>
    </row>
    <row r="351" spans="2:14" s="117" customFormat="1" ht="18" customHeight="1" x14ac:dyDescent="0.35">
      <c r="B351" s="118"/>
      <c r="C351" s="116"/>
      <c r="D351" s="776"/>
      <c r="E351" s="116"/>
      <c r="F351" s="116"/>
      <c r="G351" s="116"/>
      <c r="H351" s="116"/>
      <c r="I351" s="116"/>
      <c r="J351" s="116"/>
      <c r="K351" s="118"/>
      <c r="L351" s="118"/>
      <c r="M351" s="118"/>
      <c r="N351" s="255"/>
    </row>
    <row r="352" spans="2:14" s="117" customFormat="1" ht="18" customHeight="1" x14ac:dyDescent="0.35">
      <c r="B352" s="118"/>
      <c r="C352" s="116"/>
      <c r="D352" s="776"/>
      <c r="E352" s="116"/>
      <c r="F352" s="116"/>
      <c r="G352" s="116"/>
      <c r="H352" s="116"/>
      <c r="I352" s="116"/>
      <c r="J352" s="116"/>
      <c r="K352" s="118"/>
      <c r="L352" s="118"/>
      <c r="M352" s="118"/>
      <c r="N352" s="255"/>
    </row>
    <row r="353" spans="1:19" s="117" customFormat="1" ht="18" customHeight="1" x14ac:dyDescent="0.35">
      <c r="B353" s="118"/>
      <c r="C353" s="116"/>
      <c r="D353" s="776"/>
      <c r="E353" s="116"/>
      <c r="F353" s="116"/>
      <c r="G353" s="116"/>
      <c r="H353" s="116"/>
      <c r="I353" s="116"/>
      <c r="J353" s="116"/>
      <c r="K353" s="118"/>
      <c r="L353" s="118"/>
      <c r="M353" s="118"/>
      <c r="N353" s="255"/>
    </row>
    <row r="354" spans="1:19" s="117" customFormat="1" ht="18" customHeight="1" x14ac:dyDescent="0.35">
      <c r="B354" s="118"/>
      <c r="C354" s="116"/>
      <c r="D354" s="776"/>
      <c r="E354" s="116"/>
      <c r="F354" s="116"/>
      <c r="G354" s="116"/>
      <c r="H354" s="116"/>
      <c r="I354" s="116"/>
      <c r="J354" s="116"/>
      <c r="K354" s="118"/>
      <c r="L354" s="118"/>
      <c r="M354" s="118"/>
      <c r="N354" s="255"/>
    </row>
    <row r="355" spans="1:19" s="117" customFormat="1" ht="18" customHeight="1" x14ac:dyDescent="0.35">
      <c r="B355" s="118"/>
      <c r="C355" s="116"/>
      <c r="D355" s="776"/>
      <c r="E355" s="116"/>
      <c r="F355" s="116"/>
      <c r="G355" s="116"/>
      <c r="H355" s="116"/>
      <c r="I355" s="116"/>
      <c r="J355" s="116"/>
      <c r="K355" s="118"/>
      <c r="L355" s="118"/>
      <c r="M355" s="118"/>
      <c r="N355" s="255"/>
    </row>
    <row r="356" spans="1:19" s="117" customFormat="1" ht="18" customHeight="1" x14ac:dyDescent="0.35">
      <c r="B356" s="118"/>
      <c r="C356" s="116"/>
      <c r="D356" s="776"/>
      <c r="E356" s="116"/>
      <c r="F356" s="116"/>
      <c r="G356" s="116"/>
      <c r="H356" s="116"/>
      <c r="I356" s="116"/>
      <c r="J356" s="116"/>
      <c r="K356" s="118"/>
      <c r="L356" s="118"/>
      <c r="M356" s="118"/>
      <c r="N356" s="255"/>
    </row>
    <row r="357" spans="1:19" s="117" customFormat="1" ht="18" customHeight="1" x14ac:dyDescent="0.35">
      <c r="B357" s="118"/>
      <c r="C357" s="116"/>
      <c r="D357" s="776"/>
      <c r="E357" s="116"/>
      <c r="F357" s="116"/>
      <c r="G357" s="116"/>
      <c r="H357" s="116"/>
      <c r="I357" s="116"/>
      <c r="J357" s="116"/>
      <c r="K357" s="118"/>
      <c r="L357" s="118"/>
      <c r="M357" s="118"/>
      <c r="N357" s="255"/>
    </row>
    <row r="358" spans="1:19" s="117" customFormat="1" ht="18" customHeight="1" x14ac:dyDescent="0.35">
      <c r="B358" s="118"/>
      <c r="C358" s="116"/>
      <c r="D358" s="776"/>
      <c r="E358" s="116"/>
      <c r="F358" s="116"/>
      <c r="G358" s="116"/>
      <c r="H358" s="116"/>
      <c r="I358" s="116"/>
      <c r="J358" s="116"/>
      <c r="K358" s="118"/>
      <c r="L358" s="118"/>
      <c r="M358" s="118"/>
      <c r="N358" s="255"/>
    </row>
    <row r="359" spans="1:19" s="117" customFormat="1" ht="18" customHeight="1" x14ac:dyDescent="0.35">
      <c r="B359" s="118"/>
      <c r="C359" s="116"/>
      <c r="D359" s="776"/>
      <c r="E359" s="116"/>
      <c r="F359" s="116"/>
      <c r="G359" s="116"/>
      <c r="H359" s="116"/>
      <c r="I359" s="116"/>
      <c r="J359" s="116"/>
      <c r="K359" s="118"/>
      <c r="L359" s="118"/>
      <c r="M359" s="118"/>
      <c r="N359" s="255"/>
    </row>
    <row r="360" spans="1:19" s="117" customFormat="1" ht="18" customHeight="1" x14ac:dyDescent="0.35">
      <c r="B360" s="118"/>
      <c r="C360" s="116"/>
      <c r="D360" s="776"/>
      <c r="E360" s="116"/>
      <c r="F360" s="116"/>
      <c r="G360" s="116"/>
      <c r="H360" s="116"/>
      <c r="I360" s="116"/>
      <c r="J360" s="116"/>
      <c r="K360" s="118"/>
      <c r="L360" s="118"/>
      <c r="M360" s="118"/>
      <c r="N360" s="255"/>
    </row>
    <row r="361" spans="1:19" s="117" customFormat="1" ht="18" customHeight="1" x14ac:dyDescent="0.35">
      <c r="B361" s="118"/>
      <c r="C361" s="116"/>
      <c r="D361" s="776"/>
      <c r="E361" s="116"/>
      <c r="F361" s="116"/>
      <c r="G361" s="116"/>
      <c r="H361" s="116"/>
      <c r="I361" s="116"/>
      <c r="J361" s="116"/>
      <c r="K361" s="118"/>
      <c r="L361" s="118"/>
      <c r="M361" s="118"/>
      <c r="N361" s="255"/>
    </row>
    <row r="362" spans="1:19" s="117" customFormat="1" ht="18" customHeight="1" x14ac:dyDescent="0.35">
      <c r="B362" s="118"/>
      <c r="C362" s="116"/>
      <c r="D362" s="776"/>
      <c r="E362" s="116"/>
      <c r="F362" s="116"/>
      <c r="G362" s="116"/>
      <c r="H362" s="116"/>
      <c r="I362" s="116"/>
      <c r="J362" s="116"/>
      <c r="K362" s="118"/>
      <c r="L362" s="118"/>
      <c r="M362" s="118"/>
      <c r="N362" s="255"/>
    </row>
    <row r="363" spans="1:19" s="117" customFormat="1" ht="18" customHeight="1" x14ac:dyDescent="0.35">
      <c r="B363" s="118"/>
      <c r="C363" s="116"/>
      <c r="D363" s="776"/>
      <c r="E363" s="116"/>
      <c r="F363" s="116"/>
      <c r="G363" s="116"/>
      <c r="H363" s="116"/>
      <c r="I363" s="116"/>
      <c r="J363" s="116"/>
      <c r="K363" s="118"/>
      <c r="L363" s="118"/>
      <c r="M363" s="118"/>
      <c r="N363" s="255"/>
    </row>
    <row r="364" spans="1:19" s="117" customFormat="1" ht="18" customHeight="1" x14ac:dyDescent="0.35">
      <c r="B364" s="118"/>
      <c r="C364" s="116"/>
      <c r="D364" s="776"/>
      <c r="E364" s="116"/>
      <c r="F364" s="116"/>
      <c r="G364" s="116"/>
      <c r="H364" s="116"/>
      <c r="I364" s="116"/>
      <c r="J364" s="116"/>
      <c r="K364" s="118"/>
      <c r="L364" s="118"/>
      <c r="M364" s="118"/>
      <c r="N364" s="255"/>
    </row>
    <row r="365" spans="1:19" s="117" customFormat="1" ht="18" customHeight="1" x14ac:dyDescent="0.35">
      <c r="B365" s="118"/>
      <c r="C365" s="116"/>
      <c r="D365" s="776"/>
      <c r="E365" s="116"/>
      <c r="F365" s="116"/>
      <c r="G365" s="116"/>
      <c r="H365" s="116"/>
      <c r="I365" s="116"/>
      <c r="J365" s="116"/>
      <c r="K365" s="118"/>
      <c r="L365" s="118"/>
      <c r="M365" s="118"/>
      <c r="N365" s="255"/>
    </row>
    <row r="366" spans="1:19" s="119" customFormat="1" ht="18" customHeight="1" x14ac:dyDescent="0.35">
      <c r="A366" s="117"/>
      <c r="B366" s="118"/>
      <c r="C366" s="116"/>
      <c r="D366" s="776"/>
      <c r="E366" s="116"/>
      <c r="F366" s="116"/>
      <c r="G366" s="116"/>
      <c r="H366" s="116"/>
      <c r="I366" s="116"/>
      <c r="J366" s="116"/>
      <c r="K366" s="118"/>
      <c r="L366" s="118"/>
      <c r="M366" s="118"/>
      <c r="O366" s="116"/>
      <c r="P366" s="116"/>
      <c r="Q366" s="116"/>
      <c r="R366" s="116"/>
      <c r="S366" s="116"/>
    </row>
    <row r="367" spans="1:19" s="119" customFormat="1" ht="18" customHeight="1" x14ac:dyDescent="0.35">
      <c r="A367" s="117"/>
      <c r="B367" s="118"/>
      <c r="C367" s="116"/>
      <c r="D367" s="776"/>
      <c r="E367" s="116"/>
      <c r="F367" s="116"/>
      <c r="G367" s="116"/>
      <c r="H367" s="116"/>
      <c r="I367" s="116"/>
      <c r="J367" s="116"/>
      <c r="K367" s="118"/>
      <c r="L367" s="118"/>
      <c r="M367" s="118"/>
      <c r="O367" s="116"/>
      <c r="P367" s="116"/>
      <c r="Q367" s="116"/>
      <c r="R367" s="116"/>
      <c r="S367" s="116"/>
    </row>
    <row r="368" spans="1:19" s="119" customFormat="1" ht="18" customHeight="1" x14ac:dyDescent="0.35">
      <c r="A368" s="117"/>
      <c r="B368" s="118"/>
      <c r="C368" s="116"/>
      <c r="D368" s="776"/>
      <c r="E368" s="116"/>
      <c r="F368" s="116"/>
      <c r="G368" s="116"/>
      <c r="H368" s="116"/>
      <c r="I368" s="116"/>
      <c r="J368" s="116"/>
      <c r="K368" s="118"/>
      <c r="L368" s="118"/>
      <c r="M368" s="118"/>
      <c r="O368" s="116"/>
      <c r="P368" s="116"/>
      <c r="Q368" s="116"/>
      <c r="R368" s="116"/>
      <c r="S368" s="116"/>
    </row>
    <row r="369" spans="1:19" s="119" customFormat="1" ht="18" customHeight="1" x14ac:dyDescent="0.35">
      <c r="A369" s="117"/>
      <c r="B369" s="118"/>
      <c r="C369" s="116"/>
      <c r="D369" s="776"/>
      <c r="E369" s="116"/>
      <c r="F369" s="116"/>
      <c r="G369" s="116"/>
      <c r="H369" s="116"/>
      <c r="I369" s="116"/>
      <c r="J369" s="116"/>
      <c r="K369" s="118"/>
      <c r="L369" s="118"/>
      <c r="M369" s="118"/>
      <c r="O369" s="116"/>
      <c r="P369" s="116"/>
      <c r="Q369" s="116"/>
      <c r="R369" s="116"/>
      <c r="S369" s="116"/>
    </row>
    <row r="370" spans="1:19" s="119" customFormat="1" ht="18" customHeight="1" x14ac:dyDescent="0.35">
      <c r="A370" s="117"/>
      <c r="B370" s="118"/>
      <c r="C370" s="116"/>
      <c r="D370" s="776"/>
      <c r="E370" s="116"/>
      <c r="F370" s="116"/>
      <c r="G370" s="116"/>
      <c r="H370" s="116"/>
      <c r="I370" s="116"/>
      <c r="J370" s="116"/>
      <c r="K370" s="118"/>
      <c r="L370" s="118"/>
      <c r="M370" s="118"/>
      <c r="O370" s="116"/>
      <c r="P370" s="116"/>
      <c r="Q370" s="116"/>
      <c r="R370" s="116"/>
      <c r="S370" s="116"/>
    </row>
    <row r="371" spans="1:19" s="119" customFormat="1" ht="18" customHeight="1" x14ac:dyDescent="0.35">
      <c r="A371" s="117"/>
      <c r="B371" s="118"/>
      <c r="C371" s="116"/>
      <c r="D371" s="776"/>
      <c r="E371" s="116"/>
      <c r="F371" s="116"/>
      <c r="G371" s="116"/>
      <c r="H371" s="116"/>
      <c r="I371" s="116"/>
      <c r="J371" s="116"/>
      <c r="K371" s="118"/>
      <c r="L371" s="118"/>
      <c r="M371" s="118"/>
      <c r="O371" s="116"/>
      <c r="P371" s="116"/>
      <c r="Q371" s="116"/>
      <c r="R371" s="116"/>
      <c r="S371" s="116"/>
    </row>
    <row r="372" spans="1:19" s="119" customFormat="1" ht="18" customHeight="1" x14ac:dyDescent="0.35">
      <c r="A372" s="117" t="s">
        <v>614</v>
      </c>
      <c r="B372" s="134"/>
      <c r="C372" s="140"/>
      <c r="D372" s="754"/>
      <c r="E372" s="140"/>
      <c r="F372" s="140"/>
      <c r="G372" s="140"/>
      <c r="H372" s="140"/>
      <c r="I372" s="140"/>
      <c r="J372" s="116"/>
      <c r="K372" s="118"/>
      <c r="L372" s="118"/>
      <c r="M372" s="118"/>
      <c r="O372" s="116"/>
      <c r="P372" s="116"/>
      <c r="Q372" s="116"/>
      <c r="R372" s="116"/>
      <c r="S372" s="116"/>
    </row>
    <row r="373" spans="1:19" s="119" customFormat="1" ht="18" customHeight="1" x14ac:dyDescent="0.35">
      <c r="A373" s="114"/>
      <c r="B373" s="196"/>
      <c r="C373" s="126"/>
      <c r="D373" s="810"/>
      <c r="E373" s="126"/>
      <c r="F373" s="126"/>
      <c r="G373" s="126"/>
      <c r="H373" s="126"/>
      <c r="I373" s="126"/>
      <c r="J373" s="113"/>
      <c r="K373" s="125"/>
      <c r="L373" s="125"/>
      <c r="M373" s="125"/>
      <c r="O373" s="116"/>
      <c r="P373" s="116"/>
      <c r="Q373" s="116"/>
      <c r="R373" s="116"/>
      <c r="S373" s="116"/>
    </row>
    <row r="374" spans="1:19" s="119" customFormat="1" ht="18" customHeight="1" x14ac:dyDescent="0.35">
      <c r="A374" s="114"/>
      <c r="B374" s="125" t="s">
        <v>157</v>
      </c>
      <c r="C374" s="126"/>
      <c r="D374" s="810"/>
      <c r="E374" s="126"/>
      <c r="F374" s="126"/>
      <c r="G374" s="126"/>
      <c r="H374" s="126"/>
      <c r="I374" s="126"/>
      <c r="J374" s="113"/>
      <c r="K374" s="125"/>
      <c r="L374" s="125"/>
      <c r="M374" s="125"/>
      <c r="O374" s="116"/>
      <c r="P374" s="116"/>
      <c r="Q374" s="116"/>
      <c r="R374" s="116"/>
      <c r="S374" s="116"/>
    </row>
    <row r="375" spans="1:19" s="119" customFormat="1" ht="18" customHeight="1" x14ac:dyDescent="0.35">
      <c r="A375" s="114"/>
      <c r="B375" s="118" t="s">
        <v>158</v>
      </c>
      <c r="C375" s="126"/>
      <c r="D375" s="810"/>
      <c r="E375" s="126"/>
      <c r="F375" s="126"/>
      <c r="G375" s="126"/>
      <c r="H375" s="126"/>
      <c r="I375" s="126"/>
      <c r="J375" s="113"/>
      <c r="K375" s="118"/>
      <c r="L375" s="118"/>
      <c r="M375" s="118"/>
      <c r="O375" s="116"/>
      <c r="P375" s="116"/>
      <c r="Q375" s="116"/>
      <c r="R375" s="116"/>
      <c r="S375" s="116"/>
    </row>
    <row r="376" spans="1:19" s="119" customFormat="1" ht="18" customHeight="1" x14ac:dyDescent="0.35">
      <c r="A376" s="114"/>
      <c r="B376" s="196"/>
      <c r="C376" s="126"/>
      <c r="D376" s="810"/>
      <c r="E376" s="126"/>
      <c r="F376" s="126"/>
      <c r="G376" s="126"/>
      <c r="H376" s="126"/>
      <c r="I376" s="126"/>
      <c r="J376" s="113"/>
      <c r="K376" s="125"/>
      <c r="L376" s="125"/>
      <c r="M376" s="125"/>
      <c r="O376" s="116"/>
      <c r="P376" s="116"/>
      <c r="Q376" s="116"/>
      <c r="R376" s="116"/>
      <c r="S376" s="116"/>
    </row>
    <row r="377" spans="1:19" s="119" customFormat="1" ht="18" customHeight="1" x14ac:dyDescent="0.35">
      <c r="A377" s="114"/>
      <c r="B377" s="196"/>
      <c r="C377" s="126"/>
      <c r="D377" s="810"/>
      <c r="E377" s="126"/>
      <c r="F377" s="126"/>
      <c r="G377" s="126"/>
      <c r="H377" s="126"/>
      <c r="I377" s="126"/>
      <c r="J377" s="113"/>
      <c r="K377" s="125"/>
      <c r="L377" s="125"/>
      <c r="M377" s="125"/>
      <c r="O377" s="116"/>
      <c r="P377" s="116"/>
      <c r="Q377" s="116"/>
      <c r="R377" s="116"/>
      <c r="S377" s="116"/>
    </row>
    <row r="378" spans="1:19" s="119" customFormat="1" x14ac:dyDescent="0.35">
      <c r="A378" s="117"/>
      <c r="B378" s="118"/>
      <c r="C378" s="116"/>
      <c r="D378" s="776"/>
      <c r="E378" s="140"/>
      <c r="F378" s="116"/>
      <c r="G378" s="116"/>
      <c r="H378" s="116"/>
      <c r="I378" s="116"/>
      <c r="J378" s="116"/>
      <c r="K378" s="118"/>
      <c r="L378" s="118"/>
      <c r="M378" s="118"/>
      <c r="O378" s="116"/>
      <c r="P378" s="116"/>
      <c r="Q378" s="116"/>
      <c r="R378" s="116"/>
      <c r="S378" s="116"/>
    </row>
    <row r="379" spans="1:19" s="119" customFormat="1" x14ac:dyDescent="0.35">
      <c r="A379" s="114" t="s">
        <v>615</v>
      </c>
      <c r="B379" s="118"/>
      <c r="C379" s="116"/>
      <c r="D379" s="776"/>
      <c r="E379" s="140"/>
      <c r="F379" s="116"/>
      <c r="G379" s="116"/>
      <c r="H379" s="116"/>
      <c r="I379" s="116"/>
      <c r="J379" s="116"/>
      <c r="K379" s="118"/>
      <c r="L379" s="118"/>
      <c r="M379" s="118"/>
      <c r="O379" s="116"/>
      <c r="P379" s="116"/>
      <c r="Q379" s="116"/>
      <c r="R379" s="116"/>
      <c r="S379" s="116"/>
    </row>
    <row r="380" spans="1:19" s="119" customFormat="1" x14ac:dyDescent="0.35">
      <c r="A380" s="117" t="s">
        <v>616</v>
      </c>
      <c r="B380" s="118" t="s">
        <v>159</v>
      </c>
      <c r="C380" s="116"/>
      <c r="D380" s="776"/>
      <c r="E380" s="140"/>
      <c r="F380" s="116"/>
      <c r="G380" s="116"/>
      <c r="H380" s="116"/>
      <c r="I380" s="116"/>
      <c r="J380" s="116"/>
      <c r="K380" s="118"/>
      <c r="L380" s="118"/>
      <c r="M380" s="118"/>
      <c r="O380" s="116"/>
      <c r="P380" s="116"/>
      <c r="Q380" s="116"/>
      <c r="R380" s="116"/>
      <c r="S380" s="116"/>
    </row>
    <row r="381" spans="1:19" s="119" customFormat="1" ht="36" x14ac:dyDescent="0.35">
      <c r="A381" s="117" t="s">
        <v>617</v>
      </c>
      <c r="B381" s="118" t="s">
        <v>160</v>
      </c>
      <c r="C381" s="116"/>
      <c r="D381" s="776"/>
      <c r="E381" s="140"/>
      <c r="F381" s="116"/>
      <c r="G381" s="116"/>
      <c r="H381" s="116"/>
      <c r="I381" s="116"/>
      <c r="J381" s="116"/>
      <c r="K381" s="118"/>
      <c r="L381" s="118"/>
      <c r="M381" s="118"/>
      <c r="O381" s="116"/>
      <c r="P381" s="116"/>
      <c r="Q381" s="116"/>
      <c r="R381" s="116"/>
      <c r="S381" s="116"/>
    </row>
    <row r="382" spans="1:19" ht="36" x14ac:dyDescent="0.35">
      <c r="A382" s="117" t="s">
        <v>618</v>
      </c>
      <c r="B382" s="118" t="s">
        <v>161</v>
      </c>
      <c r="E382" s="140"/>
    </row>
    <row r="383" spans="1:19" x14ac:dyDescent="0.35">
      <c r="A383" s="117" t="s">
        <v>619</v>
      </c>
      <c r="B383" s="118" t="s">
        <v>162</v>
      </c>
      <c r="E383" s="140"/>
    </row>
    <row r="384" spans="1:19" x14ac:dyDescent="0.35">
      <c r="E384" s="140"/>
    </row>
    <row r="385" spans="1:6" x14ac:dyDescent="0.35">
      <c r="A385" s="117" t="s">
        <v>620</v>
      </c>
      <c r="E385" s="140"/>
    </row>
    <row r="386" spans="1:6" x14ac:dyDescent="0.35">
      <c r="A386" s="117" t="s">
        <v>621</v>
      </c>
      <c r="E386" s="140"/>
    </row>
    <row r="387" spans="1:6" x14ac:dyDescent="0.35">
      <c r="E387" s="140"/>
    </row>
    <row r="388" spans="1:6" x14ac:dyDescent="0.35">
      <c r="A388" s="114" t="s">
        <v>622</v>
      </c>
      <c r="B388" s="125"/>
      <c r="E388" s="140"/>
    </row>
    <row r="389" spans="1:6" ht="54" x14ac:dyDescent="0.35">
      <c r="A389" s="117" t="s">
        <v>10</v>
      </c>
      <c r="B389" s="118" t="s">
        <v>163</v>
      </c>
      <c r="E389" s="140"/>
    </row>
    <row r="390" spans="1:6" ht="54" x14ac:dyDescent="0.35">
      <c r="A390" s="117" t="s">
        <v>12</v>
      </c>
      <c r="B390" s="118" t="s">
        <v>164</v>
      </c>
      <c r="E390" s="140"/>
    </row>
    <row r="391" spans="1:6" ht="36" x14ac:dyDescent="0.35">
      <c r="A391" s="117" t="s">
        <v>33</v>
      </c>
      <c r="B391" s="118" t="s">
        <v>165</v>
      </c>
      <c r="E391" s="140"/>
    </row>
    <row r="392" spans="1:6" ht="54" x14ac:dyDescent="0.35">
      <c r="A392" s="117" t="s">
        <v>41</v>
      </c>
      <c r="B392" s="118" t="s">
        <v>166</v>
      </c>
      <c r="E392" s="140"/>
    </row>
    <row r="393" spans="1:6" x14ac:dyDescent="0.35">
      <c r="E393" s="140"/>
    </row>
    <row r="394" spans="1:6" x14ac:dyDescent="0.35">
      <c r="A394" s="114" t="s">
        <v>623</v>
      </c>
      <c r="B394" s="125"/>
      <c r="E394" s="140"/>
    </row>
    <row r="395" spans="1:6" ht="54" x14ac:dyDescent="0.35">
      <c r="A395" s="117" t="s">
        <v>10</v>
      </c>
      <c r="B395" s="118" t="s">
        <v>167</v>
      </c>
      <c r="E395" s="140"/>
    </row>
    <row r="396" spans="1:6" ht="54" x14ac:dyDescent="0.35">
      <c r="A396" s="117" t="s">
        <v>12</v>
      </c>
      <c r="B396" s="118" t="s">
        <v>168</v>
      </c>
      <c r="E396" s="140"/>
    </row>
    <row r="397" spans="1:6" ht="36" x14ac:dyDescent="0.35">
      <c r="A397" s="117" t="s">
        <v>33</v>
      </c>
      <c r="B397" s="118" t="s">
        <v>169</v>
      </c>
      <c r="E397" s="140"/>
    </row>
    <row r="398" spans="1:6" x14ac:dyDescent="0.35">
      <c r="A398" s="117" t="s">
        <v>41</v>
      </c>
      <c r="B398" s="118" t="s">
        <v>170</v>
      </c>
      <c r="E398" s="140"/>
    </row>
    <row r="399" spans="1:6" x14ac:dyDescent="0.35">
      <c r="E399" s="140"/>
    </row>
    <row r="400" spans="1:6" x14ac:dyDescent="0.35">
      <c r="A400" s="114" t="s">
        <v>624</v>
      </c>
      <c r="B400" s="125"/>
      <c r="E400" s="113" t="s">
        <v>625</v>
      </c>
      <c r="F400" s="113"/>
    </row>
    <row r="401" spans="1:7" ht="36" x14ac:dyDescent="0.35">
      <c r="A401" s="117" t="s">
        <v>10</v>
      </c>
      <c r="B401" s="118" t="s">
        <v>171</v>
      </c>
      <c r="E401" s="116" t="s">
        <v>10</v>
      </c>
      <c r="F401" s="116" t="s">
        <v>626</v>
      </c>
    </row>
    <row r="402" spans="1:7" x14ac:dyDescent="0.35">
      <c r="A402" s="117" t="s">
        <v>12</v>
      </c>
      <c r="B402" s="118" t="s">
        <v>172</v>
      </c>
      <c r="E402" s="116" t="s">
        <v>12</v>
      </c>
      <c r="F402" s="116" t="s">
        <v>627</v>
      </c>
    </row>
    <row r="403" spans="1:7" ht="36" x14ac:dyDescent="0.35">
      <c r="A403" s="117" t="s">
        <v>33</v>
      </c>
      <c r="B403" s="118" t="s">
        <v>173</v>
      </c>
      <c r="E403" s="116" t="s">
        <v>33</v>
      </c>
      <c r="F403" s="116" t="s">
        <v>628</v>
      </c>
    </row>
    <row r="404" spans="1:7" x14ac:dyDescent="0.35">
      <c r="A404" s="117" t="s">
        <v>629</v>
      </c>
      <c r="B404" s="118" t="s">
        <v>174</v>
      </c>
      <c r="E404" s="116" t="s">
        <v>41</v>
      </c>
      <c r="F404" s="116" t="s">
        <v>630</v>
      </c>
    </row>
    <row r="405" spans="1:7" x14ac:dyDescent="0.35">
      <c r="F405" s="140"/>
    </row>
    <row r="406" spans="1:7" x14ac:dyDescent="0.35">
      <c r="A406" s="114" t="s">
        <v>631</v>
      </c>
      <c r="B406" s="125"/>
      <c r="E406" s="113" t="s">
        <v>632</v>
      </c>
      <c r="F406" s="140"/>
    </row>
    <row r="407" spans="1:7" x14ac:dyDescent="0.35">
      <c r="A407" s="117" t="s">
        <v>10</v>
      </c>
      <c r="B407" s="118" t="s">
        <v>175</v>
      </c>
      <c r="E407" s="116" t="s">
        <v>633</v>
      </c>
      <c r="F407" s="116" t="s">
        <v>634</v>
      </c>
    </row>
    <row r="408" spans="1:7" ht="36" x14ac:dyDescent="0.35">
      <c r="A408" s="117" t="s">
        <v>635</v>
      </c>
      <c r="B408" s="118" t="s">
        <v>176</v>
      </c>
      <c r="E408" s="116" t="s">
        <v>636</v>
      </c>
      <c r="F408" s="116" t="s">
        <v>637</v>
      </c>
    </row>
    <row r="409" spans="1:7" ht="36" x14ac:dyDescent="0.35">
      <c r="A409" s="117" t="s">
        <v>638</v>
      </c>
      <c r="B409" s="118" t="s">
        <v>177</v>
      </c>
      <c r="E409" s="116" t="s">
        <v>639</v>
      </c>
    </row>
    <row r="410" spans="1:7" ht="36" x14ac:dyDescent="0.35">
      <c r="A410" s="117" t="s">
        <v>640</v>
      </c>
      <c r="B410" s="118" t="s">
        <v>178</v>
      </c>
      <c r="E410" s="140"/>
    </row>
    <row r="411" spans="1:7" x14ac:dyDescent="0.35">
      <c r="C411" s="920"/>
      <c r="D411" s="921"/>
      <c r="G411" s="116" t="s">
        <v>641</v>
      </c>
    </row>
    <row r="418" spans="1:14" s="113" customFormat="1" ht="18" customHeight="1" x14ac:dyDescent="0.35">
      <c r="A418" s="257"/>
      <c r="B418" s="258" t="s">
        <v>179</v>
      </c>
      <c r="C418" s="259" t="s">
        <v>180</v>
      </c>
      <c r="D418" s="922"/>
      <c r="E418" s="259" t="s">
        <v>642</v>
      </c>
      <c r="F418" s="259" t="s">
        <v>643</v>
      </c>
      <c r="G418" s="259" t="s">
        <v>644</v>
      </c>
      <c r="H418" s="259" t="s">
        <v>645</v>
      </c>
      <c r="I418" s="259"/>
      <c r="J418" s="259"/>
      <c r="K418" s="258"/>
      <c r="L418" s="125"/>
      <c r="M418" s="125"/>
      <c r="N418" s="115"/>
    </row>
    <row r="419" spans="1:14" s="113" customFormat="1" ht="18" customHeight="1" x14ac:dyDescent="0.35">
      <c r="A419" s="260"/>
      <c r="B419" s="231"/>
      <c r="C419" s="261" t="s">
        <v>181</v>
      </c>
      <c r="D419" s="923"/>
      <c r="E419" s="261" t="s">
        <v>646</v>
      </c>
      <c r="F419" s="261" t="s">
        <v>646</v>
      </c>
      <c r="G419" s="261" t="s">
        <v>646</v>
      </c>
      <c r="H419" s="261" t="s">
        <v>646</v>
      </c>
      <c r="I419" s="261"/>
      <c r="J419" s="262"/>
      <c r="K419" s="263"/>
      <c r="L419" s="125"/>
      <c r="M419" s="125"/>
      <c r="N419" s="115"/>
    </row>
    <row r="420" spans="1:14" ht="18" customHeight="1" x14ac:dyDescent="0.35">
      <c r="A420" s="264"/>
      <c r="B420" s="138" t="s">
        <v>182</v>
      </c>
      <c r="C420" s="137">
        <f t="shared" ref="C420:C443" si="23">SUM(E420:H420)</f>
        <v>81.36</v>
      </c>
      <c r="D420" s="814"/>
      <c r="E420" s="137">
        <f>+E30</f>
        <v>45.32</v>
      </c>
      <c r="F420" s="137"/>
      <c r="G420" s="137">
        <f>+G30</f>
        <v>0</v>
      </c>
      <c r="H420" s="137">
        <f>+H30</f>
        <v>36.04</v>
      </c>
      <c r="I420" s="137"/>
      <c r="J420" s="239"/>
      <c r="K420" s="240"/>
      <c r="L420" s="125"/>
      <c r="M420" s="125"/>
    </row>
    <row r="421" spans="1:14" ht="18" customHeight="1" x14ac:dyDescent="0.35">
      <c r="A421" s="264"/>
      <c r="B421" s="138" t="s">
        <v>183</v>
      </c>
      <c r="C421" s="137">
        <f t="shared" si="23"/>
        <v>74.350000000000009</v>
      </c>
      <c r="D421" s="814"/>
      <c r="E421" s="137">
        <f>+E58</f>
        <v>27.434000000000001</v>
      </c>
      <c r="F421" s="137"/>
      <c r="G421" s="137"/>
      <c r="H421" s="137">
        <f>+H58</f>
        <v>46.916000000000004</v>
      </c>
      <c r="I421" s="137"/>
      <c r="J421" s="141"/>
      <c r="K421" s="138"/>
    </row>
    <row r="422" spans="1:14" ht="18" customHeight="1" x14ac:dyDescent="0.35">
      <c r="A422" s="264"/>
      <c r="B422" s="138" t="s">
        <v>184</v>
      </c>
      <c r="C422" s="137">
        <f t="shared" si="23"/>
        <v>42.16</v>
      </c>
      <c r="D422" s="814"/>
      <c r="E422" s="137">
        <f>+E70</f>
        <v>3.4400000000000004</v>
      </c>
      <c r="F422" s="137"/>
      <c r="G422" s="137"/>
      <c r="H422" s="137">
        <f>+H70</f>
        <v>38.72</v>
      </c>
      <c r="I422" s="137"/>
      <c r="J422" s="239"/>
      <c r="K422" s="240"/>
      <c r="L422" s="125"/>
      <c r="M422" s="125"/>
    </row>
    <row r="423" spans="1:14" ht="18" customHeight="1" x14ac:dyDescent="0.35">
      <c r="A423" s="265"/>
      <c r="B423" s="266" t="s">
        <v>185</v>
      </c>
      <c r="C423" s="137">
        <f t="shared" si="23"/>
        <v>3.28</v>
      </c>
      <c r="D423" s="861"/>
      <c r="E423" s="173">
        <f>+E77</f>
        <v>0.48</v>
      </c>
      <c r="F423" s="173"/>
      <c r="G423" s="173"/>
      <c r="H423" s="173">
        <f>+H77</f>
        <v>2.8</v>
      </c>
      <c r="I423" s="173"/>
      <c r="J423" s="239"/>
      <c r="K423" s="240"/>
      <c r="L423" s="125"/>
      <c r="M423" s="125"/>
    </row>
    <row r="424" spans="1:14" ht="18" customHeight="1" x14ac:dyDescent="0.35">
      <c r="A424" s="265"/>
      <c r="B424" s="266" t="s">
        <v>186</v>
      </c>
      <c r="C424" s="137">
        <f t="shared" si="23"/>
        <v>28.35</v>
      </c>
      <c r="D424" s="861"/>
      <c r="E424" s="173">
        <f>+E91</f>
        <v>13.950000000000001</v>
      </c>
      <c r="F424" s="173"/>
      <c r="G424" s="173"/>
      <c r="H424" s="173">
        <f>+H91</f>
        <v>14.399999999999999</v>
      </c>
      <c r="I424" s="173"/>
      <c r="J424" s="239"/>
      <c r="K424" s="240"/>
      <c r="L424" s="125"/>
      <c r="M424" s="125"/>
    </row>
    <row r="425" spans="1:14" ht="18" customHeight="1" x14ac:dyDescent="0.35">
      <c r="A425" s="265"/>
      <c r="B425" s="266" t="s">
        <v>187</v>
      </c>
      <c r="C425" s="137">
        <f t="shared" si="23"/>
        <v>107.36</v>
      </c>
      <c r="D425" s="861"/>
      <c r="E425" s="173">
        <f>+E125</f>
        <v>39.007000000000005</v>
      </c>
      <c r="F425" s="173"/>
      <c r="G425" s="173"/>
      <c r="H425" s="173">
        <f>+H125</f>
        <v>68.352999999999994</v>
      </c>
      <c r="I425" s="173"/>
      <c r="J425" s="239"/>
      <c r="K425" s="240"/>
      <c r="L425" s="125"/>
      <c r="M425" s="125"/>
    </row>
    <row r="426" spans="1:14" ht="18" customHeight="1" x14ac:dyDescent="0.35">
      <c r="A426" s="265"/>
      <c r="B426" s="266" t="s">
        <v>188</v>
      </c>
      <c r="C426" s="137">
        <f t="shared" si="23"/>
        <v>10.66</v>
      </c>
      <c r="D426" s="861"/>
      <c r="E426" s="173">
        <f>+E137</f>
        <v>2.62</v>
      </c>
      <c r="F426" s="173"/>
      <c r="G426" s="173"/>
      <c r="H426" s="173">
        <f>+H137</f>
        <v>8.0399999999999991</v>
      </c>
      <c r="I426" s="173"/>
      <c r="J426" s="239"/>
      <c r="K426" s="240"/>
      <c r="L426" s="125"/>
      <c r="M426" s="125"/>
    </row>
    <row r="427" spans="1:14" ht="18" customHeight="1" x14ac:dyDescent="0.35">
      <c r="A427" s="265"/>
      <c r="B427" s="266" t="s">
        <v>189</v>
      </c>
      <c r="C427" s="137">
        <f t="shared" si="23"/>
        <v>18.670000000000002</v>
      </c>
      <c r="D427" s="861"/>
      <c r="E427" s="173">
        <f>+E145</f>
        <v>13</v>
      </c>
      <c r="F427" s="173"/>
      <c r="G427" s="173"/>
      <c r="H427" s="173">
        <f>+H145</f>
        <v>5.67</v>
      </c>
      <c r="I427" s="173"/>
      <c r="J427" s="239"/>
      <c r="K427" s="240"/>
      <c r="L427" s="125"/>
      <c r="M427" s="125"/>
    </row>
    <row r="428" spans="1:14" s="113" customFormat="1" ht="18" customHeight="1" x14ac:dyDescent="0.35">
      <c r="A428" s="265"/>
      <c r="B428" s="267" t="s">
        <v>190</v>
      </c>
      <c r="C428" s="248">
        <f t="shared" si="23"/>
        <v>366.19</v>
      </c>
      <c r="D428" s="903"/>
      <c r="E428" s="268">
        <f>SUM(E420:E427)</f>
        <v>145.25100000000003</v>
      </c>
      <c r="F428" s="268">
        <f>SUM(F420:F427)</f>
        <v>0</v>
      </c>
      <c r="G428" s="268">
        <f>SUM(G420:G427)</f>
        <v>0</v>
      </c>
      <c r="H428" s="268">
        <f>SUM(H420:H427)</f>
        <v>220.93899999999996</v>
      </c>
      <c r="I428" s="268"/>
      <c r="J428" s="239"/>
      <c r="K428" s="240"/>
      <c r="L428" s="125"/>
      <c r="M428" s="125"/>
      <c r="N428" s="115"/>
    </row>
    <row r="429" spans="1:14" ht="18" customHeight="1" x14ac:dyDescent="0.35">
      <c r="A429" s="265"/>
      <c r="B429" s="266" t="s">
        <v>191</v>
      </c>
      <c r="C429" s="137">
        <f t="shared" si="23"/>
        <v>108.1</v>
      </c>
      <c r="D429" s="861"/>
      <c r="E429" s="173">
        <f>+E167</f>
        <v>35.848999999999997</v>
      </c>
      <c r="F429" s="173">
        <f>+F167</f>
        <v>0</v>
      </c>
      <c r="G429" s="173"/>
      <c r="H429" s="173">
        <f>+H167</f>
        <v>72.251000000000005</v>
      </c>
      <c r="I429" s="173"/>
      <c r="J429" s="239"/>
      <c r="K429" s="240"/>
      <c r="L429" s="125"/>
      <c r="M429" s="125"/>
    </row>
    <row r="430" spans="1:14" ht="18" customHeight="1" x14ac:dyDescent="0.35">
      <c r="A430" s="265"/>
      <c r="B430" s="266" t="s">
        <v>192</v>
      </c>
      <c r="C430" s="137">
        <f t="shared" si="23"/>
        <v>71.400000000000006</v>
      </c>
      <c r="D430" s="861"/>
      <c r="E430" s="173">
        <f>+E180</f>
        <v>33.61</v>
      </c>
      <c r="F430" s="173"/>
      <c r="G430" s="173"/>
      <c r="H430" s="173">
        <f>+H180</f>
        <v>37.790000000000006</v>
      </c>
      <c r="I430" s="173"/>
      <c r="J430" s="239"/>
      <c r="K430" s="240"/>
      <c r="L430" s="125"/>
      <c r="M430" s="125"/>
    </row>
    <row r="431" spans="1:14" ht="18" customHeight="1" x14ac:dyDescent="0.35">
      <c r="A431" s="265"/>
      <c r="B431" s="266" t="s">
        <v>193</v>
      </c>
      <c r="C431" s="137">
        <f t="shared" si="23"/>
        <v>86.89700000000002</v>
      </c>
      <c r="D431" s="861"/>
      <c r="E431" s="173">
        <f>+E194</f>
        <v>16.649999999999999</v>
      </c>
      <c r="F431" s="173"/>
      <c r="G431" s="173"/>
      <c r="H431" s="173">
        <f>+H194</f>
        <v>70.247000000000014</v>
      </c>
      <c r="I431" s="173"/>
      <c r="J431" s="239"/>
      <c r="K431" s="240"/>
      <c r="L431" s="125"/>
      <c r="M431" s="125"/>
    </row>
    <row r="432" spans="1:14" ht="18" customHeight="1" x14ac:dyDescent="0.35">
      <c r="A432" s="265"/>
      <c r="B432" s="266" t="s">
        <v>194</v>
      </c>
      <c r="C432" s="137">
        <f t="shared" si="23"/>
        <v>9</v>
      </c>
      <c r="D432" s="861"/>
      <c r="E432" s="173">
        <f>+E203</f>
        <v>0.79</v>
      </c>
      <c r="F432" s="173"/>
      <c r="G432" s="173"/>
      <c r="H432" s="173">
        <f>+H203</f>
        <v>8.2100000000000009</v>
      </c>
      <c r="I432" s="173"/>
      <c r="J432" s="239"/>
      <c r="K432" s="240"/>
      <c r="L432" s="125"/>
      <c r="M432" s="125"/>
    </row>
    <row r="433" spans="1:14" ht="18" customHeight="1" x14ac:dyDescent="0.35">
      <c r="A433" s="265"/>
      <c r="B433" s="266" t="s">
        <v>195</v>
      </c>
      <c r="C433" s="137">
        <f t="shared" si="23"/>
        <v>59.579999999999991</v>
      </c>
      <c r="D433" s="861"/>
      <c r="E433" s="173">
        <f>+E219</f>
        <v>18.555</v>
      </c>
      <c r="F433" s="173"/>
      <c r="G433" s="173"/>
      <c r="H433" s="173">
        <f>+H219</f>
        <v>41.024999999999991</v>
      </c>
      <c r="I433" s="173"/>
      <c r="J433" s="239"/>
      <c r="K433" s="240"/>
      <c r="L433" s="125"/>
      <c r="M433" s="125"/>
    </row>
    <row r="434" spans="1:14" ht="18" customHeight="1" x14ac:dyDescent="0.35">
      <c r="A434" s="265"/>
      <c r="B434" s="266" t="s">
        <v>196</v>
      </c>
      <c r="C434" s="137">
        <f t="shared" si="23"/>
        <v>10.100000000000001</v>
      </c>
      <c r="D434" s="861"/>
      <c r="E434" s="173">
        <f>+E229</f>
        <v>1.8</v>
      </c>
      <c r="F434" s="173">
        <f>+F229</f>
        <v>0</v>
      </c>
      <c r="G434" s="173"/>
      <c r="H434" s="173">
        <f>+H229</f>
        <v>8.3000000000000007</v>
      </c>
      <c r="I434" s="173"/>
      <c r="J434" s="239"/>
      <c r="K434" s="240"/>
      <c r="L434" s="125"/>
      <c r="M434" s="125"/>
    </row>
    <row r="435" spans="1:14" ht="18" customHeight="1" x14ac:dyDescent="0.35">
      <c r="A435" s="265"/>
      <c r="B435" s="266" t="s">
        <v>197</v>
      </c>
      <c r="C435" s="137">
        <f t="shared" si="23"/>
        <v>33</v>
      </c>
      <c r="D435" s="861"/>
      <c r="E435" s="173">
        <f>+E242</f>
        <v>24.16</v>
      </c>
      <c r="F435" s="173">
        <f>+F242</f>
        <v>1.45</v>
      </c>
      <c r="G435" s="173"/>
      <c r="H435" s="173">
        <f>+H242</f>
        <v>7.3900000000000006</v>
      </c>
      <c r="I435" s="173"/>
      <c r="J435" s="239"/>
      <c r="K435" s="240"/>
      <c r="L435" s="125"/>
      <c r="M435" s="125"/>
    </row>
    <row r="436" spans="1:14" ht="18" customHeight="1" x14ac:dyDescent="0.35">
      <c r="A436" s="265"/>
      <c r="B436" s="266" t="s">
        <v>198</v>
      </c>
      <c r="C436" s="137">
        <f t="shared" si="23"/>
        <v>6.81</v>
      </c>
      <c r="D436" s="861"/>
      <c r="E436" s="173">
        <f>+E255</f>
        <v>6.0699999999999994</v>
      </c>
      <c r="F436" s="173">
        <f>+F255</f>
        <v>0.74</v>
      </c>
      <c r="G436" s="173"/>
      <c r="H436" s="173">
        <f>+H255</f>
        <v>0</v>
      </c>
      <c r="I436" s="173"/>
      <c r="J436" s="239"/>
      <c r="K436" s="240"/>
      <c r="L436" s="125"/>
      <c r="M436" s="125"/>
    </row>
    <row r="437" spans="1:14" ht="18" customHeight="1" x14ac:dyDescent="0.35">
      <c r="A437" s="265"/>
      <c r="B437" s="266" t="s">
        <v>199</v>
      </c>
      <c r="C437" s="137">
        <f t="shared" si="23"/>
        <v>7.25</v>
      </c>
      <c r="D437" s="861"/>
      <c r="E437" s="173">
        <f>+E264</f>
        <v>3.3</v>
      </c>
      <c r="F437" s="173"/>
      <c r="G437" s="173"/>
      <c r="H437" s="173">
        <f>+H264</f>
        <v>3.9499999999999997</v>
      </c>
      <c r="I437" s="173"/>
      <c r="J437" s="239"/>
      <c r="K437" s="240"/>
      <c r="L437" s="125"/>
      <c r="M437" s="125"/>
    </row>
    <row r="438" spans="1:14" ht="18" customHeight="1" x14ac:dyDescent="0.35">
      <c r="A438" s="265"/>
      <c r="B438" s="266" t="s">
        <v>200</v>
      </c>
      <c r="C438" s="137">
        <f t="shared" si="23"/>
        <v>76.180000000000007</v>
      </c>
      <c r="D438" s="861"/>
      <c r="E438" s="173">
        <f>+E280</f>
        <v>54.74</v>
      </c>
      <c r="F438" s="173"/>
      <c r="G438" s="173"/>
      <c r="H438" s="173">
        <f>+H280</f>
        <v>21.44</v>
      </c>
      <c r="I438" s="173"/>
      <c r="J438" s="239"/>
      <c r="K438" s="240"/>
      <c r="L438" s="125"/>
      <c r="M438" s="125"/>
    </row>
    <row r="439" spans="1:14" ht="18" customHeight="1" x14ac:dyDescent="0.35">
      <c r="A439" s="265"/>
      <c r="B439" s="266" t="s">
        <v>201</v>
      </c>
      <c r="C439" s="137">
        <f t="shared" si="23"/>
        <v>34.027999999999999</v>
      </c>
      <c r="D439" s="861"/>
      <c r="E439" s="173">
        <f>+E291</f>
        <v>11.007999999999999</v>
      </c>
      <c r="F439" s="173"/>
      <c r="G439" s="173"/>
      <c r="H439" s="173">
        <f>+H291</f>
        <v>23.02</v>
      </c>
      <c r="I439" s="173"/>
      <c r="J439" s="239"/>
      <c r="K439" s="240"/>
      <c r="L439" s="125"/>
      <c r="M439" s="125"/>
    </row>
    <row r="440" spans="1:14" ht="18" customHeight="1" x14ac:dyDescent="0.35">
      <c r="A440" s="265"/>
      <c r="B440" s="266" t="s">
        <v>202</v>
      </c>
      <c r="C440" s="137">
        <f t="shared" si="23"/>
        <v>24.68</v>
      </c>
      <c r="D440" s="861"/>
      <c r="E440" s="173">
        <f>+E302</f>
        <v>17.463999999999999</v>
      </c>
      <c r="F440" s="173"/>
      <c r="G440" s="173"/>
      <c r="H440" s="173">
        <f>+H302</f>
        <v>7.2160000000000002</v>
      </c>
      <c r="I440" s="173"/>
      <c r="J440" s="239"/>
      <c r="K440" s="240"/>
      <c r="L440" s="125"/>
      <c r="M440" s="125"/>
    </row>
    <row r="441" spans="1:14" ht="18" customHeight="1" x14ac:dyDescent="0.35">
      <c r="A441" s="265"/>
      <c r="B441" s="266" t="s">
        <v>203</v>
      </c>
      <c r="C441" s="137">
        <f t="shared" si="23"/>
        <v>8.7409999999999997</v>
      </c>
      <c r="D441" s="861"/>
      <c r="E441" s="173">
        <f>+E310</f>
        <v>1.18</v>
      </c>
      <c r="F441" s="173"/>
      <c r="G441" s="173"/>
      <c r="H441" s="173">
        <f>+H310</f>
        <v>7.5609999999999999</v>
      </c>
      <c r="I441" s="173"/>
      <c r="J441" s="239"/>
      <c r="K441" s="240"/>
      <c r="L441" s="125"/>
      <c r="M441" s="125"/>
    </row>
    <row r="442" spans="1:14" s="113" customFormat="1" ht="18" customHeight="1" x14ac:dyDescent="0.35">
      <c r="A442" s="265"/>
      <c r="B442" s="267" t="s">
        <v>190</v>
      </c>
      <c r="C442" s="248">
        <f t="shared" si="23"/>
        <v>535.76600000000008</v>
      </c>
      <c r="D442" s="903"/>
      <c r="E442" s="268">
        <f>SUM(E429:E441)</f>
        <v>225.17600000000004</v>
      </c>
      <c r="F442" s="268">
        <f>SUM(F429:F441)</f>
        <v>2.19</v>
      </c>
      <c r="G442" s="268"/>
      <c r="H442" s="268">
        <f>SUM(H429:H441)</f>
        <v>308.39999999999998</v>
      </c>
      <c r="I442" s="268"/>
      <c r="J442" s="239"/>
      <c r="K442" s="240"/>
      <c r="L442" s="125"/>
      <c r="M442" s="125"/>
      <c r="N442" s="115"/>
    </row>
    <row r="443" spans="1:14" ht="18" customHeight="1" x14ac:dyDescent="0.35">
      <c r="A443" s="264"/>
      <c r="B443" s="269" t="s">
        <v>204</v>
      </c>
      <c r="C443" s="248">
        <f t="shared" si="23"/>
        <v>901.95600000000002</v>
      </c>
      <c r="D443" s="903"/>
      <c r="E443" s="268">
        <f>+E442+E428</f>
        <v>370.42700000000008</v>
      </c>
      <c r="F443" s="268">
        <f>+F442+F428</f>
        <v>2.19</v>
      </c>
      <c r="G443" s="268">
        <f>+G442+G428</f>
        <v>0</v>
      </c>
      <c r="H443" s="268">
        <f>+H442+H428</f>
        <v>529.33899999999994</v>
      </c>
      <c r="I443" s="268"/>
      <c r="J443" s="239"/>
      <c r="K443" s="269"/>
      <c r="L443" s="125"/>
      <c r="M443" s="125"/>
    </row>
    <row r="445" spans="1:14" ht="36" x14ac:dyDescent="0.35">
      <c r="C445" s="920">
        <v>1149.9349999999999</v>
      </c>
      <c r="D445" s="921"/>
      <c r="K445" s="118" t="s">
        <v>647</v>
      </c>
    </row>
  </sheetData>
  <autoFilter ref="J1:J458" xr:uid="{00000000-0009-0000-0000-00000F000000}"/>
  <mergeCells count="175">
    <mergeCell ref="A312:B312"/>
    <mergeCell ref="A313:B313"/>
    <mergeCell ref="A304:L304"/>
    <mergeCell ref="A306:A307"/>
    <mergeCell ref="B306:B307"/>
    <mergeCell ref="C306:C307"/>
    <mergeCell ref="E306:I306"/>
    <mergeCell ref="J306:J307"/>
    <mergeCell ref="K306:K307"/>
    <mergeCell ref="L306:L307"/>
    <mergeCell ref="A293:L293"/>
    <mergeCell ref="A295:A296"/>
    <mergeCell ref="B295:B296"/>
    <mergeCell ref="C295:C296"/>
    <mergeCell ref="E295:I295"/>
    <mergeCell ref="J295:J296"/>
    <mergeCell ref="K295:K296"/>
    <mergeCell ref="L295:L296"/>
    <mergeCell ref="A282:L282"/>
    <mergeCell ref="A284:A285"/>
    <mergeCell ref="B284:B285"/>
    <mergeCell ref="C284:C285"/>
    <mergeCell ref="E284:I284"/>
    <mergeCell ref="J284:J285"/>
    <mergeCell ref="K284:K285"/>
    <mergeCell ref="L284:L285"/>
    <mergeCell ref="A268:A269"/>
    <mergeCell ref="B268:B269"/>
    <mergeCell ref="C268:C269"/>
    <mergeCell ref="E268:I268"/>
    <mergeCell ref="J268:J269"/>
    <mergeCell ref="K268:K269"/>
    <mergeCell ref="L268:L269"/>
    <mergeCell ref="A257:L257"/>
    <mergeCell ref="A259:A260"/>
    <mergeCell ref="B259:B260"/>
    <mergeCell ref="C259:C260"/>
    <mergeCell ref="E259:I259"/>
    <mergeCell ref="J259:J260"/>
    <mergeCell ref="K259:K260"/>
    <mergeCell ref="L259:L260"/>
    <mergeCell ref="A244:L244"/>
    <mergeCell ref="A246:A247"/>
    <mergeCell ref="B246:B247"/>
    <mergeCell ref="C246:C247"/>
    <mergeCell ref="E246:I246"/>
    <mergeCell ref="J246:J247"/>
    <mergeCell ref="K246:K247"/>
    <mergeCell ref="L246:L247"/>
    <mergeCell ref="A266:L266"/>
    <mergeCell ref="A233:A234"/>
    <mergeCell ref="B233:B234"/>
    <mergeCell ref="C233:C234"/>
    <mergeCell ref="E233:I233"/>
    <mergeCell ref="J233:J234"/>
    <mergeCell ref="K233:K234"/>
    <mergeCell ref="A221:L221"/>
    <mergeCell ref="A223:A224"/>
    <mergeCell ref="B223:B224"/>
    <mergeCell ref="C223:C224"/>
    <mergeCell ref="E223:I223"/>
    <mergeCell ref="J223:J224"/>
    <mergeCell ref="K223:K224"/>
    <mergeCell ref="L223:L224"/>
    <mergeCell ref="L233:L234"/>
    <mergeCell ref="A205:K205"/>
    <mergeCell ref="A207:A208"/>
    <mergeCell ref="B207:B208"/>
    <mergeCell ref="C207:C208"/>
    <mergeCell ref="E207:I207"/>
    <mergeCell ref="J207:J208"/>
    <mergeCell ref="K207:K208"/>
    <mergeCell ref="L207:L208"/>
    <mergeCell ref="A231:K231"/>
    <mergeCell ref="A196:K196"/>
    <mergeCell ref="A198:A199"/>
    <mergeCell ref="B198:B199"/>
    <mergeCell ref="C198:C199"/>
    <mergeCell ref="E198:I198"/>
    <mergeCell ref="J198:J199"/>
    <mergeCell ref="K198:K199"/>
    <mergeCell ref="L171:L172"/>
    <mergeCell ref="A182:K182"/>
    <mergeCell ref="A184:A185"/>
    <mergeCell ref="B184:B185"/>
    <mergeCell ref="C184:C185"/>
    <mergeCell ref="E184:I184"/>
    <mergeCell ref="J184:J185"/>
    <mergeCell ref="K184:K185"/>
    <mergeCell ref="L184:L185"/>
    <mergeCell ref="L198:L199"/>
    <mergeCell ref="A169:K169"/>
    <mergeCell ref="A171:A172"/>
    <mergeCell ref="B171:B172"/>
    <mergeCell ref="C171:C172"/>
    <mergeCell ref="E171:I171"/>
    <mergeCell ref="J171:J172"/>
    <mergeCell ref="K171:K172"/>
    <mergeCell ref="A147:B147"/>
    <mergeCell ref="A149:L149"/>
    <mergeCell ref="A151:A152"/>
    <mergeCell ref="B151:B152"/>
    <mergeCell ref="C151:C152"/>
    <mergeCell ref="E151:I151"/>
    <mergeCell ref="J151:J152"/>
    <mergeCell ref="K151:K152"/>
    <mergeCell ref="L151:L152"/>
    <mergeCell ref="A139:L139"/>
    <mergeCell ref="A141:A142"/>
    <mergeCell ref="B141:B142"/>
    <mergeCell ref="C141:C142"/>
    <mergeCell ref="E141:I141"/>
    <mergeCell ref="J141:J142"/>
    <mergeCell ref="K141:K142"/>
    <mergeCell ref="L141:L142"/>
    <mergeCell ref="A127:L127"/>
    <mergeCell ref="A129:A130"/>
    <mergeCell ref="B129:B130"/>
    <mergeCell ref="C129:C130"/>
    <mergeCell ref="E129:I129"/>
    <mergeCell ref="J129:J130"/>
    <mergeCell ref="K129:K130"/>
    <mergeCell ref="L129:L130"/>
    <mergeCell ref="A93:L93"/>
    <mergeCell ref="A95:A96"/>
    <mergeCell ref="B95:B96"/>
    <mergeCell ref="C95:C96"/>
    <mergeCell ref="E95:I95"/>
    <mergeCell ref="J95:J96"/>
    <mergeCell ref="K95:K96"/>
    <mergeCell ref="L95:L96"/>
    <mergeCell ref="A79:L79"/>
    <mergeCell ref="A81:A82"/>
    <mergeCell ref="B81:B82"/>
    <mergeCell ref="C81:C82"/>
    <mergeCell ref="E81:I81"/>
    <mergeCell ref="J81:J82"/>
    <mergeCell ref="K81:K82"/>
    <mergeCell ref="L81:L82"/>
    <mergeCell ref="A74:A75"/>
    <mergeCell ref="B74:B75"/>
    <mergeCell ref="C74:C75"/>
    <mergeCell ref="E74:I74"/>
    <mergeCell ref="J74:J75"/>
    <mergeCell ref="K74:K75"/>
    <mergeCell ref="L74:L75"/>
    <mergeCell ref="A59:L59"/>
    <mergeCell ref="A61:A62"/>
    <mergeCell ref="B61:B62"/>
    <mergeCell ref="C61:C62"/>
    <mergeCell ref="E61:I61"/>
    <mergeCell ref="J61:J62"/>
    <mergeCell ref="K61:K62"/>
    <mergeCell ref="L61:L62"/>
    <mergeCell ref="A32:L32"/>
    <mergeCell ref="A34:A35"/>
    <mergeCell ref="B34:B35"/>
    <mergeCell ref="C34:C35"/>
    <mergeCell ref="E34:I34"/>
    <mergeCell ref="J34:J35"/>
    <mergeCell ref="K34:K35"/>
    <mergeCell ref="L34:L35"/>
    <mergeCell ref="A72:L72"/>
    <mergeCell ref="A1:K1"/>
    <mergeCell ref="A2:K2"/>
    <mergeCell ref="A3:K3"/>
    <mergeCell ref="A6:L6"/>
    <mergeCell ref="A8:A9"/>
    <mergeCell ref="B8:B9"/>
    <mergeCell ref="C8:C9"/>
    <mergeCell ref="D8:D9"/>
    <mergeCell ref="E8:I8"/>
    <mergeCell ref="J8:J9"/>
    <mergeCell ref="K8:K9"/>
    <mergeCell ref="L8:L9"/>
  </mergeCells>
  <pageMargins left="0.28000000000000003" right="0.32" top="0.5" bottom="0.28000000000000003" header="0.3" footer="0.3"/>
  <pageSetup paperSize="9" scale="64" orientation="portrait" horizontalDpi="360" verticalDpi="360" r:id="rId1"/>
  <rowBreaks count="5" manualBreakCount="5">
    <brk id="58" max="10" man="1"/>
    <brk id="114" max="10" man="1"/>
    <brk id="167" max="10" man="1"/>
    <brk id="219" max="10" man="1"/>
    <brk id="274" max="10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0">
    <tabColor theme="5" tint="-0.499984740745262"/>
    <pageSetUpPr fitToPage="1"/>
  </sheetPr>
  <dimension ref="A1:R537"/>
  <sheetViews>
    <sheetView view="pageBreakPreview" topLeftCell="A33" zoomScale="80" zoomScaleNormal="100" zoomScaleSheetLayoutView="80" workbookViewId="0">
      <selection activeCell="L336" activeCellId="1" sqref="F308 L336"/>
    </sheetView>
  </sheetViews>
  <sheetFormatPr defaultRowHeight="15.5" x14ac:dyDescent="0.35"/>
  <cols>
    <col min="1" max="1" width="22.81640625" style="95" customWidth="1"/>
    <col min="2" max="2" width="27.453125" style="2" customWidth="1"/>
    <col min="3" max="3" width="11.26953125" style="3" customWidth="1"/>
    <col min="4" max="4" width="10" style="582" hidden="1" customWidth="1"/>
    <col min="5" max="5" width="10.54296875" style="3" customWidth="1"/>
    <col min="6" max="6" width="9.7265625" style="3" customWidth="1"/>
    <col min="7" max="7" width="9.54296875" style="3" customWidth="1"/>
    <col min="8" max="9" width="12.54296875" style="3" customWidth="1"/>
    <col min="10" max="10" width="11.54296875" style="3" customWidth="1"/>
    <col min="11" max="12" width="27.1796875" style="2" customWidth="1"/>
    <col min="13" max="17" width="9.1796875" style="3"/>
    <col min="18" max="18" width="12.1796875" style="3" customWidth="1"/>
    <col min="19" max="238" width="9.1796875" style="3"/>
    <col min="239" max="239" width="13.26953125" style="3" customWidth="1"/>
    <col min="240" max="240" width="27.453125" style="3" customWidth="1"/>
    <col min="241" max="242" width="9.54296875" style="3" customWidth="1"/>
    <col min="243" max="243" width="9.7265625" style="3" customWidth="1"/>
    <col min="244" max="244" width="9.54296875" style="3" customWidth="1"/>
    <col min="245" max="245" width="12.54296875" style="3" customWidth="1"/>
    <col min="246" max="246" width="10" style="3" customWidth="1"/>
    <col min="247" max="247" width="9.7265625" style="3" customWidth="1"/>
    <col min="248" max="250" width="0" style="3" hidden="1" customWidth="1"/>
    <col min="251" max="494" width="9.1796875" style="3"/>
    <col min="495" max="495" width="13.26953125" style="3" customWidth="1"/>
    <col min="496" max="496" width="27.453125" style="3" customWidth="1"/>
    <col min="497" max="498" width="9.54296875" style="3" customWidth="1"/>
    <col min="499" max="499" width="9.7265625" style="3" customWidth="1"/>
    <col min="500" max="500" width="9.54296875" style="3" customWidth="1"/>
    <col min="501" max="501" width="12.54296875" style="3" customWidth="1"/>
    <col min="502" max="502" width="10" style="3" customWidth="1"/>
    <col min="503" max="503" width="9.7265625" style="3" customWidth="1"/>
    <col min="504" max="506" width="0" style="3" hidden="1" customWidth="1"/>
    <col min="507" max="750" width="9.1796875" style="3"/>
    <col min="751" max="751" width="13.26953125" style="3" customWidth="1"/>
    <col min="752" max="752" width="27.453125" style="3" customWidth="1"/>
    <col min="753" max="754" width="9.54296875" style="3" customWidth="1"/>
    <col min="755" max="755" width="9.7265625" style="3" customWidth="1"/>
    <col min="756" max="756" width="9.54296875" style="3" customWidth="1"/>
    <col min="757" max="757" width="12.54296875" style="3" customWidth="1"/>
    <col min="758" max="758" width="10" style="3" customWidth="1"/>
    <col min="759" max="759" width="9.7265625" style="3" customWidth="1"/>
    <col min="760" max="762" width="0" style="3" hidden="1" customWidth="1"/>
    <col min="763" max="1006" width="9.1796875" style="3"/>
    <col min="1007" max="1007" width="13.26953125" style="3" customWidth="1"/>
    <col min="1008" max="1008" width="27.453125" style="3" customWidth="1"/>
    <col min="1009" max="1010" width="9.54296875" style="3" customWidth="1"/>
    <col min="1011" max="1011" width="9.7265625" style="3" customWidth="1"/>
    <col min="1012" max="1012" width="9.54296875" style="3" customWidth="1"/>
    <col min="1013" max="1013" width="12.54296875" style="3" customWidth="1"/>
    <col min="1014" max="1014" width="10" style="3" customWidth="1"/>
    <col min="1015" max="1015" width="9.7265625" style="3" customWidth="1"/>
    <col min="1016" max="1018" width="0" style="3" hidden="1" customWidth="1"/>
    <col min="1019" max="1262" width="9.1796875" style="3"/>
    <col min="1263" max="1263" width="13.26953125" style="3" customWidth="1"/>
    <col min="1264" max="1264" width="27.453125" style="3" customWidth="1"/>
    <col min="1265" max="1266" width="9.54296875" style="3" customWidth="1"/>
    <col min="1267" max="1267" width="9.7265625" style="3" customWidth="1"/>
    <col min="1268" max="1268" width="9.54296875" style="3" customWidth="1"/>
    <col min="1269" max="1269" width="12.54296875" style="3" customWidth="1"/>
    <col min="1270" max="1270" width="10" style="3" customWidth="1"/>
    <col min="1271" max="1271" width="9.7265625" style="3" customWidth="1"/>
    <col min="1272" max="1274" width="0" style="3" hidden="1" customWidth="1"/>
    <col min="1275" max="1518" width="9.1796875" style="3"/>
    <col min="1519" max="1519" width="13.26953125" style="3" customWidth="1"/>
    <col min="1520" max="1520" width="27.453125" style="3" customWidth="1"/>
    <col min="1521" max="1522" width="9.54296875" style="3" customWidth="1"/>
    <col min="1523" max="1523" width="9.7265625" style="3" customWidth="1"/>
    <col min="1524" max="1524" width="9.54296875" style="3" customWidth="1"/>
    <col min="1525" max="1525" width="12.54296875" style="3" customWidth="1"/>
    <col min="1526" max="1526" width="10" style="3" customWidth="1"/>
    <col min="1527" max="1527" width="9.7265625" style="3" customWidth="1"/>
    <col min="1528" max="1530" width="0" style="3" hidden="1" customWidth="1"/>
    <col min="1531" max="1774" width="9.1796875" style="3"/>
    <col min="1775" max="1775" width="13.26953125" style="3" customWidth="1"/>
    <col min="1776" max="1776" width="27.453125" style="3" customWidth="1"/>
    <col min="1777" max="1778" width="9.54296875" style="3" customWidth="1"/>
    <col min="1779" max="1779" width="9.7265625" style="3" customWidth="1"/>
    <col min="1780" max="1780" width="9.54296875" style="3" customWidth="1"/>
    <col min="1781" max="1781" width="12.54296875" style="3" customWidth="1"/>
    <col min="1782" max="1782" width="10" style="3" customWidth="1"/>
    <col min="1783" max="1783" width="9.7265625" style="3" customWidth="1"/>
    <col min="1784" max="1786" width="0" style="3" hidden="1" customWidth="1"/>
    <col min="1787" max="2030" width="9.1796875" style="3"/>
    <col min="2031" max="2031" width="13.26953125" style="3" customWidth="1"/>
    <col min="2032" max="2032" width="27.453125" style="3" customWidth="1"/>
    <col min="2033" max="2034" width="9.54296875" style="3" customWidth="1"/>
    <col min="2035" max="2035" width="9.7265625" style="3" customWidth="1"/>
    <col min="2036" max="2036" width="9.54296875" style="3" customWidth="1"/>
    <col min="2037" max="2037" width="12.54296875" style="3" customWidth="1"/>
    <col min="2038" max="2038" width="10" style="3" customWidth="1"/>
    <col min="2039" max="2039" width="9.7265625" style="3" customWidth="1"/>
    <col min="2040" max="2042" width="0" style="3" hidden="1" customWidth="1"/>
    <col min="2043" max="2286" width="9.1796875" style="3"/>
    <col min="2287" max="2287" width="13.26953125" style="3" customWidth="1"/>
    <col min="2288" max="2288" width="27.453125" style="3" customWidth="1"/>
    <col min="2289" max="2290" width="9.54296875" style="3" customWidth="1"/>
    <col min="2291" max="2291" width="9.7265625" style="3" customWidth="1"/>
    <col min="2292" max="2292" width="9.54296875" style="3" customWidth="1"/>
    <col min="2293" max="2293" width="12.54296875" style="3" customWidth="1"/>
    <col min="2294" max="2294" width="10" style="3" customWidth="1"/>
    <col min="2295" max="2295" width="9.7265625" style="3" customWidth="1"/>
    <col min="2296" max="2298" width="0" style="3" hidden="1" customWidth="1"/>
    <col min="2299" max="2542" width="9.1796875" style="3"/>
    <col min="2543" max="2543" width="13.26953125" style="3" customWidth="1"/>
    <col min="2544" max="2544" width="27.453125" style="3" customWidth="1"/>
    <col min="2545" max="2546" width="9.54296875" style="3" customWidth="1"/>
    <col min="2547" max="2547" width="9.7265625" style="3" customWidth="1"/>
    <col min="2548" max="2548" width="9.54296875" style="3" customWidth="1"/>
    <col min="2549" max="2549" width="12.54296875" style="3" customWidth="1"/>
    <col min="2550" max="2550" width="10" style="3" customWidth="1"/>
    <col min="2551" max="2551" width="9.7265625" style="3" customWidth="1"/>
    <col min="2552" max="2554" width="0" style="3" hidden="1" customWidth="1"/>
    <col min="2555" max="2798" width="9.1796875" style="3"/>
    <col min="2799" max="2799" width="13.26953125" style="3" customWidth="1"/>
    <col min="2800" max="2800" width="27.453125" style="3" customWidth="1"/>
    <col min="2801" max="2802" width="9.54296875" style="3" customWidth="1"/>
    <col min="2803" max="2803" width="9.7265625" style="3" customWidth="1"/>
    <col min="2804" max="2804" width="9.54296875" style="3" customWidth="1"/>
    <col min="2805" max="2805" width="12.54296875" style="3" customWidth="1"/>
    <col min="2806" max="2806" width="10" style="3" customWidth="1"/>
    <col min="2807" max="2807" width="9.7265625" style="3" customWidth="1"/>
    <col min="2808" max="2810" width="0" style="3" hidden="1" customWidth="1"/>
    <col min="2811" max="3054" width="9.1796875" style="3"/>
    <col min="3055" max="3055" width="13.26953125" style="3" customWidth="1"/>
    <col min="3056" max="3056" width="27.453125" style="3" customWidth="1"/>
    <col min="3057" max="3058" width="9.54296875" style="3" customWidth="1"/>
    <col min="3059" max="3059" width="9.7265625" style="3" customWidth="1"/>
    <col min="3060" max="3060" width="9.54296875" style="3" customWidth="1"/>
    <col min="3061" max="3061" width="12.54296875" style="3" customWidth="1"/>
    <col min="3062" max="3062" width="10" style="3" customWidth="1"/>
    <col min="3063" max="3063" width="9.7265625" style="3" customWidth="1"/>
    <col min="3064" max="3066" width="0" style="3" hidden="1" customWidth="1"/>
    <col min="3067" max="3310" width="9.1796875" style="3"/>
    <col min="3311" max="3311" width="13.26953125" style="3" customWidth="1"/>
    <col min="3312" max="3312" width="27.453125" style="3" customWidth="1"/>
    <col min="3313" max="3314" width="9.54296875" style="3" customWidth="1"/>
    <col min="3315" max="3315" width="9.7265625" style="3" customWidth="1"/>
    <col min="3316" max="3316" width="9.54296875" style="3" customWidth="1"/>
    <col min="3317" max="3317" width="12.54296875" style="3" customWidth="1"/>
    <col min="3318" max="3318" width="10" style="3" customWidth="1"/>
    <col min="3319" max="3319" width="9.7265625" style="3" customWidth="1"/>
    <col min="3320" max="3322" width="0" style="3" hidden="1" customWidth="1"/>
    <col min="3323" max="3566" width="9.1796875" style="3"/>
    <col min="3567" max="3567" width="13.26953125" style="3" customWidth="1"/>
    <col min="3568" max="3568" width="27.453125" style="3" customWidth="1"/>
    <col min="3569" max="3570" width="9.54296875" style="3" customWidth="1"/>
    <col min="3571" max="3571" width="9.7265625" style="3" customWidth="1"/>
    <col min="3572" max="3572" width="9.54296875" style="3" customWidth="1"/>
    <col min="3573" max="3573" width="12.54296875" style="3" customWidth="1"/>
    <col min="3574" max="3574" width="10" style="3" customWidth="1"/>
    <col min="3575" max="3575" width="9.7265625" style="3" customWidth="1"/>
    <col min="3576" max="3578" width="0" style="3" hidden="1" customWidth="1"/>
    <col min="3579" max="3822" width="9.1796875" style="3"/>
    <col min="3823" max="3823" width="13.26953125" style="3" customWidth="1"/>
    <col min="3824" max="3824" width="27.453125" style="3" customWidth="1"/>
    <col min="3825" max="3826" width="9.54296875" style="3" customWidth="1"/>
    <col min="3827" max="3827" width="9.7265625" style="3" customWidth="1"/>
    <col min="3828" max="3828" width="9.54296875" style="3" customWidth="1"/>
    <col min="3829" max="3829" width="12.54296875" style="3" customWidth="1"/>
    <col min="3830" max="3830" width="10" style="3" customWidth="1"/>
    <col min="3831" max="3831" width="9.7265625" style="3" customWidth="1"/>
    <col min="3832" max="3834" width="0" style="3" hidden="1" customWidth="1"/>
    <col min="3835" max="4078" width="9.1796875" style="3"/>
    <col min="4079" max="4079" width="13.26953125" style="3" customWidth="1"/>
    <col min="4080" max="4080" width="27.453125" style="3" customWidth="1"/>
    <col min="4081" max="4082" width="9.54296875" style="3" customWidth="1"/>
    <col min="4083" max="4083" width="9.7265625" style="3" customWidth="1"/>
    <col min="4084" max="4084" width="9.54296875" style="3" customWidth="1"/>
    <col min="4085" max="4085" width="12.54296875" style="3" customWidth="1"/>
    <col min="4086" max="4086" width="10" style="3" customWidth="1"/>
    <col min="4087" max="4087" width="9.7265625" style="3" customWidth="1"/>
    <col min="4088" max="4090" width="0" style="3" hidden="1" customWidth="1"/>
    <col min="4091" max="4334" width="9.1796875" style="3"/>
    <col min="4335" max="4335" width="13.26953125" style="3" customWidth="1"/>
    <col min="4336" max="4336" width="27.453125" style="3" customWidth="1"/>
    <col min="4337" max="4338" width="9.54296875" style="3" customWidth="1"/>
    <col min="4339" max="4339" width="9.7265625" style="3" customWidth="1"/>
    <col min="4340" max="4340" width="9.54296875" style="3" customWidth="1"/>
    <col min="4341" max="4341" width="12.54296875" style="3" customWidth="1"/>
    <col min="4342" max="4342" width="10" style="3" customWidth="1"/>
    <col min="4343" max="4343" width="9.7265625" style="3" customWidth="1"/>
    <col min="4344" max="4346" width="0" style="3" hidden="1" customWidth="1"/>
    <col min="4347" max="4590" width="9.1796875" style="3"/>
    <col min="4591" max="4591" width="13.26953125" style="3" customWidth="1"/>
    <col min="4592" max="4592" width="27.453125" style="3" customWidth="1"/>
    <col min="4593" max="4594" width="9.54296875" style="3" customWidth="1"/>
    <col min="4595" max="4595" width="9.7265625" style="3" customWidth="1"/>
    <col min="4596" max="4596" width="9.54296875" style="3" customWidth="1"/>
    <col min="4597" max="4597" width="12.54296875" style="3" customWidth="1"/>
    <col min="4598" max="4598" width="10" style="3" customWidth="1"/>
    <col min="4599" max="4599" width="9.7265625" style="3" customWidth="1"/>
    <col min="4600" max="4602" width="0" style="3" hidden="1" customWidth="1"/>
    <col min="4603" max="4846" width="9.1796875" style="3"/>
    <col min="4847" max="4847" width="13.26953125" style="3" customWidth="1"/>
    <col min="4848" max="4848" width="27.453125" style="3" customWidth="1"/>
    <col min="4849" max="4850" width="9.54296875" style="3" customWidth="1"/>
    <col min="4851" max="4851" width="9.7265625" style="3" customWidth="1"/>
    <col min="4852" max="4852" width="9.54296875" style="3" customWidth="1"/>
    <col min="4853" max="4853" width="12.54296875" style="3" customWidth="1"/>
    <col min="4854" max="4854" width="10" style="3" customWidth="1"/>
    <col min="4855" max="4855" width="9.7265625" style="3" customWidth="1"/>
    <col min="4856" max="4858" width="0" style="3" hidden="1" customWidth="1"/>
    <col min="4859" max="5102" width="9.1796875" style="3"/>
    <col min="5103" max="5103" width="13.26953125" style="3" customWidth="1"/>
    <col min="5104" max="5104" width="27.453125" style="3" customWidth="1"/>
    <col min="5105" max="5106" width="9.54296875" style="3" customWidth="1"/>
    <col min="5107" max="5107" width="9.7265625" style="3" customWidth="1"/>
    <col min="5108" max="5108" width="9.54296875" style="3" customWidth="1"/>
    <col min="5109" max="5109" width="12.54296875" style="3" customWidth="1"/>
    <col min="5110" max="5110" width="10" style="3" customWidth="1"/>
    <col min="5111" max="5111" width="9.7265625" style="3" customWidth="1"/>
    <col min="5112" max="5114" width="0" style="3" hidden="1" customWidth="1"/>
    <col min="5115" max="5358" width="9.1796875" style="3"/>
    <col min="5359" max="5359" width="13.26953125" style="3" customWidth="1"/>
    <col min="5360" max="5360" width="27.453125" style="3" customWidth="1"/>
    <col min="5361" max="5362" width="9.54296875" style="3" customWidth="1"/>
    <col min="5363" max="5363" width="9.7265625" style="3" customWidth="1"/>
    <col min="5364" max="5364" width="9.54296875" style="3" customWidth="1"/>
    <col min="5365" max="5365" width="12.54296875" style="3" customWidth="1"/>
    <col min="5366" max="5366" width="10" style="3" customWidth="1"/>
    <col min="5367" max="5367" width="9.7265625" style="3" customWidth="1"/>
    <col min="5368" max="5370" width="0" style="3" hidden="1" customWidth="1"/>
    <col min="5371" max="5614" width="9.1796875" style="3"/>
    <col min="5615" max="5615" width="13.26953125" style="3" customWidth="1"/>
    <col min="5616" max="5616" width="27.453125" style="3" customWidth="1"/>
    <col min="5617" max="5618" width="9.54296875" style="3" customWidth="1"/>
    <col min="5619" max="5619" width="9.7265625" style="3" customWidth="1"/>
    <col min="5620" max="5620" width="9.54296875" style="3" customWidth="1"/>
    <col min="5621" max="5621" width="12.54296875" style="3" customWidth="1"/>
    <col min="5622" max="5622" width="10" style="3" customWidth="1"/>
    <col min="5623" max="5623" width="9.7265625" style="3" customWidth="1"/>
    <col min="5624" max="5626" width="0" style="3" hidden="1" customWidth="1"/>
    <col min="5627" max="5870" width="9.1796875" style="3"/>
    <col min="5871" max="5871" width="13.26953125" style="3" customWidth="1"/>
    <col min="5872" max="5872" width="27.453125" style="3" customWidth="1"/>
    <col min="5873" max="5874" width="9.54296875" style="3" customWidth="1"/>
    <col min="5875" max="5875" width="9.7265625" style="3" customWidth="1"/>
    <col min="5876" max="5876" width="9.54296875" style="3" customWidth="1"/>
    <col min="5877" max="5877" width="12.54296875" style="3" customWidth="1"/>
    <col min="5878" max="5878" width="10" style="3" customWidth="1"/>
    <col min="5879" max="5879" width="9.7265625" style="3" customWidth="1"/>
    <col min="5880" max="5882" width="0" style="3" hidden="1" customWidth="1"/>
    <col min="5883" max="6126" width="9.1796875" style="3"/>
    <col min="6127" max="6127" width="13.26953125" style="3" customWidth="1"/>
    <col min="6128" max="6128" width="27.453125" style="3" customWidth="1"/>
    <col min="6129" max="6130" width="9.54296875" style="3" customWidth="1"/>
    <col min="6131" max="6131" width="9.7265625" style="3" customWidth="1"/>
    <col min="6132" max="6132" width="9.54296875" style="3" customWidth="1"/>
    <col min="6133" max="6133" width="12.54296875" style="3" customWidth="1"/>
    <col min="6134" max="6134" width="10" style="3" customWidth="1"/>
    <col min="6135" max="6135" width="9.7265625" style="3" customWidth="1"/>
    <col min="6136" max="6138" width="0" style="3" hidden="1" customWidth="1"/>
    <col min="6139" max="6382" width="9.1796875" style="3"/>
    <col min="6383" max="6383" width="13.26953125" style="3" customWidth="1"/>
    <col min="6384" max="6384" width="27.453125" style="3" customWidth="1"/>
    <col min="6385" max="6386" width="9.54296875" style="3" customWidth="1"/>
    <col min="6387" max="6387" width="9.7265625" style="3" customWidth="1"/>
    <col min="6388" max="6388" width="9.54296875" style="3" customWidth="1"/>
    <col min="6389" max="6389" width="12.54296875" style="3" customWidth="1"/>
    <col min="6390" max="6390" width="10" style="3" customWidth="1"/>
    <col min="6391" max="6391" width="9.7265625" style="3" customWidth="1"/>
    <col min="6392" max="6394" width="0" style="3" hidden="1" customWidth="1"/>
    <col min="6395" max="6638" width="9.1796875" style="3"/>
    <col min="6639" max="6639" width="13.26953125" style="3" customWidth="1"/>
    <col min="6640" max="6640" width="27.453125" style="3" customWidth="1"/>
    <col min="6641" max="6642" width="9.54296875" style="3" customWidth="1"/>
    <col min="6643" max="6643" width="9.7265625" style="3" customWidth="1"/>
    <col min="6644" max="6644" width="9.54296875" style="3" customWidth="1"/>
    <col min="6645" max="6645" width="12.54296875" style="3" customWidth="1"/>
    <col min="6646" max="6646" width="10" style="3" customWidth="1"/>
    <col min="6647" max="6647" width="9.7265625" style="3" customWidth="1"/>
    <col min="6648" max="6650" width="0" style="3" hidden="1" customWidth="1"/>
    <col min="6651" max="6894" width="9.1796875" style="3"/>
    <col min="6895" max="6895" width="13.26953125" style="3" customWidth="1"/>
    <col min="6896" max="6896" width="27.453125" style="3" customWidth="1"/>
    <col min="6897" max="6898" width="9.54296875" style="3" customWidth="1"/>
    <col min="6899" max="6899" width="9.7265625" style="3" customWidth="1"/>
    <col min="6900" max="6900" width="9.54296875" style="3" customWidth="1"/>
    <col min="6901" max="6901" width="12.54296875" style="3" customWidth="1"/>
    <col min="6902" max="6902" width="10" style="3" customWidth="1"/>
    <col min="6903" max="6903" width="9.7265625" style="3" customWidth="1"/>
    <col min="6904" max="6906" width="0" style="3" hidden="1" customWidth="1"/>
    <col min="6907" max="7150" width="9.1796875" style="3"/>
    <col min="7151" max="7151" width="13.26953125" style="3" customWidth="1"/>
    <col min="7152" max="7152" width="27.453125" style="3" customWidth="1"/>
    <col min="7153" max="7154" width="9.54296875" style="3" customWidth="1"/>
    <col min="7155" max="7155" width="9.7265625" style="3" customWidth="1"/>
    <col min="7156" max="7156" width="9.54296875" style="3" customWidth="1"/>
    <col min="7157" max="7157" width="12.54296875" style="3" customWidth="1"/>
    <col min="7158" max="7158" width="10" style="3" customWidth="1"/>
    <col min="7159" max="7159" width="9.7265625" style="3" customWidth="1"/>
    <col min="7160" max="7162" width="0" style="3" hidden="1" customWidth="1"/>
    <col min="7163" max="7406" width="9.1796875" style="3"/>
    <col min="7407" max="7407" width="13.26953125" style="3" customWidth="1"/>
    <col min="7408" max="7408" width="27.453125" style="3" customWidth="1"/>
    <col min="7409" max="7410" width="9.54296875" style="3" customWidth="1"/>
    <col min="7411" max="7411" width="9.7265625" style="3" customWidth="1"/>
    <col min="7412" max="7412" width="9.54296875" style="3" customWidth="1"/>
    <col min="7413" max="7413" width="12.54296875" style="3" customWidth="1"/>
    <col min="7414" max="7414" width="10" style="3" customWidth="1"/>
    <col min="7415" max="7415" width="9.7265625" style="3" customWidth="1"/>
    <col min="7416" max="7418" width="0" style="3" hidden="1" customWidth="1"/>
    <col min="7419" max="7662" width="9.1796875" style="3"/>
    <col min="7663" max="7663" width="13.26953125" style="3" customWidth="1"/>
    <col min="7664" max="7664" width="27.453125" style="3" customWidth="1"/>
    <col min="7665" max="7666" width="9.54296875" style="3" customWidth="1"/>
    <col min="7667" max="7667" width="9.7265625" style="3" customWidth="1"/>
    <col min="7668" max="7668" width="9.54296875" style="3" customWidth="1"/>
    <col min="7669" max="7669" width="12.54296875" style="3" customWidth="1"/>
    <col min="7670" max="7670" width="10" style="3" customWidth="1"/>
    <col min="7671" max="7671" width="9.7265625" style="3" customWidth="1"/>
    <col min="7672" max="7674" width="0" style="3" hidden="1" customWidth="1"/>
    <col min="7675" max="7918" width="9.1796875" style="3"/>
    <col min="7919" max="7919" width="13.26953125" style="3" customWidth="1"/>
    <col min="7920" max="7920" width="27.453125" style="3" customWidth="1"/>
    <col min="7921" max="7922" width="9.54296875" style="3" customWidth="1"/>
    <col min="7923" max="7923" width="9.7265625" style="3" customWidth="1"/>
    <col min="7924" max="7924" width="9.54296875" style="3" customWidth="1"/>
    <col min="7925" max="7925" width="12.54296875" style="3" customWidth="1"/>
    <col min="7926" max="7926" width="10" style="3" customWidth="1"/>
    <col min="7927" max="7927" width="9.7265625" style="3" customWidth="1"/>
    <col min="7928" max="7930" width="0" style="3" hidden="1" customWidth="1"/>
    <col min="7931" max="8174" width="9.1796875" style="3"/>
    <col min="8175" max="8175" width="13.26953125" style="3" customWidth="1"/>
    <col min="8176" max="8176" width="27.453125" style="3" customWidth="1"/>
    <col min="8177" max="8178" width="9.54296875" style="3" customWidth="1"/>
    <col min="8179" max="8179" width="9.7265625" style="3" customWidth="1"/>
    <col min="8180" max="8180" width="9.54296875" style="3" customWidth="1"/>
    <col min="8181" max="8181" width="12.54296875" style="3" customWidth="1"/>
    <col min="8182" max="8182" width="10" style="3" customWidth="1"/>
    <col min="8183" max="8183" width="9.7265625" style="3" customWidth="1"/>
    <col min="8184" max="8186" width="0" style="3" hidden="1" customWidth="1"/>
    <col min="8187" max="8430" width="9.1796875" style="3"/>
    <col min="8431" max="8431" width="13.26953125" style="3" customWidth="1"/>
    <col min="8432" max="8432" width="27.453125" style="3" customWidth="1"/>
    <col min="8433" max="8434" width="9.54296875" style="3" customWidth="1"/>
    <col min="8435" max="8435" width="9.7265625" style="3" customWidth="1"/>
    <col min="8436" max="8436" width="9.54296875" style="3" customWidth="1"/>
    <col min="8437" max="8437" width="12.54296875" style="3" customWidth="1"/>
    <col min="8438" max="8438" width="10" style="3" customWidth="1"/>
    <col min="8439" max="8439" width="9.7265625" style="3" customWidth="1"/>
    <col min="8440" max="8442" width="0" style="3" hidden="1" customWidth="1"/>
    <col min="8443" max="8686" width="9.1796875" style="3"/>
    <col min="8687" max="8687" width="13.26953125" style="3" customWidth="1"/>
    <col min="8688" max="8688" width="27.453125" style="3" customWidth="1"/>
    <col min="8689" max="8690" width="9.54296875" style="3" customWidth="1"/>
    <col min="8691" max="8691" width="9.7265625" style="3" customWidth="1"/>
    <col min="8692" max="8692" width="9.54296875" style="3" customWidth="1"/>
    <col min="8693" max="8693" width="12.54296875" style="3" customWidth="1"/>
    <col min="8694" max="8694" width="10" style="3" customWidth="1"/>
    <col min="8695" max="8695" width="9.7265625" style="3" customWidth="1"/>
    <col min="8696" max="8698" width="0" style="3" hidden="1" customWidth="1"/>
    <col min="8699" max="8942" width="9.1796875" style="3"/>
    <col min="8943" max="8943" width="13.26953125" style="3" customWidth="1"/>
    <col min="8944" max="8944" width="27.453125" style="3" customWidth="1"/>
    <col min="8945" max="8946" width="9.54296875" style="3" customWidth="1"/>
    <col min="8947" max="8947" width="9.7265625" style="3" customWidth="1"/>
    <col min="8948" max="8948" width="9.54296875" style="3" customWidth="1"/>
    <col min="8949" max="8949" width="12.54296875" style="3" customWidth="1"/>
    <col min="8950" max="8950" width="10" style="3" customWidth="1"/>
    <col min="8951" max="8951" width="9.7265625" style="3" customWidth="1"/>
    <col min="8952" max="8954" width="0" style="3" hidden="1" customWidth="1"/>
    <col min="8955" max="9198" width="9.1796875" style="3"/>
    <col min="9199" max="9199" width="13.26953125" style="3" customWidth="1"/>
    <col min="9200" max="9200" width="27.453125" style="3" customWidth="1"/>
    <col min="9201" max="9202" width="9.54296875" style="3" customWidth="1"/>
    <col min="9203" max="9203" width="9.7265625" style="3" customWidth="1"/>
    <col min="9204" max="9204" width="9.54296875" style="3" customWidth="1"/>
    <col min="9205" max="9205" width="12.54296875" style="3" customWidth="1"/>
    <col min="9206" max="9206" width="10" style="3" customWidth="1"/>
    <col min="9207" max="9207" width="9.7265625" style="3" customWidth="1"/>
    <col min="9208" max="9210" width="0" style="3" hidden="1" customWidth="1"/>
    <col min="9211" max="9454" width="9.1796875" style="3"/>
    <col min="9455" max="9455" width="13.26953125" style="3" customWidth="1"/>
    <col min="9456" max="9456" width="27.453125" style="3" customWidth="1"/>
    <col min="9457" max="9458" width="9.54296875" style="3" customWidth="1"/>
    <col min="9459" max="9459" width="9.7265625" style="3" customWidth="1"/>
    <col min="9460" max="9460" width="9.54296875" style="3" customWidth="1"/>
    <col min="9461" max="9461" width="12.54296875" style="3" customWidth="1"/>
    <col min="9462" max="9462" width="10" style="3" customWidth="1"/>
    <col min="9463" max="9463" width="9.7265625" style="3" customWidth="1"/>
    <col min="9464" max="9466" width="0" style="3" hidden="1" customWidth="1"/>
    <col min="9467" max="9710" width="9.1796875" style="3"/>
    <col min="9711" max="9711" width="13.26953125" style="3" customWidth="1"/>
    <col min="9712" max="9712" width="27.453125" style="3" customWidth="1"/>
    <col min="9713" max="9714" width="9.54296875" style="3" customWidth="1"/>
    <col min="9715" max="9715" width="9.7265625" style="3" customWidth="1"/>
    <col min="9716" max="9716" width="9.54296875" style="3" customWidth="1"/>
    <col min="9717" max="9717" width="12.54296875" style="3" customWidth="1"/>
    <col min="9718" max="9718" width="10" style="3" customWidth="1"/>
    <col min="9719" max="9719" width="9.7265625" style="3" customWidth="1"/>
    <col min="9720" max="9722" width="0" style="3" hidden="1" customWidth="1"/>
    <col min="9723" max="9966" width="9.1796875" style="3"/>
    <col min="9967" max="9967" width="13.26953125" style="3" customWidth="1"/>
    <col min="9968" max="9968" width="27.453125" style="3" customWidth="1"/>
    <col min="9969" max="9970" width="9.54296875" style="3" customWidth="1"/>
    <col min="9971" max="9971" width="9.7265625" style="3" customWidth="1"/>
    <col min="9972" max="9972" width="9.54296875" style="3" customWidth="1"/>
    <col min="9973" max="9973" width="12.54296875" style="3" customWidth="1"/>
    <col min="9974" max="9974" width="10" style="3" customWidth="1"/>
    <col min="9975" max="9975" width="9.7265625" style="3" customWidth="1"/>
    <col min="9976" max="9978" width="0" style="3" hidden="1" customWidth="1"/>
    <col min="9979" max="10222" width="9.1796875" style="3"/>
    <col min="10223" max="10223" width="13.26953125" style="3" customWidth="1"/>
    <col min="10224" max="10224" width="27.453125" style="3" customWidth="1"/>
    <col min="10225" max="10226" width="9.54296875" style="3" customWidth="1"/>
    <col min="10227" max="10227" width="9.7265625" style="3" customWidth="1"/>
    <col min="10228" max="10228" width="9.54296875" style="3" customWidth="1"/>
    <col min="10229" max="10229" width="12.54296875" style="3" customWidth="1"/>
    <col min="10230" max="10230" width="10" style="3" customWidth="1"/>
    <col min="10231" max="10231" width="9.7265625" style="3" customWidth="1"/>
    <col min="10232" max="10234" width="0" style="3" hidden="1" customWidth="1"/>
    <col min="10235" max="10478" width="9.1796875" style="3"/>
    <col min="10479" max="10479" width="13.26953125" style="3" customWidth="1"/>
    <col min="10480" max="10480" width="27.453125" style="3" customWidth="1"/>
    <col min="10481" max="10482" width="9.54296875" style="3" customWidth="1"/>
    <col min="10483" max="10483" width="9.7265625" style="3" customWidth="1"/>
    <col min="10484" max="10484" width="9.54296875" style="3" customWidth="1"/>
    <col min="10485" max="10485" width="12.54296875" style="3" customWidth="1"/>
    <col min="10486" max="10486" width="10" style="3" customWidth="1"/>
    <col min="10487" max="10487" width="9.7265625" style="3" customWidth="1"/>
    <col min="10488" max="10490" width="0" style="3" hidden="1" customWidth="1"/>
    <col min="10491" max="10734" width="9.1796875" style="3"/>
    <col min="10735" max="10735" width="13.26953125" style="3" customWidth="1"/>
    <col min="10736" max="10736" width="27.453125" style="3" customWidth="1"/>
    <col min="10737" max="10738" width="9.54296875" style="3" customWidth="1"/>
    <col min="10739" max="10739" width="9.7265625" style="3" customWidth="1"/>
    <col min="10740" max="10740" width="9.54296875" style="3" customWidth="1"/>
    <col min="10741" max="10741" width="12.54296875" style="3" customWidth="1"/>
    <col min="10742" max="10742" width="10" style="3" customWidth="1"/>
    <col min="10743" max="10743" width="9.7265625" style="3" customWidth="1"/>
    <col min="10744" max="10746" width="0" style="3" hidden="1" customWidth="1"/>
    <col min="10747" max="10990" width="9.1796875" style="3"/>
    <col min="10991" max="10991" width="13.26953125" style="3" customWidth="1"/>
    <col min="10992" max="10992" width="27.453125" style="3" customWidth="1"/>
    <col min="10993" max="10994" width="9.54296875" style="3" customWidth="1"/>
    <col min="10995" max="10995" width="9.7265625" style="3" customWidth="1"/>
    <col min="10996" max="10996" width="9.54296875" style="3" customWidth="1"/>
    <col min="10997" max="10997" width="12.54296875" style="3" customWidth="1"/>
    <col min="10998" max="10998" width="10" style="3" customWidth="1"/>
    <col min="10999" max="10999" width="9.7265625" style="3" customWidth="1"/>
    <col min="11000" max="11002" width="0" style="3" hidden="1" customWidth="1"/>
    <col min="11003" max="11246" width="9.1796875" style="3"/>
    <col min="11247" max="11247" width="13.26953125" style="3" customWidth="1"/>
    <col min="11248" max="11248" width="27.453125" style="3" customWidth="1"/>
    <col min="11249" max="11250" width="9.54296875" style="3" customWidth="1"/>
    <col min="11251" max="11251" width="9.7265625" style="3" customWidth="1"/>
    <col min="11252" max="11252" width="9.54296875" style="3" customWidth="1"/>
    <col min="11253" max="11253" width="12.54296875" style="3" customWidth="1"/>
    <col min="11254" max="11254" width="10" style="3" customWidth="1"/>
    <col min="11255" max="11255" width="9.7265625" style="3" customWidth="1"/>
    <col min="11256" max="11258" width="0" style="3" hidden="1" customWidth="1"/>
    <col min="11259" max="11502" width="9.1796875" style="3"/>
    <col min="11503" max="11503" width="13.26953125" style="3" customWidth="1"/>
    <col min="11504" max="11504" width="27.453125" style="3" customWidth="1"/>
    <col min="11505" max="11506" width="9.54296875" style="3" customWidth="1"/>
    <col min="11507" max="11507" width="9.7265625" style="3" customWidth="1"/>
    <col min="11508" max="11508" width="9.54296875" style="3" customWidth="1"/>
    <col min="11509" max="11509" width="12.54296875" style="3" customWidth="1"/>
    <col min="11510" max="11510" width="10" style="3" customWidth="1"/>
    <col min="11511" max="11511" width="9.7265625" style="3" customWidth="1"/>
    <col min="11512" max="11514" width="0" style="3" hidden="1" customWidth="1"/>
    <col min="11515" max="11758" width="9.1796875" style="3"/>
    <col min="11759" max="11759" width="13.26953125" style="3" customWidth="1"/>
    <col min="11760" max="11760" width="27.453125" style="3" customWidth="1"/>
    <col min="11761" max="11762" width="9.54296875" style="3" customWidth="1"/>
    <col min="11763" max="11763" width="9.7265625" style="3" customWidth="1"/>
    <col min="11764" max="11764" width="9.54296875" style="3" customWidth="1"/>
    <col min="11765" max="11765" width="12.54296875" style="3" customWidth="1"/>
    <col min="11766" max="11766" width="10" style="3" customWidth="1"/>
    <col min="11767" max="11767" width="9.7265625" style="3" customWidth="1"/>
    <col min="11768" max="11770" width="0" style="3" hidden="1" customWidth="1"/>
    <col min="11771" max="12014" width="9.1796875" style="3"/>
    <col min="12015" max="12015" width="13.26953125" style="3" customWidth="1"/>
    <col min="12016" max="12016" width="27.453125" style="3" customWidth="1"/>
    <col min="12017" max="12018" width="9.54296875" style="3" customWidth="1"/>
    <col min="12019" max="12019" width="9.7265625" style="3" customWidth="1"/>
    <col min="12020" max="12020" width="9.54296875" style="3" customWidth="1"/>
    <col min="12021" max="12021" width="12.54296875" style="3" customWidth="1"/>
    <col min="12022" max="12022" width="10" style="3" customWidth="1"/>
    <col min="12023" max="12023" width="9.7265625" style="3" customWidth="1"/>
    <col min="12024" max="12026" width="0" style="3" hidden="1" customWidth="1"/>
    <col min="12027" max="12270" width="9.1796875" style="3"/>
    <col min="12271" max="12271" width="13.26953125" style="3" customWidth="1"/>
    <col min="12272" max="12272" width="27.453125" style="3" customWidth="1"/>
    <col min="12273" max="12274" width="9.54296875" style="3" customWidth="1"/>
    <col min="12275" max="12275" width="9.7265625" style="3" customWidth="1"/>
    <col min="12276" max="12276" width="9.54296875" style="3" customWidth="1"/>
    <col min="12277" max="12277" width="12.54296875" style="3" customWidth="1"/>
    <col min="12278" max="12278" width="10" style="3" customWidth="1"/>
    <col min="12279" max="12279" width="9.7265625" style="3" customWidth="1"/>
    <col min="12280" max="12282" width="0" style="3" hidden="1" customWidth="1"/>
    <col min="12283" max="12526" width="9.1796875" style="3"/>
    <col min="12527" max="12527" width="13.26953125" style="3" customWidth="1"/>
    <col min="12528" max="12528" width="27.453125" style="3" customWidth="1"/>
    <col min="12529" max="12530" width="9.54296875" style="3" customWidth="1"/>
    <col min="12531" max="12531" width="9.7265625" style="3" customWidth="1"/>
    <col min="12532" max="12532" width="9.54296875" style="3" customWidth="1"/>
    <col min="12533" max="12533" width="12.54296875" style="3" customWidth="1"/>
    <col min="12534" max="12534" width="10" style="3" customWidth="1"/>
    <col min="12535" max="12535" width="9.7265625" style="3" customWidth="1"/>
    <col min="12536" max="12538" width="0" style="3" hidden="1" customWidth="1"/>
    <col min="12539" max="12782" width="9.1796875" style="3"/>
    <col min="12783" max="12783" width="13.26953125" style="3" customWidth="1"/>
    <col min="12784" max="12784" width="27.453125" style="3" customWidth="1"/>
    <col min="12785" max="12786" width="9.54296875" style="3" customWidth="1"/>
    <col min="12787" max="12787" width="9.7265625" style="3" customWidth="1"/>
    <col min="12788" max="12788" width="9.54296875" style="3" customWidth="1"/>
    <col min="12789" max="12789" width="12.54296875" style="3" customWidth="1"/>
    <col min="12790" max="12790" width="10" style="3" customWidth="1"/>
    <col min="12791" max="12791" width="9.7265625" style="3" customWidth="1"/>
    <col min="12792" max="12794" width="0" style="3" hidden="1" customWidth="1"/>
    <col min="12795" max="13038" width="9.1796875" style="3"/>
    <col min="13039" max="13039" width="13.26953125" style="3" customWidth="1"/>
    <col min="13040" max="13040" width="27.453125" style="3" customWidth="1"/>
    <col min="13041" max="13042" width="9.54296875" style="3" customWidth="1"/>
    <col min="13043" max="13043" width="9.7265625" style="3" customWidth="1"/>
    <col min="13044" max="13044" width="9.54296875" style="3" customWidth="1"/>
    <col min="13045" max="13045" width="12.54296875" style="3" customWidth="1"/>
    <col min="13046" max="13046" width="10" style="3" customWidth="1"/>
    <col min="13047" max="13047" width="9.7265625" style="3" customWidth="1"/>
    <col min="13048" max="13050" width="0" style="3" hidden="1" customWidth="1"/>
    <col min="13051" max="13294" width="9.1796875" style="3"/>
    <col min="13295" max="13295" width="13.26953125" style="3" customWidth="1"/>
    <col min="13296" max="13296" width="27.453125" style="3" customWidth="1"/>
    <col min="13297" max="13298" width="9.54296875" style="3" customWidth="1"/>
    <col min="13299" max="13299" width="9.7265625" style="3" customWidth="1"/>
    <col min="13300" max="13300" width="9.54296875" style="3" customWidth="1"/>
    <col min="13301" max="13301" width="12.54296875" style="3" customWidth="1"/>
    <col min="13302" max="13302" width="10" style="3" customWidth="1"/>
    <col min="13303" max="13303" width="9.7265625" style="3" customWidth="1"/>
    <col min="13304" max="13306" width="0" style="3" hidden="1" customWidth="1"/>
    <col min="13307" max="13550" width="9.1796875" style="3"/>
    <col min="13551" max="13551" width="13.26953125" style="3" customWidth="1"/>
    <col min="13552" max="13552" width="27.453125" style="3" customWidth="1"/>
    <col min="13553" max="13554" width="9.54296875" style="3" customWidth="1"/>
    <col min="13555" max="13555" width="9.7265625" style="3" customWidth="1"/>
    <col min="13556" max="13556" width="9.54296875" style="3" customWidth="1"/>
    <col min="13557" max="13557" width="12.54296875" style="3" customWidth="1"/>
    <col min="13558" max="13558" width="10" style="3" customWidth="1"/>
    <col min="13559" max="13559" width="9.7265625" style="3" customWidth="1"/>
    <col min="13560" max="13562" width="0" style="3" hidden="1" customWidth="1"/>
    <col min="13563" max="13806" width="9.1796875" style="3"/>
    <col min="13807" max="13807" width="13.26953125" style="3" customWidth="1"/>
    <col min="13808" max="13808" width="27.453125" style="3" customWidth="1"/>
    <col min="13809" max="13810" width="9.54296875" style="3" customWidth="1"/>
    <col min="13811" max="13811" width="9.7265625" style="3" customWidth="1"/>
    <col min="13812" max="13812" width="9.54296875" style="3" customWidth="1"/>
    <col min="13813" max="13813" width="12.54296875" style="3" customWidth="1"/>
    <col min="13814" max="13814" width="10" style="3" customWidth="1"/>
    <col min="13815" max="13815" width="9.7265625" style="3" customWidth="1"/>
    <col min="13816" max="13818" width="0" style="3" hidden="1" customWidth="1"/>
    <col min="13819" max="14062" width="9.1796875" style="3"/>
    <col min="14063" max="14063" width="13.26953125" style="3" customWidth="1"/>
    <col min="14064" max="14064" width="27.453125" style="3" customWidth="1"/>
    <col min="14065" max="14066" width="9.54296875" style="3" customWidth="1"/>
    <col min="14067" max="14067" width="9.7265625" style="3" customWidth="1"/>
    <col min="14068" max="14068" width="9.54296875" style="3" customWidth="1"/>
    <col min="14069" max="14069" width="12.54296875" style="3" customWidth="1"/>
    <col min="14070" max="14070" width="10" style="3" customWidth="1"/>
    <col min="14071" max="14071" width="9.7265625" style="3" customWidth="1"/>
    <col min="14072" max="14074" width="0" style="3" hidden="1" customWidth="1"/>
    <col min="14075" max="14318" width="9.1796875" style="3"/>
    <col min="14319" max="14319" width="13.26953125" style="3" customWidth="1"/>
    <col min="14320" max="14320" width="27.453125" style="3" customWidth="1"/>
    <col min="14321" max="14322" width="9.54296875" style="3" customWidth="1"/>
    <col min="14323" max="14323" width="9.7265625" style="3" customWidth="1"/>
    <col min="14324" max="14324" width="9.54296875" style="3" customWidth="1"/>
    <col min="14325" max="14325" width="12.54296875" style="3" customWidth="1"/>
    <col min="14326" max="14326" width="10" style="3" customWidth="1"/>
    <col min="14327" max="14327" width="9.7265625" style="3" customWidth="1"/>
    <col min="14328" max="14330" width="0" style="3" hidden="1" customWidth="1"/>
    <col min="14331" max="14574" width="9.1796875" style="3"/>
    <col min="14575" max="14575" width="13.26953125" style="3" customWidth="1"/>
    <col min="14576" max="14576" width="27.453125" style="3" customWidth="1"/>
    <col min="14577" max="14578" width="9.54296875" style="3" customWidth="1"/>
    <col min="14579" max="14579" width="9.7265625" style="3" customWidth="1"/>
    <col min="14580" max="14580" width="9.54296875" style="3" customWidth="1"/>
    <col min="14581" max="14581" width="12.54296875" style="3" customWidth="1"/>
    <col min="14582" max="14582" width="10" style="3" customWidth="1"/>
    <col min="14583" max="14583" width="9.7265625" style="3" customWidth="1"/>
    <col min="14584" max="14586" width="0" style="3" hidden="1" customWidth="1"/>
    <col min="14587" max="14830" width="9.1796875" style="3"/>
    <col min="14831" max="14831" width="13.26953125" style="3" customWidth="1"/>
    <col min="14832" max="14832" width="27.453125" style="3" customWidth="1"/>
    <col min="14833" max="14834" width="9.54296875" style="3" customWidth="1"/>
    <col min="14835" max="14835" width="9.7265625" style="3" customWidth="1"/>
    <col min="14836" max="14836" width="9.54296875" style="3" customWidth="1"/>
    <col min="14837" max="14837" width="12.54296875" style="3" customWidth="1"/>
    <col min="14838" max="14838" width="10" style="3" customWidth="1"/>
    <col min="14839" max="14839" width="9.7265625" style="3" customWidth="1"/>
    <col min="14840" max="14842" width="0" style="3" hidden="1" customWidth="1"/>
    <col min="14843" max="15086" width="9.1796875" style="3"/>
    <col min="15087" max="15087" width="13.26953125" style="3" customWidth="1"/>
    <col min="15088" max="15088" width="27.453125" style="3" customWidth="1"/>
    <col min="15089" max="15090" width="9.54296875" style="3" customWidth="1"/>
    <col min="15091" max="15091" width="9.7265625" style="3" customWidth="1"/>
    <col min="15092" max="15092" width="9.54296875" style="3" customWidth="1"/>
    <col min="15093" max="15093" width="12.54296875" style="3" customWidth="1"/>
    <col min="15094" max="15094" width="10" style="3" customWidth="1"/>
    <col min="15095" max="15095" width="9.7265625" style="3" customWidth="1"/>
    <col min="15096" max="15098" width="0" style="3" hidden="1" customWidth="1"/>
    <col min="15099" max="15342" width="9.1796875" style="3"/>
    <col min="15343" max="15343" width="13.26953125" style="3" customWidth="1"/>
    <col min="15344" max="15344" width="27.453125" style="3" customWidth="1"/>
    <col min="15345" max="15346" width="9.54296875" style="3" customWidth="1"/>
    <col min="15347" max="15347" width="9.7265625" style="3" customWidth="1"/>
    <col min="15348" max="15348" width="9.54296875" style="3" customWidth="1"/>
    <col min="15349" max="15349" width="12.54296875" style="3" customWidth="1"/>
    <col min="15350" max="15350" width="10" style="3" customWidth="1"/>
    <col min="15351" max="15351" width="9.7265625" style="3" customWidth="1"/>
    <col min="15352" max="15354" width="0" style="3" hidden="1" customWidth="1"/>
    <col min="15355" max="15598" width="9.1796875" style="3"/>
    <col min="15599" max="15599" width="13.26953125" style="3" customWidth="1"/>
    <col min="15600" max="15600" width="27.453125" style="3" customWidth="1"/>
    <col min="15601" max="15602" width="9.54296875" style="3" customWidth="1"/>
    <col min="15603" max="15603" width="9.7265625" style="3" customWidth="1"/>
    <col min="15604" max="15604" width="9.54296875" style="3" customWidth="1"/>
    <col min="15605" max="15605" width="12.54296875" style="3" customWidth="1"/>
    <col min="15606" max="15606" width="10" style="3" customWidth="1"/>
    <col min="15607" max="15607" width="9.7265625" style="3" customWidth="1"/>
    <col min="15608" max="15610" width="0" style="3" hidden="1" customWidth="1"/>
    <col min="15611" max="15854" width="9.1796875" style="3"/>
    <col min="15855" max="15855" width="13.26953125" style="3" customWidth="1"/>
    <col min="15856" max="15856" width="27.453125" style="3" customWidth="1"/>
    <col min="15857" max="15858" width="9.54296875" style="3" customWidth="1"/>
    <col min="15859" max="15859" width="9.7265625" style="3" customWidth="1"/>
    <col min="15860" max="15860" width="9.54296875" style="3" customWidth="1"/>
    <col min="15861" max="15861" width="12.54296875" style="3" customWidth="1"/>
    <col min="15862" max="15862" width="10" style="3" customWidth="1"/>
    <col min="15863" max="15863" width="9.7265625" style="3" customWidth="1"/>
    <col min="15864" max="15866" width="0" style="3" hidden="1" customWidth="1"/>
    <col min="15867" max="16110" width="9.1796875" style="3"/>
    <col min="16111" max="16111" width="13.26953125" style="3" customWidth="1"/>
    <col min="16112" max="16112" width="27.453125" style="3" customWidth="1"/>
    <col min="16113" max="16114" width="9.54296875" style="3" customWidth="1"/>
    <col min="16115" max="16115" width="9.7265625" style="3" customWidth="1"/>
    <col min="16116" max="16116" width="9.54296875" style="3" customWidth="1"/>
    <col min="16117" max="16117" width="12.54296875" style="3" customWidth="1"/>
    <col min="16118" max="16118" width="10" style="3" customWidth="1"/>
    <col min="16119" max="16119" width="9.7265625" style="3" customWidth="1"/>
    <col min="16120" max="16122" width="0" style="3" hidden="1" customWidth="1"/>
    <col min="16123" max="16365" width="9.1796875" style="3"/>
    <col min="16366" max="16384" width="9.1796875" style="3" customWidth="1"/>
  </cols>
  <sheetData>
    <row r="1" spans="1:12" s="1" customFormat="1" x14ac:dyDescent="0.35">
      <c r="A1" s="1228" t="s">
        <v>0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279"/>
    </row>
    <row r="2" spans="1:12" s="1" customFormat="1" x14ac:dyDescent="0.35">
      <c r="A2" s="1228" t="s">
        <v>297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279"/>
    </row>
    <row r="3" spans="1:12" s="1" customFormat="1" ht="16" thickBot="1" x14ac:dyDescent="0.4">
      <c r="A3" s="1229">
        <v>2019</v>
      </c>
      <c r="B3" s="1229"/>
      <c r="C3" s="1229"/>
      <c r="D3" s="1229"/>
      <c r="E3" s="1229"/>
      <c r="F3" s="1229"/>
      <c r="G3" s="1229"/>
      <c r="H3" s="1229"/>
      <c r="I3" s="1229"/>
      <c r="J3" s="1229"/>
      <c r="K3" s="1229"/>
      <c r="L3" s="544"/>
    </row>
    <row r="4" spans="1:12" s="1" customFormat="1" x14ac:dyDescent="0.35">
      <c r="A4" s="1217" t="s">
        <v>3</v>
      </c>
      <c r="B4" s="1218"/>
      <c r="C4" s="1218"/>
      <c r="D4" s="1218"/>
      <c r="E4" s="1218"/>
      <c r="F4" s="1218"/>
      <c r="G4" s="1218"/>
      <c r="H4" s="1218"/>
      <c r="I4" s="1218"/>
      <c r="J4" s="1218"/>
      <c r="K4" s="1218"/>
      <c r="L4" s="1230"/>
    </row>
    <row r="5" spans="1:12" s="1" customFormat="1" ht="16" thickBot="1" x14ac:dyDescent="0.4">
      <c r="A5" s="585"/>
      <c r="B5" s="2"/>
      <c r="C5" s="5"/>
      <c r="D5" s="586"/>
      <c r="E5" s="5"/>
      <c r="F5" s="5"/>
      <c r="G5" s="5"/>
      <c r="H5" s="5"/>
      <c r="I5" s="5"/>
      <c r="J5" s="3"/>
      <c r="K5" s="21"/>
      <c r="L5" s="587"/>
    </row>
    <row r="6" spans="1:12" s="1" customFormat="1" x14ac:dyDescent="0.35">
      <c r="A6" s="1206" t="s">
        <v>302</v>
      </c>
      <c r="B6" s="1208" t="s">
        <v>28</v>
      </c>
      <c r="C6" s="1210" t="s">
        <v>303</v>
      </c>
      <c r="D6" s="1231" t="s">
        <v>304</v>
      </c>
      <c r="E6" s="1212" t="s">
        <v>305</v>
      </c>
      <c r="F6" s="1212"/>
      <c r="G6" s="1212"/>
      <c r="H6" s="1212"/>
      <c r="I6" s="1212"/>
      <c r="J6" s="1208" t="s">
        <v>29</v>
      </c>
      <c r="K6" s="1213" t="s">
        <v>306</v>
      </c>
      <c r="L6" s="1222" t="s">
        <v>307</v>
      </c>
    </row>
    <row r="7" spans="1:12" s="1" customFormat="1" ht="31.15" customHeight="1" thickBot="1" x14ac:dyDescent="0.4">
      <c r="A7" s="1207"/>
      <c r="B7" s="1209"/>
      <c r="C7" s="1211"/>
      <c r="D7" s="1232"/>
      <c r="E7" s="7" t="s">
        <v>308</v>
      </c>
      <c r="F7" s="7" t="s">
        <v>309</v>
      </c>
      <c r="G7" s="7" t="s">
        <v>310</v>
      </c>
      <c r="H7" s="7" t="s">
        <v>311</v>
      </c>
      <c r="I7" s="7" t="s">
        <v>312</v>
      </c>
      <c r="J7" s="1209"/>
      <c r="K7" s="1214"/>
      <c r="L7" s="1223"/>
    </row>
    <row r="8" spans="1:12" s="16" customFormat="1" ht="17.149999999999999" customHeight="1" x14ac:dyDescent="0.35">
      <c r="A8" s="589">
        <v>219</v>
      </c>
      <c r="B8" s="110" t="s">
        <v>214</v>
      </c>
      <c r="C8" s="15">
        <f>'inventory2020(FOR revised)'!C10</f>
        <v>0.4</v>
      </c>
      <c r="D8" s="15">
        <f>'inventory2020(FOR revised)'!D10</f>
        <v>0.65</v>
      </c>
      <c r="E8" s="15">
        <f>'inventory2020(FOR revised)'!E10</f>
        <v>0</v>
      </c>
      <c r="F8" s="15">
        <f>'inventory2020(FOR revised)'!F10</f>
        <v>0</v>
      </c>
      <c r="G8" s="15">
        <f>'inventory2020(FOR revised)'!G10</f>
        <v>0</v>
      </c>
      <c r="H8" s="15">
        <f>'inventory2020(FOR revised)'!H10</f>
        <v>0.4</v>
      </c>
      <c r="I8" s="15">
        <f>'inventory2020(FOR revised)'!I10</f>
        <v>0</v>
      </c>
      <c r="J8" s="106" t="s">
        <v>12</v>
      </c>
      <c r="K8" s="591" t="s">
        <v>313</v>
      </c>
      <c r="L8" s="592"/>
    </row>
    <row r="9" spans="1:12" s="16" customFormat="1" ht="16.5" customHeight="1" x14ac:dyDescent="0.35">
      <c r="A9" s="589">
        <v>1</v>
      </c>
      <c r="B9" s="14" t="s">
        <v>314</v>
      </c>
      <c r="C9" s="15">
        <f>'inventory2020(FOR revised)'!C11</f>
        <v>5.48</v>
      </c>
      <c r="D9" s="15">
        <f>'inventory2020(FOR revised)'!D11</f>
        <v>5.5</v>
      </c>
      <c r="E9" s="15">
        <f>'inventory2020(FOR revised)'!E11</f>
        <v>2.87</v>
      </c>
      <c r="F9" s="15">
        <f>'inventory2020(FOR revised)'!F11</f>
        <v>0</v>
      </c>
      <c r="G9" s="15">
        <f>'inventory2020(FOR revised)'!G11</f>
        <v>0</v>
      </c>
      <c r="H9" s="15">
        <f>'inventory2020(FOR revised)'!H11</f>
        <v>2.61</v>
      </c>
      <c r="I9" s="15">
        <f>'inventory2020(FOR revised)'!I11</f>
        <v>0</v>
      </c>
      <c r="J9" s="24" t="s">
        <v>12</v>
      </c>
      <c r="K9" s="591" t="s">
        <v>315</v>
      </c>
      <c r="L9" s="24"/>
    </row>
    <row r="10" spans="1:12" ht="16.5" customHeight="1" x14ac:dyDescent="0.35">
      <c r="A10" s="596">
        <v>2</v>
      </c>
      <c r="B10" s="9" t="s">
        <v>212</v>
      </c>
      <c r="C10" s="15">
        <f>'inventory2020(FOR revised)'!C12</f>
        <v>0.91999999999999993</v>
      </c>
      <c r="D10" s="15">
        <f>'inventory2020(FOR revised)'!D12</f>
        <v>0.8</v>
      </c>
      <c r="E10" s="15">
        <f>'inventory2020(FOR revised)'!E12</f>
        <v>7.0000000000000007E-2</v>
      </c>
      <c r="F10" s="15">
        <f>'inventory2020(FOR revised)'!F12</f>
        <v>0</v>
      </c>
      <c r="G10" s="15">
        <f>'inventory2020(FOR revised)'!G12</f>
        <v>0</v>
      </c>
      <c r="H10" s="15">
        <f>'inventory2020(FOR revised)'!H12</f>
        <v>0.85</v>
      </c>
      <c r="I10" s="15">
        <f>'inventory2020(FOR revised)'!I12</f>
        <v>0</v>
      </c>
      <c r="J10" s="28" t="s">
        <v>10</v>
      </c>
      <c r="K10" s="597" t="s">
        <v>316</v>
      </c>
      <c r="L10" s="28"/>
    </row>
    <row r="11" spans="1:12" s="16" customFormat="1" ht="17.149999999999999" customHeight="1" x14ac:dyDescent="0.35">
      <c r="A11" s="589">
        <v>3</v>
      </c>
      <c r="B11" s="14" t="s">
        <v>217</v>
      </c>
      <c r="C11" s="15">
        <f>'inventory2020(FOR revised)'!C13</f>
        <v>4.97</v>
      </c>
      <c r="D11" s="15">
        <f>'inventory2020(FOR revised)'!D13</f>
        <v>4.9000000000000004</v>
      </c>
      <c r="E11" s="15">
        <f>'inventory2020(FOR revised)'!E13</f>
        <v>0</v>
      </c>
      <c r="F11" s="15">
        <f>'inventory2020(FOR revised)'!F13</f>
        <v>0</v>
      </c>
      <c r="G11" s="15">
        <f>'inventory2020(FOR revised)'!G13</f>
        <v>0</v>
      </c>
      <c r="H11" s="15">
        <f>'inventory2020(FOR revised)'!H13</f>
        <v>4.97</v>
      </c>
      <c r="I11" s="15">
        <f>'inventory2020(FOR revised)'!I13</f>
        <v>0</v>
      </c>
      <c r="J11" s="106" t="s">
        <v>12</v>
      </c>
      <c r="K11" s="591" t="s">
        <v>318</v>
      </c>
      <c r="L11" s="24"/>
    </row>
    <row r="12" spans="1:12" ht="17.149999999999999" customHeight="1" x14ac:dyDescent="0.35">
      <c r="A12" s="596">
        <v>4</v>
      </c>
      <c r="B12" s="9" t="s">
        <v>211</v>
      </c>
      <c r="C12" s="15">
        <f>'inventory2020(FOR revised)'!C14</f>
        <v>2.67</v>
      </c>
      <c r="D12" s="15">
        <f>'inventory2020(FOR revised)'!D14</f>
        <v>2.7</v>
      </c>
      <c r="E12" s="15">
        <f>'inventory2020(FOR revised)'!E14</f>
        <v>0.11</v>
      </c>
      <c r="F12" s="15">
        <f>'inventory2020(FOR revised)'!F14</f>
        <v>0</v>
      </c>
      <c r="G12" s="15">
        <f>'inventory2020(FOR revised)'!G14</f>
        <v>0</v>
      </c>
      <c r="H12" s="15">
        <f>'inventory2020(FOR revised)'!H14</f>
        <v>2.56</v>
      </c>
      <c r="I12" s="15">
        <f>'inventory2020(FOR revised)'!I14</f>
        <v>0</v>
      </c>
      <c r="J12" s="103" t="s">
        <v>33</v>
      </c>
      <c r="K12" s="597" t="s">
        <v>320</v>
      </c>
      <c r="L12" s="28"/>
    </row>
    <row r="13" spans="1:12" ht="17.149999999999999" customHeight="1" x14ac:dyDescent="0.35">
      <c r="A13" s="596">
        <v>93</v>
      </c>
      <c r="B13" s="9" t="s">
        <v>13</v>
      </c>
      <c r="C13" s="15">
        <f>'inventory2020(FOR revised)'!C15</f>
        <v>3.9</v>
      </c>
      <c r="D13" s="15">
        <f>'inventory2020(FOR revised)'!D15</f>
        <v>3.9</v>
      </c>
      <c r="E13" s="15">
        <f>'inventory2020(FOR revised)'!E15</f>
        <v>3.9</v>
      </c>
      <c r="F13" s="15">
        <f>'inventory2020(FOR revised)'!F15</f>
        <v>0</v>
      </c>
      <c r="G13" s="15">
        <f>'inventory2020(FOR revised)'!G15</f>
        <v>0</v>
      </c>
      <c r="H13" s="15">
        <f>'inventory2020(FOR revised)'!H15</f>
        <v>0</v>
      </c>
      <c r="I13" s="15">
        <f>'inventory2020(FOR revised)'!I15</f>
        <v>0</v>
      </c>
      <c r="J13" s="103" t="str">
        <f>J10</f>
        <v>Good</v>
      </c>
      <c r="K13" s="597" t="s">
        <v>320</v>
      </c>
      <c r="L13" s="28"/>
    </row>
    <row r="14" spans="1:12" s="16" customFormat="1" ht="17.149999999999999" customHeight="1" x14ac:dyDescent="0.35">
      <c r="A14" s="589">
        <v>218</v>
      </c>
      <c r="B14" s="14" t="s">
        <v>213</v>
      </c>
      <c r="C14" s="15">
        <f>'inventory2020(FOR revised)'!C16</f>
        <v>5.61</v>
      </c>
      <c r="D14" s="15">
        <f>'inventory2020(FOR revised)'!D16</f>
        <v>5.8</v>
      </c>
      <c r="E14" s="15">
        <f>'inventory2020(FOR revised)'!E16</f>
        <v>0</v>
      </c>
      <c r="F14" s="15">
        <f>'inventory2020(FOR revised)'!F16</f>
        <v>0</v>
      </c>
      <c r="G14" s="15">
        <f>'inventory2020(FOR revised)'!G16</f>
        <v>0</v>
      </c>
      <c r="H14" s="15">
        <f>'inventory2020(FOR revised)'!H16</f>
        <v>5.61</v>
      </c>
      <c r="I14" s="15">
        <f>'inventory2020(FOR revised)'!I16</f>
        <v>0</v>
      </c>
      <c r="J14" s="106" t="s">
        <v>12</v>
      </c>
      <c r="K14" s="591" t="s">
        <v>316</v>
      </c>
      <c r="L14" s="24"/>
    </row>
    <row r="15" spans="1:12" s="16" customFormat="1" ht="17.149999999999999" customHeight="1" x14ac:dyDescent="0.35">
      <c r="A15" s="589">
        <v>5</v>
      </c>
      <c r="B15" s="14" t="s">
        <v>16</v>
      </c>
      <c r="C15" s="15">
        <f>'inventory2020(FOR revised)'!C17</f>
        <v>2.85</v>
      </c>
      <c r="D15" s="15">
        <f>'inventory2020(FOR revised)'!D17</f>
        <v>2.8</v>
      </c>
      <c r="E15" s="15">
        <f>'inventory2020(FOR revised)'!E17</f>
        <v>2.85</v>
      </c>
      <c r="F15" s="15">
        <f>'inventory2020(FOR revised)'!F17</f>
        <v>0</v>
      </c>
      <c r="G15" s="15">
        <f>'inventory2020(FOR revised)'!G17</f>
        <v>0</v>
      </c>
      <c r="H15" s="15">
        <f>'inventory2020(FOR revised)'!H17</f>
        <v>0</v>
      </c>
      <c r="I15" s="15">
        <f>'inventory2020(FOR revised)'!I17</f>
        <v>0</v>
      </c>
      <c r="J15" s="106" t="s">
        <v>10</v>
      </c>
      <c r="K15" s="591" t="s">
        <v>320</v>
      </c>
      <c r="L15" s="24"/>
    </row>
    <row r="16" spans="1:12" ht="17.149999999999999" customHeight="1" x14ac:dyDescent="0.35">
      <c r="A16" s="596">
        <v>6</v>
      </c>
      <c r="B16" s="9" t="s">
        <v>220</v>
      </c>
      <c r="C16" s="15">
        <f>'inventory2020(FOR revised)'!C18</f>
        <v>3.96</v>
      </c>
      <c r="D16" s="15">
        <f>'inventory2020(FOR revised)'!D18</f>
        <v>3.9</v>
      </c>
      <c r="E16" s="15">
        <f>'inventory2020(FOR revised)'!E18</f>
        <v>2.7</v>
      </c>
      <c r="F16" s="15">
        <f>'inventory2020(FOR revised)'!F18</f>
        <v>0</v>
      </c>
      <c r="G16" s="15">
        <f>'inventory2020(FOR revised)'!G18</f>
        <v>0</v>
      </c>
      <c r="H16" s="15">
        <f>'inventory2020(FOR revised)'!H18</f>
        <v>1.26</v>
      </c>
      <c r="I16" s="15">
        <f>'inventory2020(FOR revised)'!I18</f>
        <v>0</v>
      </c>
      <c r="J16" s="103" t="s">
        <v>10</v>
      </c>
      <c r="K16" s="597" t="s">
        <v>315</v>
      </c>
      <c r="L16" s="28"/>
    </row>
    <row r="17" spans="1:18" s="16" customFormat="1" ht="17.149999999999999" customHeight="1" x14ac:dyDescent="0.35">
      <c r="A17" s="589">
        <v>7</v>
      </c>
      <c r="B17" s="14" t="s">
        <v>205</v>
      </c>
      <c r="C17" s="15">
        <f>'inventory2020(FOR revised)'!C19</f>
        <v>1.1499999999999999</v>
      </c>
      <c r="D17" s="15">
        <f>'inventory2020(FOR revised)'!D19</f>
        <v>1.1000000000000001</v>
      </c>
      <c r="E17" s="15">
        <f>'inventory2020(FOR revised)'!E19</f>
        <v>1.1499999999999999</v>
      </c>
      <c r="F17" s="15">
        <f>'inventory2020(FOR revised)'!F19</f>
        <v>0</v>
      </c>
      <c r="G17" s="15">
        <f>'inventory2020(FOR revised)'!G19</f>
        <v>0</v>
      </c>
      <c r="H17" s="15">
        <f>'inventory2020(FOR revised)'!H19</f>
        <v>0</v>
      </c>
      <c r="I17" s="15">
        <f>'inventory2020(FOR revised)'!I19</f>
        <v>0</v>
      </c>
      <c r="J17" s="106" t="s">
        <v>10</v>
      </c>
      <c r="K17" s="591" t="s">
        <v>321</v>
      </c>
      <c r="L17" s="24"/>
    </row>
    <row r="18" spans="1:18" s="16" customFormat="1" ht="17.149999999999999" customHeight="1" x14ac:dyDescent="0.35">
      <c r="A18" s="589">
        <v>8</v>
      </c>
      <c r="B18" s="14" t="s">
        <v>324</v>
      </c>
      <c r="C18" s="15">
        <f>'inventory2020(FOR revised)'!C20</f>
        <v>0.64</v>
      </c>
      <c r="D18" s="15">
        <f>'inventory2020(FOR revised)'!D20</f>
        <v>0.6</v>
      </c>
      <c r="E18" s="15">
        <f>'inventory2020(FOR revised)'!E20</f>
        <v>0.64</v>
      </c>
      <c r="F18" s="15">
        <f>'inventory2020(FOR revised)'!F20</f>
        <v>0</v>
      </c>
      <c r="G18" s="15">
        <f>'inventory2020(FOR revised)'!G20</f>
        <v>0</v>
      </c>
      <c r="H18" s="15">
        <f>'inventory2020(FOR revised)'!H20</f>
        <v>0</v>
      </c>
      <c r="I18" s="15">
        <f>'inventory2020(FOR revised)'!I20</f>
        <v>0</v>
      </c>
      <c r="J18" s="106" t="s">
        <v>10</v>
      </c>
      <c r="K18" s="591" t="s">
        <v>325</v>
      </c>
      <c r="L18" s="24"/>
    </row>
    <row r="19" spans="1:18" s="16" customFormat="1" ht="17.149999999999999" customHeight="1" x14ac:dyDescent="0.35">
      <c r="A19" s="589">
        <v>9</v>
      </c>
      <c r="B19" s="14" t="s">
        <v>19</v>
      </c>
      <c r="C19" s="15">
        <f>'inventory2020(FOR revised)'!C21</f>
        <v>9.3000000000000007</v>
      </c>
      <c r="D19" s="15">
        <f>'inventory2020(FOR revised)'!D21</f>
        <v>9</v>
      </c>
      <c r="E19" s="15">
        <f>'inventory2020(FOR revised)'!E21</f>
        <v>9.3000000000000007</v>
      </c>
      <c r="F19" s="15">
        <f>'inventory2020(FOR revised)'!F21</f>
        <v>0</v>
      </c>
      <c r="G19" s="15">
        <f>'inventory2020(FOR revised)'!G21</f>
        <v>0</v>
      </c>
      <c r="H19" s="15">
        <f>'inventory2020(FOR revised)'!H21</f>
        <v>0</v>
      </c>
      <c r="I19" s="15">
        <f>'inventory2020(FOR revised)'!I21</f>
        <v>0</v>
      </c>
      <c r="J19" s="106" t="s">
        <v>10</v>
      </c>
      <c r="K19" s="591" t="s">
        <v>326</v>
      </c>
      <c r="L19" s="24"/>
    </row>
    <row r="20" spans="1:18" s="16" customFormat="1" ht="17.149999999999999" customHeight="1" x14ac:dyDescent="0.35">
      <c r="A20" s="589">
        <v>10</v>
      </c>
      <c r="B20" s="14" t="s">
        <v>23</v>
      </c>
      <c r="C20" s="15">
        <f>'inventory2020(FOR revised)'!C22</f>
        <v>13.79</v>
      </c>
      <c r="D20" s="15">
        <f>'inventory2020(FOR revised)'!D22</f>
        <v>13.6</v>
      </c>
      <c r="E20" s="15">
        <f>'inventory2020(FOR revised)'!E22</f>
        <v>8.7899999999999991</v>
      </c>
      <c r="F20" s="15">
        <f>'inventory2020(FOR revised)'!F22</f>
        <v>0</v>
      </c>
      <c r="G20" s="15">
        <f>'inventory2020(FOR revised)'!G22</f>
        <v>0</v>
      </c>
      <c r="H20" s="15">
        <f>'inventory2020(FOR revised)'!H22</f>
        <v>5</v>
      </c>
      <c r="I20" s="15">
        <f>'inventory2020(FOR revised)'!I22</f>
        <v>0</v>
      </c>
      <c r="J20" s="106" t="str">
        <f>J19</f>
        <v>Good</v>
      </c>
      <c r="K20" s="591" t="s">
        <v>327</v>
      </c>
      <c r="L20" s="24"/>
    </row>
    <row r="21" spans="1:18" s="16" customFormat="1" ht="17.149999999999999" customHeight="1" x14ac:dyDescent="0.35">
      <c r="A21" s="589">
        <v>11</v>
      </c>
      <c r="B21" s="14" t="s">
        <v>223</v>
      </c>
      <c r="C21" s="15">
        <f>'inventory2020(FOR revised)'!C23</f>
        <v>2.27</v>
      </c>
      <c r="D21" s="15">
        <f>'inventory2020(FOR revised)'!D23</f>
        <v>2.2000000000000002</v>
      </c>
      <c r="E21" s="15">
        <f>'inventory2020(FOR revised)'!E23</f>
        <v>0.21</v>
      </c>
      <c r="F21" s="15">
        <f>'inventory2020(FOR revised)'!F23</f>
        <v>0</v>
      </c>
      <c r="G21" s="15">
        <f>'inventory2020(FOR revised)'!G23</f>
        <v>0</v>
      </c>
      <c r="H21" s="15">
        <f>'inventory2020(FOR revised)'!H23</f>
        <v>2.06</v>
      </c>
      <c r="I21" s="15">
        <f>'inventory2020(FOR revised)'!I23</f>
        <v>0</v>
      </c>
      <c r="J21" s="106" t="s">
        <v>12</v>
      </c>
      <c r="K21" s="591" t="s">
        <v>328</v>
      </c>
      <c r="L21" s="24"/>
    </row>
    <row r="22" spans="1:18" s="16" customFormat="1" ht="17.149999999999999" customHeight="1" x14ac:dyDescent="0.35">
      <c r="A22" s="589">
        <v>13</v>
      </c>
      <c r="B22" s="14" t="s">
        <v>218</v>
      </c>
      <c r="C22" s="15">
        <f>'inventory2020(FOR revised)'!C24</f>
        <v>1.72</v>
      </c>
      <c r="D22" s="15">
        <f>'inventory2020(FOR revised)'!D24</f>
        <v>1.7</v>
      </c>
      <c r="E22" s="15">
        <f>'inventory2020(FOR revised)'!E24</f>
        <v>0</v>
      </c>
      <c r="F22" s="15">
        <f>'inventory2020(FOR revised)'!F24</f>
        <v>0</v>
      </c>
      <c r="G22" s="15">
        <f>'inventory2020(FOR revised)'!G24</f>
        <v>0</v>
      </c>
      <c r="H22" s="15">
        <f>'inventory2020(FOR revised)'!H24</f>
        <v>1.72</v>
      </c>
      <c r="I22" s="15">
        <f>'inventory2020(FOR revised)'!I24</f>
        <v>0</v>
      </c>
      <c r="J22" s="106" t="s">
        <v>12</v>
      </c>
      <c r="K22" s="591" t="s">
        <v>329</v>
      </c>
      <c r="L22" s="24"/>
    </row>
    <row r="23" spans="1:18" ht="17.149999999999999" customHeight="1" x14ac:dyDescent="0.35">
      <c r="A23" s="596">
        <v>12</v>
      </c>
      <c r="B23" s="9" t="s">
        <v>222</v>
      </c>
      <c r="C23" s="15">
        <f>'inventory2020(FOR revised)'!C25</f>
        <v>1.6</v>
      </c>
      <c r="D23" s="15">
        <f>'inventory2020(FOR revised)'!D25</f>
        <v>1.6</v>
      </c>
      <c r="E23" s="15">
        <f>'inventory2020(FOR revised)'!E25</f>
        <v>0</v>
      </c>
      <c r="F23" s="15">
        <f>'inventory2020(FOR revised)'!F25</f>
        <v>0</v>
      </c>
      <c r="G23" s="15">
        <f>'inventory2020(FOR revised)'!G25</f>
        <v>0</v>
      </c>
      <c r="H23" s="15">
        <f>'inventory2020(FOR revised)'!H25</f>
        <v>1.6</v>
      </c>
      <c r="I23" s="15">
        <f>'inventory2020(FOR revised)'!I25</f>
        <v>0</v>
      </c>
      <c r="J23" s="103" t="s">
        <v>33</v>
      </c>
      <c r="K23" s="597" t="s">
        <v>331</v>
      </c>
      <c r="L23" s="28"/>
    </row>
    <row r="24" spans="1:18" s="16" customFormat="1" ht="17.149999999999999" customHeight="1" x14ac:dyDescent="0.35">
      <c r="A24" s="589">
        <v>220</v>
      </c>
      <c r="B24" s="14" t="s">
        <v>221</v>
      </c>
      <c r="C24" s="15">
        <f>'inventory2020(FOR revised)'!C26</f>
        <v>2.2999999999999998</v>
      </c>
      <c r="D24" s="15">
        <f>'inventory2020(FOR revised)'!D26</f>
        <v>2.2999999999999998</v>
      </c>
      <c r="E24" s="15">
        <f>'inventory2020(FOR revised)'!E26</f>
        <v>0</v>
      </c>
      <c r="F24" s="15">
        <f>'inventory2020(FOR revised)'!F26</f>
        <v>0</v>
      </c>
      <c r="G24" s="15">
        <f>'inventory2020(FOR revised)'!G26</f>
        <v>0</v>
      </c>
      <c r="H24" s="15">
        <f>'inventory2020(FOR revised)'!H26</f>
        <v>2.2999999999999998</v>
      </c>
      <c r="I24" s="15">
        <f>'inventory2020(FOR revised)'!I26</f>
        <v>0</v>
      </c>
      <c r="J24" s="106" t="s">
        <v>33</v>
      </c>
      <c r="K24" s="591" t="s">
        <v>333</v>
      </c>
      <c r="L24" s="24"/>
    </row>
    <row r="25" spans="1:18" s="16" customFormat="1" ht="17.149999999999999" customHeight="1" x14ac:dyDescent="0.35">
      <c r="A25" s="589">
        <v>14</v>
      </c>
      <c r="B25" s="14" t="s">
        <v>215</v>
      </c>
      <c r="C25" s="15">
        <f>'inventory2020(FOR revised)'!C27</f>
        <v>4.12</v>
      </c>
      <c r="D25" s="15">
        <f>'inventory2020(FOR revised)'!D27</f>
        <v>4</v>
      </c>
      <c r="E25" s="15">
        <f>'inventory2020(FOR revised)'!E27</f>
        <v>4.12</v>
      </c>
      <c r="F25" s="15">
        <f>'inventory2020(FOR revised)'!F27</f>
        <v>0</v>
      </c>
      <c r="G25" s="15">
        <f>'inventory2020(FOR revised)'!G27</f>
        <v>0</v>
      </c>
      <c r="H25" s="15">
        <f>'inventory2020(FOR revised)'!H27</f>
        <v>0</v>
      </c>
      <c r="I25" s="15">
        <f>'inventory2020(FOR revised)'!I27</f>
        <v>0</v>
      </c>
      <c r="J25" s="106" t="s">
        <v>10</v>
      </c>
      <c r="K25" s="591" t="s">
        <v>327</v>
      </c>
      <c r="L25" s="24"/>
    </row>
    <row r="26" spans="1:18" ht="17.149999999999999" customHeight="1" x14ac:dyDescent="0.35">
      <c r="A26" s="596">
        <v>15</v>
      </c>
      <c r="B26" s="9" t="s">
        <v>334</v>
      </c>
      <c r="C26" s="15">
        <f>'inventory2020(FOR revised)'!C28</f>
        <v>3.2</v>
      </c>
      <c r="D26" s="15">
        <f>'inventory2020(FOR revised)'!D28</f>
        <v>3.2</v>
      </c>
      <c r="E26" s="15">
        <f>'inventory2020(FOR revised)'!E28</f>
        <v>0</v>
      </c>
      <c r="F26" s="15">
        <f>'inventory2020(FOR revised)'!F28</f>
        <v>0</v>
      </c>
      <c r="G26" s="15">
        <f>'inventory2020(FOR revised)'!G28</f>
        <v>0</v>
      </c>
      <c r="H26" s="15">
        <f>'inventory2020(FOR revised)'!H28</f>
        <v>3.2</v>
      </c>
      <c r="I26" s="15">
        <f>'inventory2020(FOR revised)'!I28</f>
        <v>0</v>
      </c>
      <c r="J26" s="103" t="s">
        <v>33</v>
      </c>
      <c r="K26" s="597" t="s">
        <v>335</v>
      </c>
      <c r="L26" s="28" t="s">
        <v>336</v>
      </c>
    </row>
    <row r="27" spans="1:18" s="16" customFormat="1" ht="17.149999999999999" customHeight="1" x14ac:dyDescent="0.35">
      <c r="A27" s="589">
        <v>16</v>
      </c>
      <c r="B27" s="14" t="s">
        <v>25</v>
      </c>
      <c r="C27" s="15">
        <f>'inventory2020(FOR revised)'!C29</f>
        <v>1.05</v>
      </c>
      <c r="D27" s="15">
        <f>'inventory2020(FOR revised)'!D29</f>
        <v>1</v>
      </c>
      <c r="E27" s="15">
        <f>'inventory2020(FOR revised)'!E29</f>
        <v>0</v>
      </c>
      <c r="F27" s="15">
        <f>'inventory2020(FOR revised)'!F29</f>
        <v>0</v>
      </c>
      <c r="G27" s="15">
        <f>'inventory2020(FOR revised)'!G29</f>
        <v>0</v>
      </c>
      <c r="H27" s="15">
        <f>'inventory2020(FOR revised)'!H29</f>
        <v>1.05</v>
      </c>
      <c r="I27" s="15">
        <f>'inventory2020(FOR revised)'!I29</f>
        <v>0</v>
      </c>
      <c r="J27" s="106" t="s">
        <v>12</v>
      </c>
      <c r="K27" s="591" t="s">
        <v>337</v>
      </c>
      <c r="L27" s="24"/>
    </row>
    <row r="28" spans="1:18" s="16" customFormat="1" ht="17.149999999999999" customHeight="1" x14ac:dyDescent="0.35">
      <c r="A28" s="589">
        <v>17</v>
      </c>
      <c r="B28" s="14" t="s">
        <v>216</v>
      </c>
      <c r="C28" s="15">
        <f>'inventory2020(FOR revised)'!C30</f>
        <v>4.18</v>
      </c>
      <c r="D28" s="15">
        <f>'inventory2020(FOR revised)'!D30</f>
        <v>4</v>
      </c>
      <c r="E28" s="15">
        <f>'inventory2020(FOR revised)'!E30</f>
        <v>4.18</v>
      </c>
      <c r="F28" s="15">
        <f>'inventory2020(FOR revised)'!F30</f>
        <v>0</v>
      </c>
      <c r="G28" s="15">
        <f>'inventory2020(FOR revised)'!G30</f>
        <v>0</v>
      </c>
      <c r="H28" s="15">
        <f>'inventory2020(FOR revised)'!H30</f>
        <v>0</v>
      </c>
      <c r="I28" s="15">
        <f>'inventory2020(FOR revised)'!I30</f>
        <v>0</v>
      </c>
      <c r="J28" s="106" t="s">
        <v>12</v>
      </c>
      <c r="K28" s="591" t="s">
        <v>339</v>
      </c>
      <c r="L28" s="24"/>
    </row>
    <row r="29" spans="1:18" s="16" customFormat="1" ht="16.149999999999999" customHeight="1" x14ac:dyDescent="0.35">
      <c r="A29" s="589">
        <v>18</v>
      </c>
      <c r="B29" s="14" t="s">
        <v>27</v>
      </c>
      <c r="C29" s="15">
        <f>'inventory2020(FOR revised)'!C31</f>
        <v>10.52</v>
      </c>
      <c r="D29" s="15">
        <f>'inventory2020(FOR revised)'!D31</f>
        <v>10.5</v>
      </c>
      <c r="E29" s="15">
        <f>'inventory2020(FOR revised)'!E31</f>
        <v>4.54</v>
      </c>
      <c r="F29" s="15">
        <f>'inventory2020(FOR revised)'!F31</f>
        <v>0</v>
      </c>
      <c r="G29" s="15">
        <f>'inventory2020(FOR revised)'!G31</f>
        <v>0</v>
      </c>
      <c r="H29" s="15">
        <f>'inventory2020(FOR revised)'!H31</f>
        <v>5.98</v>
      </c>
      <c r="I29" s="15">
        <f>'inventory2020(FOR revised)'!I31</f>
        <v>0</v>
      </c>
      <c r="J29" s="106" t="s">
        <v>12</v>
      </c>
      <c r="K29" s="591" t="s">
        <v>335</v>
      </c>
      <c r="L29" s="24"/>
      <c r="R29" s="595">
        <f>C32+C66+C79+C86+C103+C142+C163+C172+C197+C212+C227+C239+C260+C278+C293+C311+C320+C340+C355+C366+C375</f>
        <v>1244.0150000000001</v>
      </c>
    </row>
    <row r="30" spans="1:18" s="16" customFormat="1" ht="27" customHeight="1" x14ac:dyDescent="0.35">
      <c r="A30" s="589">
        <v>221</v>
      </c>
      <c r="B30" s="14" t="s">
        <v>219</v>
      </c>
      <c r="C30" s="15">
        <f>'inventory2020(FOR revised)'!C32</f>
        <v>4.53</v>
      </c>
      <c r="D30" s="15">
        <f>'inventory2020(FOR revised)'!D32</f>
        <v>5.2</v>
      </c>
      <c r="E30" s="15">
        <f>'inventory2020(FOR revised)'!E32</f>
        <v>0</v>
      </c>
      <c r="F30" s="15">
        <f>'inventory2020(FOR revised)'!F32</f>
        <v>0</v>
      </c>
      <c r="G30" s="15">
        <f>'inventory2020(FOR revised)'!G32</f>
        <v>0</v>
      </c>
      <c r="H30" s="15">
        <f>'inventory2020(FOR revised)'!H32</f>
        <v>4.53</v>
      </c>
      <c r="I30" s="15">
        <f>'inventory2020(FOR revised)'!I32</f>
        <v>0</v>
      </c>
      <c r="J30" s="106" t="s">
        <v>12</v>
      </c>
      <c r="K30" s="591" t="s">
        <v>340</v>
      </c>
      <c r="L30" s="24"/>
    </row>
    <row r="31" spans="1:18" ht="15" customHeight="1" x14ac:dyDescent="0.35">
      <c r="A31" s="596">
        <v>20</v>
      </c>
      <c r="B31" s="9" t="s">
        <v>208</v>
      </c>
      <c r="C31" s="15">
        <f>'inventory2020(FOR revised)'!C33</f>
        <v>7.6</v>
      </c>
      <c r="D31" s="15">
        <f>'inventory2020(FOR revised)'!D33</f>
        <v>7.6</v>
      </c>
      <c r="E31" s="15">
        <f>'inventory2020(FOR revised)'!E33</f>
        <v>0</v>
      </c>
      <c r="F31" s="15">
        <f>'inventory2020(FOR revised)'!F33</f>
        <v>0</v>
      </c>
      <c r="G31" s="15">
        <f>'inventory2020(FOR revised)'!G33</f>
        <v>0</v>
      </c>
      <c r="H31" s="15">
        <f>'inventory2020(FOR revised)'!H33</f>
        <v>7.6</v>
      </c>
      <c r="I31" s="15">
        <f>'inventory2020(FOR revised)'!I33</f>
        <v>0</v>
      </c>
      <c r="J31" s="103" t="s">
        <v>41</v>
      </c>
      <c r="K31" s="597"/>
      <c r="L31" s="28"/>
    </row>
    <row r="32" spans="1:18" ht="15" customHeight="1" x14ac:dyDescent="0.35">
      <c r="A32" s="601"/>
      <c r="B32" s="602"/>
      <c r="C32" s="603">
        <f t="shared" ref="C32:I32" si="0">SUM(C8:C31)</f>
        <v>98.729999999999976</v>
      </c>
      <c r="D32" s="604">
        <f t="shared" si="0"/>
        <v>98.550000000000011</v>
      </c>
      <c r="E32" s="603">
        <f t="shared" si="0"/>
        <v>45.43</v>
      </c>
      <c r="F32" s="603">
        <f t="shared" si="0"/>
        <v>0</v>
      </c>
      <c r="G32" s="603">
        <f t="shared" si="0"/>
        <v>0</v>
      </c>
      <c r="H32" s="603">
        <f t="shared" si="0"/>
        <v>53.300000000000004</v>
      </c>
      <c r="I32" s="603">
        <f t="shared" si="0"/>
        <v>0</v>
      </c>
      <c r="J32" s="109"/>
      <c r="K32" s="605"/>
      <c r="L32" s="28"/>
    </row>
    <row r="33" spans="1:12" s="1" customFormat="1" ht="22.5" customHeight="1" thickBot="1" x14ac:dyDescent="0.4">
      <c r="A33" s="606" t="s">
        <v>341</v>
      </c>
      <c r="B33" s="18"/>
      <c r="C33" s="19">
        <f>E33+F33+G33+H33+I33</f>
        <v>98.73</v>
      </c>
      <c r="D33" s="607"/>
      <c r="E33" s="19">
        <f>SUM(E8:E31)</f>
        <v>45.43</v>
      </c>
      <c r="F33" s="19">
        <f>SUM(F8:F31)</f>
        <v>0</v>
      </c>
      <c r="G33" s="19">
        <f>SUM(G8:G31)</f>
        <v>0</v>
      </c>
      <c r="H33" s="19">
        <f>SUM(H8:H31)</f>
        <v>53.300000000000004</v>
      </c>
      <c r="I33" s="19">
        <f>SUM(I8:I31)</f>
        <v>0</v>
      </c>
      <c r="J33" s="608"/>
      <c r="K33" s="609"/>
      <c r="L33" s="97"/>
    </row>
    <row r="34" spans="1:12" s="1" customFormat="1" ht="16" thickBot="1" x14ac:dyDescent="0.4">
      <c r="A34" s="544"/>
      <c r="B34" s="21"/>
      <c r="C34" s="22"/>
      <c r="D34" s="610"/>
      <c r="E34" s="22"/>
      <c r="F34" s="22"/>
      <c r="G34" s="22"/>
      <c r="H34" s="22"/>
      <c r="I34" s="22"/>
      <c r="K34" s="21"/>
      <c r="L34" s="611"/>
    </row>
    <row r="35" spans="1:12" s="1" customFormat="1" x14ac:dyDescent="0.35">
      <c r="A35" s="1217" t="s">
        <v>342</v>
      </c>
      <c r="B35" s="1218"/>
      <c r="C35" s="1218"/>
      <c r="D35" s="1218"/>
      <c r="E35" s="1218"/>
      <c r="F35" s="1218"/>
      <c r="G35" s="1218"/>
      <c r="H35" s="1218"/>
      <c r="I35" s="1218"/>
      <c r="J35" s="1218"/>
      <c r="K35" s="1218"/>
      <c r="L35" s="1219"/>
    </row>
    <row r="36" spans="1:12" s="1" customFormat="1" ht="16" thickBot="1" x14ac:dyDescent="0.4">
      <c r="A36" s="585"/>
      <c r="B36" s="2"/>
      <c r="C36" s="5"/>
      <c r="D36" s="586"/>
      <c r="E36" s="5"/>
      <c r="F36" s="5"/>
      <c r="G36" s="5"/>
      <c r="H36" s="5"/>
      <c r="I36" s="5"/>
      <c r="J36" s="3"/>
      <c r="K36" s="21"/>
      <c r="L36" s="18"/>
    </row>
    <row r="37" spans="1:12" s="1" customFormat="1" ht="21" customHeight="1" x14ac:dyDescent="0.35">
      <c r="A37" s="1206" t="s">
        <v>302</v>
      </c>
      <c r="B37" s="1208" t="s">
        <v>28</v>
      </c>
      <c r="C37" s="1210" t="s">
        <v>343</v>
      </c>
      <c r="D37" s="613"/>
      <c r="E37" s="1212" t="s">
        <v>305</v>
      </c>
      <c r="F37" s="1212"/>
      <c r="G37" s="1212"/>
      <c r="H37" s="1212"/>
      <c r="I37" s="1212"/>
      <c r="J37" s="1208" t="s">
        <v>29</v>
      </c>
      <c r="K37" s="1213" t="s">
        <v>306</v>
      </c>
      <c r="L37" s="1222" t="s">
        <v>307</v>
      </c>
    </row>
    <row r="38" spans="1:12" s="1" customFormat="1" ht="21" customHeight="1" thickBot="1" x14ac:dyDescent="0.4">
      <c r="A38" s="1207"/>
      <c r="B38" s="1209"/>
      <c r="C38" s="1211"/>
      <c r="D38" s="614"/>
      <c r="E38" s="7" t="s">
        <v>308</v>
      </c>
      <c r="F38" s="7" t="s">
        <v>309</v>
      </c>
      <c r="G38" s="7" t="s">
        <v>310</v>
      </c>
      <c r="H38" s="7" t="s">
        <v>311</v>
      </c>
      <c r="I38" s="7" t="s">
        <v>312</v>
      </c>
      <c r="J38" s="1209"/>
      <c r="K38" s="1214"/>
      <c r="L38" s="1223"/>
    </row>
    <row r="39" spans="1:12" s="1" customFormat="1" ht="16.5" customHeight="1" x14ac:dyDescent="0.35">
      <c r="A39" s="596">
        <v>21</v>
      </c>
      <c r="B39" s="28" t="s">
        <v>241</v>
      </c>
      <c r="C39" s="10">
        <f>'inventory2020(FOR revised)'!C41</f>
        <v>4.32</v>
      </c>
      <c r="D39" s="10">
        <f>'inventory2020(FOR revised)'!D41</f>
        <v>4.3</v>
      </c>
      <c r="E39" s="10">
        <f>'inventory2020(FOR revised)'!E41</f>
        <v>4.1100000000000003</v>
      </c>
      <c r="F39" s="10">
        <f>'inventory2020(FOR revised)'!F41</f>
        <v>0</v>
      </c>
      <c r="G39" s="10">
        <f>'inventory2020(FOR revised)'!G41</f>
        <v>0</v>
      </c>
      <c r="H39" s="10">
        <f>'inventory2020(FOR revised)'!H41</f>
        <v>0.21</v>
      </c>
      <c r="I39" s="10">
        <f>'inventory2020(FOR revised)'!I41</f>
        <v>0</v>
      </c>
      <c r="J39" s="103" t="s">
        <v>10</v>
      </c>
      <c r="K39" s="597" t="s">
        <v>345</v>
      </c>
      <c r="L39" s="112"/>
    </row>
    <row r="40" spans="1:12" s="26" customFormat="1" ht="16.5" customHeight="1" x14ac:dyDescent="0.35">
      <c r="A40" s="589">
        <v>22</v>
      </c>
      <c r="B40" s="24" t="s">
        <v>225</v>
      </c>
      <c r="C40" s="10">
        <f>'inventory2020(FOR revised)'!C42</f>
        <v>4.01</v>
      </c>
      <c r="D40" s="10">
        <f>'inventory2020(FOR revised)'!D42</f>
        <v>3.9</v>
      </c>
      <c r="E40" s="10">
        <f>'inventory2020(FOR revised)'!E42</f>
        <v>0</v>
      </c>
      <c r="F40" s="10">
        <f>'inventory2020(FOR revised)'!F42</f>
        <v>0</v>
      </c>
      <c r="G40" s="10">
        <f>'inventory2020(FOR revised)'!G42</f>
        <v>0</v>
      </c>
      <c r="H40" s="10">
        <f>'inventory2020(FOR revised)'!H42</f>
        <v>4.01</v>
      </c>
      <c r="I40" s="10">
        <f>'inventory2020(FOR revised)'!I42</f>
        <v>0</v>
      </c>
      <c r="J40" s="106" t="s">
        <v>12</v>
      </c>
      <c r="K40" s="591" t="s">
        <v>346</v>
      </c>
      <c r="L40" s="24"/>
    </row>
    <row r="41" spans="1:12" s="26" customFormat="1" ht="16.5" customHeight="1" x14ac:dyDescent="0.35">
      <c r="A41" s="589">
        <v>23</v>
      </c>
      <c r="B41" s="24" t="s">
        <v>237</v>
      </c>
      <c r="C41" s="10">
        <f>'inventory2020(FOR revised)'!C43</f>
        <v>4.42</v>
      </c>
      <c r="D41" s="10">
        <f>'inventory2020(FOR revised)'!D43</f>
        <v>4.3</v>
      </c>
      <c r="E41" s="10">
        <f>'inventory2020(FOR revised)'!E43</f>
        <v>2.9</v>
      </c>
      <c r="F41" s="10">
        <f>'inventory2020(FOR revised)'!F43</f>
        <v>0</v>
      </c>
      <c r="G41" s="10">
        <f>'inventory2020(FOR revised)'!G43</f>
        <v>0</v>
      </c>
      <c r="H41" s="10">
        <f>'inventory2020(FOR revised)'!H43</f>
        <v>1.52</v>
      </c>
      <c r="I41" s="10">
        <f>'inventory2020(FOR revised)'!I43</f>
        <v>0</v>
      </c>
      <c r="J41" s="106" t="s">
        <v>12</v>
      </c>
      <c r="K41" s="591" t="s">
        <v>347</v>
      </c>
      <c r="L41" s="24"/>
    </row>
    <row r="42" spans="1:12" s="26" customFormat="1" ht="16.5" customHeight="1" x14ac:dyDescent="0.35">
      <c r="A42" s="589">
        <v>24</v>
      </c>
      <c r="B42" s="24" t="s">
        <v>236</v>
      </c>
      <c r="C42" s="10">
        <f>'inventory2020(FOR revised)'!C44</f>
        <v>8.25</v>
      </c>
      <c r="D42" s="10">
        <f>'inventory2020(FOR revised)'!D44</f>
        <v>7.5</v>
      </c>
      <c r="E42" s="10">
        <f>'inventory2020(FOR revised)'!E44</f>
        <v>8.25</v>
      </c>
      <c r="F42" s="10">
        <f>'inventory2020(FOR revised)'!F44</f>
        <v>0</v>
      </c>
      <c r="G42" s="10">
        <f>'inventory2020(FOR revised)'!G44</f>
        <v>0</v>
      </c>
      <c r="H42" s="10">
        <f>'inventory2020(FOR revised)'!H44</f>
        <v>0</v>
      </c>
      <c r="I42" s="10">
        <f>'inventory2020(FOR revised)'!I44</f>
        <v>0</v>
      </c>
      <c r="J42" s="106" t="s">
        <v>10</v>
      </c>
      <c r="K42" s="591" t="s">
        <v>347</v>
      </c>
      <c r="L42" s="24"/>
    </row>
    <row r="43" spans="1:12" s="1" customFormat="1" ht="16.5" customHeight="1" x14ac:dyDescent="0.35">
      <c r="A43" s="596">
        <v>25</v>
      </c>
      <c r="B43" s="28" t="s">
        <v>30</v>
      </c>
      <c r="C43" s="10">
        <f>'inventory2020(FOR revised)'!C45</f>
        <v>0.88</v>
      </c>
      <c r="D43" s="10">
        <f>'inventory2020(FOR revised)'!D45</f>
        <v>1.7</v>
      </c>
      <c r="E43" s="10">
        <f>'inventory2020(FOR revised)'!E45</f>
        <v>0</v>
      </c>
      <c r="F43" s="10">
        <f>'inventory2020(FOR revised)'!F45</f>
        <v>0</v>
      </c>
      <c r="G43" s="10">
        <f>'inventory2020(FOR revised)'!G45</f>
        <v>0</v>
      </c>
      <c r="H43" s="10">
        <f>'inventory2020(FOR revised)'!H45</f>
        <v>0.88</v>
      </c>
      <c r="I43" s="10">
        <f>'inventory2020(FOR revised)'!I45</f>
        <v>0</v>
      </c>
      <c r="J43" s="103" t="s">
        <v>12</v>
      </c>
      <c r="K43" s="597" t="s">
        <v>348</v>
      </c>
      <c r="L43" s="28" t="s">
        <v>833</v>
      </c>
    </row>
    <row r="44" spans="1:12" s="26" customFormat="1" ht="16.5" customHeight="1" x14ac:dyDescent="0.35">
      <c r="A44" s="589">
        <v>26</v>
      </c>
      <c r="B44" s="24" t="s">
        <v>350</v>
      </c>
      <c r="C44" s="10">
        <f>'inventory2020(FOR revised)'!C46</f>
        <v>6.0600000000000005</v>
      </c>
      <c r="D44" s="10">
        <f>'inventory2020(FOR revised)'!D46</f>
        <v>5.9</v>
      </c>
      <c r="E44" s="10">
        <f>'inventory2020(FOR revised)'!E46</f>
        <v>2.85</v>
      </c>
      <c r="F44" s="10">
        <f>'inventory2020(FOR revised)'!F46</f>
        <v>0</v>
      </c>
      <c r="G44" s="10">
        <f>'inventory2020(FOR revised)'!G46</f>
        <v>0</v>
      </c>
      <c r="H44" s="10">
        <f>'inventory2020(FOR revised)'!H46</f>
        <v>3.21</v>
      </c>
      <c r="I44" s="10">
        <f>'inventory2020(FOR revised)'!I46</f>
        <v>0</v>
      </c>
      <c r="J44" s="24" t="s">
        <v>12</v>
      </c>
      <c r="K44" s="591" t="s">
        <v>348</v>
      </c>
      <c r="L44" s="24"/>
    </row>
    <row r="45" spans="1:12" s="26" customFormat="1" ht="16.5" customHeight="1" x14ac:dyDescent="0.35">
      <c r="A45" s="589">
        <v>27</v>
      </c>
      <c r="B45" s="24" t="s">
        <v>224</v>
      </c>
      <c r="C45" s="10">
        <f>'inventory2020(FOR revised)'!C47</f>
        <v>1.93</v>
      </c>
      <c r="D45" s="10">
        <f>'inventory2020(FOR revised)'!D47</f>
        <v>1.9</v>
      </c>
      <c r="E45" s="10">
        <f>'inventory2020(FOR revised)'!E47</f>
        <v>0.28000000000000003</v>
      </c>
      <c r="F45" s="10">
        <f>'inventory2020(FOR revised)'!F47</f>
        <v>0</v>
      </c>
      <c r="G45" s="10">
        <f>'inventory2020(FOR revised)'!G47</f>
        <v>0</v>
      </c>
      <c r="H45" s="10">
        <f>'inventory2020(FOR revised)'!H47</f>
        <v>1.65</v>
      </c>
      <c r="I45" s="10">
        <f>'inventory2020(FOR revised)'!I47</f>
        <v>0</v>
      </c>
      <c r="J45" s="106" t="s">
        <v>12</v>
      </c>
      <c r="K45" s="591" t="s">
        <v>351</v>
      </c>
      <c r="L45" s="24"/>
    </row>
    <row r="46" spans="1:12" s="26" customFormat="1" ht="16.5" customHeight="1" x14ac:dyDescent="0.35">
      <c r="A46" s="589">
        <v>28</v>
      </c>
      <c r="B46" s="24" t="s">
        <v>233</v>
      </c>
      <c r="C46" s="10">
        <f>'inventory2020(FOR revised)'!C48</f>
        <v>5.62</v>
      </c>
      <c r="D46" s="10">
        <f>'inventory2020(FOR revised)'!D48</f>
        <v>5.6</v>
      </c>
      <c r="E46" s="10">
        <f>'inventory2020(FOR revised)'!E48</f>
        <v>1.54</v>
      </c>
      <c r="F46" s="10">
        <f>'inventory2020(FOR revised)'!F48</f>
        <v>0</v>
      </c>
      <c r="G46" s="10">
        <f>'inventory2020(FOR revised)'!G48</f>
        <v>0</v>
      </c>
      <c r="H46" s="10">
        <f>'inventory2020(FOR revised)'!H48</f>
        <v>4.08</v>
      </c>
      <c r="I46" s="10">
        <f>'inventory2020(FOR revised)'!I48</f>
        <v>0</v>
      </c>
      <c r="J46" s="106" t="s">
        <v>10</v>
      </c>
      <c r="K46" s="591" t="s">
        <v>352</v>
      </c>
      <c r="L46" s="24"/>
    </row>
    <row r="47" spans="1:12" s="26" customFormat="1" ht="16.5" customHeight="1" x14ac:dyDescent="0.35">
      <c r="A47" s="589">
        <v>29</v>
      </c>
      <c r="B47" s="24" t="s">
        <v>239</v>
      </c>
      <c r="C47" s="10">
        <f>'inventory2020(FOR revised)'!C49</f>
        <v>0.86</v>
      </c>
      <c r="D47" s="10">
        <f>'inventory2020(FOR revised)'!D49</f>
        <v>0.8</v>
      </c>
      <c r="E47" s="10">
        <f>'inventory2020(FOR revised)'!E49</f>
        <v>0.11</v>
      </c>
      <c r="F47" s="10">
        <f>'inventory2020(FOR revised)'!F49</f>
        <v>0</v>
      </c>
      <c r="G47" s="10">
        <f>'inventory2020(FOR revised)'!G49</f>
        <v>0</v>
      </c>
      <c r="H47" s="10">
        <f>'inventory2020(FOR revised)'!H49</f>
        <v>0.75</v>
      </c>
      <c r="I47" s="10">
        <f>'inventory2020(FOR revised)'!I49</f>
        <v>0</v>
      </c>
      <c r="J47" s="106" t="s">
        <v>12</v>
      </c>
      <c r="K47" s="591" t="s">
        <v>353</v>
      </c>
      <c r="L47" s="24"/>
    </row>
    <row r="48" spans="1:12" s="1" customFormat="1" ht="16.5" customHeight="1" x14ac:dyDescent="0.35">
      <c r="A48" s="596">
        <v>30</v>
      </c>
      <c r="B48" s="28" t="s">
        <v>354</v>
      </c>
      <c r="C48" s="10">
        <f>'inventory2020(FOR revised)'!C50</f>
        <v>2</v>
      </c>
      <c r="D48" s="10">
        <f>'inventory2020(FOR revised)'!D50</f>
        <v>2</v>
      </c>
      <c r="E48" s="10">
        <f>'inventory2020(FOR revised)'!E50</f>
        <v>1.5</v>
      </c>
      <c r="F48" s="10">
        <f>'inventory2020(FOR revised)'!F50</f>
        <v>0</v>
      </c>
      <c r="G48" s="10">
        <f>'inventory2020(FOR revised)'!G50</f>
        <v>0</v>
      </c>
      <c r="H48" s="10">
        <f>'inventory2020(FOR revised)'!H50</f>
        <v>0.5</v>
      </c>
      <c r="I48" s="10">
        <f>'inventory2020(FOR revised)'!I50</f>
        <v>0</v>
      </c>
      <c r="J48" s="103" t="s">
        <v>10</v>
      </c>
      <c r="K48" s="597" t="s">
        <v>355</v>
      </c>
      <c r="L48" s="28" t="s">
        <v>356</v>
      </c>
    </row>
    <row r="49" spans="1:12" s="26" customFormat="1" ht="16.5" customHeight="1" x14ac:dyDescent="0.35">
      <c r="A49" s="589">
        <v>106</v>
      </c>
      <c r="B49" s="24" t="s">
        <v>238</v>
      </c>
      <c r="C49" s="10">
        <f>'inventory2020(FOR revised)'!C51</f>
        <v>3.21</v>
      </c>
      <c r="D49" s="10">
        <f>'inventory2020(FOR revised)'!D51</f>
        <v>3.2</v>
      </c>
      <c r="E49" s="10">
        <f>'inventory2020(FOR revised)'!E51</f>
        <v>3.21</v>
      </c>
      <c r="F49" s="10">
        <f>'inventory2020(FOR revised)'!F51</f>
        <v>0</v>
      </c>
      <c r="G49" s="10">
        <f>'inventory2020(FOR revised)'!G51</f>
        <v>0</v>
      </c>
      <c r="H49" s="10">
        <f>'inventory2020(FOR revised)'!H51</f>
        <v>0</v>
      </c>
      <c r="I49" s="10">
        <f>'inventory2020(FOR revised)'!I51</f>
        <v>0</v>
      </c>
      <c r="J49" s="106" t="s">
        <v>10</v>
      </c>
      <c r="K49" s="591" t="s">
        <v>358</v>
      </c>
      <c r="L49" s="24"/>
    </row>
    <row r="50" spans="1:12" s="26" customFormat="1" ht="16.5" customHeight="1" x14ac:dyDescent="0.35">
      <c r="A50" s="589">
        <v>31</v>
      </c>
      <c r="B50" s="24" t="s">
        <v>359</v>
      </c>
      <c r="C50" s="10">
        <f>'inventory2020(FOR revised)'!C52</f>
        <v>0.78</v>
      </c>
      <c r="D50" s="10">
        <f>'inventory2020(FOR revised)'!D52</f>
        <v>0.8</v>
      </c>
      <c r="E50" s="10">
        <f>'inventory2020(FOR revised)'!E52</f>
        <v>0.78</v>
      </c>
      <c r="F50" s="10">
        <f>'inventory2020(FOR revised)'!F52</f>
        <v>0</v>
      </c>
      <c r="G50" s="10">
        <f>'inventory2020(FOR revised)'!G52</f>
        <v>0</v>
      </c>
      <c r="H50" s="10">
        <f>'inventory2020(FOR revised)'!H52</f>
        <v>0</v>
      </c>
      <c r="I50" s="10">
        <f>'inventory2020(FOR revised)'!I52</f>
        <v>0</v>
      </c>
      <c r="J50" s="106" t="s">
        <v>10</v>
      </c>
      <c r="K50" s="591" t="s">
        <v>360</v>
      </c>
      <c r="L50" s="24"/>
    </row>
    <row r="51" spans="1:12" s="1" customFormat="1" ht="16.5" customHeight="1" x14ac:dyDescent="0.35">
      <c r="A51" s="596">
        <v>32</v>
      </c>
      <c r="B51" s="28" t="s">
        <v>232</v>
      </c>
      <c r="C51" s="10">
        <f>'inventory2020(FOR revised)'!C53</f>
        <v>3.01</v>
      </c>
      <c r="D51" s="10">
        <f>'inventory2020(FOR revised)'!D53</f>
        <v>3</v>
      </c>
      <c r="E51" s="10">
        <f>'inventory2020(FOR revised)'!E53</f>
        <v>0</v>
      </c>
      <c r="F51" s="10">
        <f>'inventory2020(FOR revised)'!F53</f>
        <v>0</v>
      </c>
      <c r="G51" s="10">
        <f>'inventory2020(FOR revised)'!G53</f>
        <v>0</v>
      </c>
      <c r="H51" s="10">
        <f>'inventory2020(FOR revised)'!H53</f>
        <v>3.01</v>
      </c>
      <c r="I51" s="10">
        <f>'inventory2020(FOR revised)'!I53</f>
        <v>0</v>
      </c>
      <c r="J51" s="103" t="s">
        <v>41</v>
      </c>
      <c r="K51" s="597" t="s">
        <v>361</v>
      </c>
      <c r="L51" s="28"/>
    </row>
    <row r="52" spans="1:12" s="1" customFormat="1" ht="16.5" customHeight="1" x14ac:dyDescent="0.35">
      <c r="A52" s="596">
        <v>33</v>
      </c>
      <c r="B52" s="28" t="s">
        <v>34</v>
      </c>
      <c r="C52" s="10">
        <f>'inventory2020(FOR revised)'!C54</f>
        <v>2.4</v>
      </c>
      <c r="D52" s="10">
        <f>'inventory2020(FOR revised)'!D54</f>
        <v>2.4</v>
      </c>
      <c r="E52" s="10">
        <f>'inventory2020(FOR revised)'!E54</f>
        <v>0.25</v>
      </c>
      <c r="F52" s="10">
        <f>'inventory2020(FOR revised)'!F54</f>
        <v>0</v>
      </c>
      <c r="G52" s="10">
        <f>'inventory2020(FOR revised)'!G54</f>
        <v>0</v>
      </c>
      <c r="H52" s="10">
        <f>'inventory2020(FOR revised)'!H54</f>
        <v>2.15</v>
      </c>
      <c r="I52" s="10">
        <f>'inventory2020(FOR revised)'!I54</f>
        <v>0</v>
      </c>
      <c r="J52" s="28" t="s">
        <v>33</v>
      </c>
      <c r="K52" s="597" t="s">
        <v>362</v>
      </c>
      <c r="L52" s="28"/>
    </row>
    <row r="53" spans="1:12" s="1" customFormat="1" ht="16.5" customHeight="1" x14ac:dyDescent="0.35">
      <c r="A53" s="596">
        <v>34</v>
      </c>
      <c r="B53" s="28" t="s">
        <v>235</v>
      </c>
      <c r="C53" s="10">
        <f>'inventory2020(FOR revised)'!C55</f>
        <v>4.3099999999999996</v>
      </c>
      <c r="D53" s="10">
        <f>'inventory2020(FOR revised)'!D55</f>
        <v>4.2</v>
      </c>
      <c r="E53" s="10">
        <f>'inventory2020(FOR revised)'!E55</f>
        <v>0</v>
      </c>
      <c r="F53" s="10">
        <f>'inventory2020(FOR revised)'!F55</f>
        <v>0</v>
      </c>
      <c r="G53" s="10">
        <f>'inventory2020(FOR revised)'!G55</f>
        <v>0</v>
      </c>
      <c r="H53" s="10">
        <f>'inventory2020(FOR revised)'!H55</f>
        <v>4.3099999999999996</v>
      </c>
      <c r="I53" s="10">
        <f>'inventory2020(FOR revised)'!I55</f>
        <v>0</v>
      </c>
      <c r="J53" s="103" t="s">
        <v>12</v>
      </c>
      <c r="K53" s="597" t="s">
        <v>363</v>
      </c>
      <c r="L53" s="28"/>
    </row>
    <row r="54" spans="1:12" s="26" customFormat="1" ht="16.5" customHeight="1" x14ac:dyDescent="0.35">
      <c r="A54" s="589">
        <v>35</v>
      </c>
      <c r="B54" s="24" t="s">
        <v>364</v>
      </c>
      <c r="C54" s="10">
        <f>'inventory2020(FOR revised)'!C56</f>
        <v>2.9699999999999998</v>
      </c>
      <c r="D54" s="10">
        <f>'inventory2020(FOR revised)'!D56</f>
        <v>3</v>
      </c>
      <c r="E54" s="10">
        <f>'inventory2020(FOR revised)'!E56</f>
        <v>0.4</v>
      </c>
      <c r="F54" s="10">
        <f>'inventory2020(FOR revised)'!F56</f>
        <v>0</v>
      </c>
      <c r="G54" s="10">
        <f>'inventory2020(FOR revised)'!G56</f>
        <v>0</v>
      </c>
      <c r="H54" s="10">
        <f>'inventory2020(FOR revised)'!H56</f>
        <v>2.57</v>
      </c>
      <c r="I54" s="10">
        <f>'inventory2020(FOR revised)'!I56</f>
        <v>0</v>
      </c>
      <c r="J54" s="106" t="s">
        <v>12</v>
      </c>
      <c r="K54" s="591" t="s">
        <v>365</v>
      </c>
      <c r="L54" s="24"/>
    </row>
    <row r="55" spans="1:12" s="26" customFormat="1" ht="16.5" customHeight="1" x14ac:dyDescent="0.35">
      <c r="A55" s="589">
        <v>36</v>
      </c>
      <c r="B55" s="24" t="s">
        <v>366</v>
      </c>
      <c r="C55" s="10">
        <f>'inventory2020(FOR revised)'!C57</f>
        <v>6.01</v>
      </c>
      <c r="D55" s="10">
        <f>'inventory2020(FOR revised)'!D57</f>
        <v>6.2</v>
      </c>
      <c r="E55" s="10">
        <f>'inventory2020(FOR revised)'!E57</f>
        <v>0</v>
      </c>
      <c r="F55" s="10">
        <f>'inventory2020(FOR revised)'!F57</f>
        <v>0</v>
      </c>
      <c r="G55" s="10">
        <f>'inventory2020(FOR revised)'!G57</f>
        <v>0</v>
      </c>
      <c r="H55" s="10">
        <f>'inventory2020(FOR revised)'!H57</f>
        <v>6.01</v>
      </c>
      <c r="I55" s="10">
        <f>'inventory2020(FOR revised)'!I57</f>
        <v>0</v>
      </c>
      <c r="J55" s="106" t="s">
        <v>12</v>
      </c>
      <c r="K55" s="591" t="s">
        <v>367</v>
      </c>
      <c r="L55" s="24"/>
    </row>
    <row r="56" spans="1:12" s="26" customFormat="1" ht="24.75" customHeight="1" x14ac:dyDescent="0.35">
      <c r="A56" s="589">
        <v>37</v>
      </c>
      <c r="B56" s="24" t="s">
        <v>234</v>
      </c>
      <c r="C56" s="10">
        <f>'inventory2020(FOR revised)'!C58</f>
        <v>1.6</v>
      </c>
      <c r="D56" s="10">
        <f>'inventory2020(FOR revised)'!D58</f>
        <v>1.6</v>
      </c>
      <c r="E56" s="10">
        <f>'inventory2020(FOR revised)'!E58</f>
        <v>0</v>
      </c>
      <c r="F56" s="10">
        <f>'inventory2020(FOR revised)'!F58</f>
        <v>0</v>
      </c>
      <c r="G56" s="10">
        <f>'inventory2020(FOR revised)'!G58</f>
        <v>0</v>
      </c>
      <c r="H56" s="10">
        <f>'inventory2020(FOR revised)'!H58</f>
        <v>1.6</v>
      </c>
      <c r="I56" s="10">
        <f>'inventory2020(FOR revised)'!I58</f>
        <v>0</v>
      </c>
      <c r="J56" s="106" t="s">
        <v>12</v>
      </c>
      <c r="K56" s="591" t="s">
        <v>368</v>
      </c>
      <c r="L56" s="24"/>
    </row>
    <row r="57" spans="1:12" s="26" customFormat="1" ht="16.5" customHeight="1" x14ac:dyDescent="0.35">
      <c r="A57" s="589">
        <v>38</v>
      </c>
      <c r="B57" s="24" t="s">
        <v>36</v>
      </c>
      <c r="C57" s="10">
        <f>'inventory2020(FOR revised)'!C59</f>
        <v>3.9</v>
      </c>
      <c r="D57" s="10">
        <f>'inventory2020(FOR revised)'!D59</f>
        <v>4.4000000000000004</v>
      </c>
      <c r="E57" s="10">
        <f>'inventory2020(FOR revised)'!E59</f>
        <v>1.504</v>
      </c>
      <c r="F57" s="10">
        <f>'inventory2020(FOR revised)'!F59</f>
        <v>0</v>
      </c>
      <c r="G57" s="10">
        <f>'inventory2020(FOR revised)'!G59</f>
        <v>0</v>
      </c>
      <c r="H57" s="10">
        <f>'inventory2020(FOR revised)'!H59</f>
        <v>2.3959999999999999</v>
      </c>
      <c r="I57" s="10">
        <f>'inventory2020(FOR revised)'!I59</f>
        <v>0</v>
      </c>
      <c r="J57" s="106" t="s">
        <v>12</v>
      </c>
      <c r="K57" s="591" t="s">
        <v>369</v>
      </c>
      <c r="L57" s="24"/>
    </row>
    <row r="58" spans="1:12" s="26" customFormat="1" ht="16.5" customHeight="1" x14ac:dyDescent="0.35">
      <c r="A58" s="589">
        <v>39</v>
      </c>
      <c r="B58" s="24" t="s">
        <v>370</v>
      </c>
      <c r="C58" s="10">
        <f>'inventory2020(FOR revised)'!C60</f>
        <v>4.9400000000000004</v>
      </c>
      <c r="D58" s="10">
        <f>'inventory2020(FOR revised)'!D60</f>
        <v>4.9000000000000004</v>
      </c>
      <c r="E58" s="10">
        <f>'inventory2020(FOR revised)'!E60</f>
        <v>0</v>
      </c>
      <c r="F58" s="10">
        <f>'inventory2020(FOR revised)'!F60</f>
        <v>0</v>
      </c>
      <c r="G58" s="10">
        <f>'inventory2020(FOR revised)'!G60</f>
        <v>0</v>
      </c>
      <c r="H58" s="10">
        <f>'inventory2020(FOR revised)'!H60</f>
        <v>4.9400000000000004</v>
      </c>
      <c r="I58" s="10">
        <f>'inventory2020(FOR revised)'!I60</f>
        <v>0</v>
      </c>
      <c r="J58" s="106" t="s">
        <v>12</v>
      </c>
      <c r="K58" s="591" t="s">
        <v>371</v>
      </c>
      <c r="L58" s="24"/>
    </row>
    <row r="59" spans="1:12" s="26" customFormat="1" ht="16.5" customHeight="1" x14ac:dyDescent="0.35">
      <c r="A59" s="589">
        <v>105</v>
      </c>
      <c r="B59" s="24" t="s">
        <v>228</v>
      </c>
      <c r="C59" s="10">
        <f>'inventory2020(FOR revised)'!C61</f>
        <v>3.65</v>
      </c>
      <c r="D59" s="10">
        <f>'inventory2020(FOR revised)'!D61</f>
        <v>3.6</v>
      </c>
      <c r="E59" s="10">
        <f>'inventory2020(FOR revised)'!E61</f>
        <v>0</v>
      </c>
      <c r="F59" s="10">
        <f>'inventory2020(FOR revised)'!F61</f>
        <v>0</v>
      </c>
      <c r="G59" s="10">
        <f>'inventory2020(FOR revised)'!G61</f>
        <v>0</v>
      </c>
      <c r="H59" s="10">
        <f>'inventory2020(FOR revised)'!H61</f>
        <v>3.65</v>
      </c>
      <c r="I59" s="10">
        <f>'inventory2020(FOR revised)'!I61</f>
        <v>0</v>
      </c>
      <c r="J59" s="106" t="s">
        <v>12</v>
      </c>
      <c r="K59" s="591" t="s">
        <v>372</v>
      </c>
      <c r="L59" s="24"/>
    </row>
    <row r="60" spans="1:12" s="1" customFormat="1" ht="16.5" customHeight="1" x14ac:dyDescent="0.35">
      <c r="A60" s="596">
        <v>40</v>
      </c>
      <c r="B60" s="28" t="s">
        <v>231</v>
      </c>
      <c r="C60" s="10">
        <f>'inventory2020(FOR revised)'!C62</f>
        <v>1.55</v>
      </c>
      <c r="D60" s="10">
        <f>'inventory2020(FOR revised)'!D62</f>
        <v>1.5</v>
      </c>
      <c r="E60" s="10">
        <f>'inventory2020(FOR revised)'!E62</f>
        <v>1.22</v>
      </c>
      <c r="F60" s="10">
        <f>'inventory2020(FOR revised)'!F62</f>
        <v>0</v>
      </c>
      <c r="G60" s="10">
        <f>'inventory2020(FOR revised)'!G62</f>
        <v>0</v>
      </c>
      <c r="H60" s="10">
        <f>'inventory2020(FOR revised)'!H62</f>
        <v>0.33</v>
      </c>
      <c r="I60" s="10">
        <f>'inventory2020(FOR revised)'!I62</f>
        <v>0</v>
      </c>
      <c r="J60" s="103" t="s">
        <v>33</v>
      </c>
      <c r="K60" s="597" t="s">
        <v>373</v>
      </c>
      <c r="L60" s="28"/>
    </row>
    <row r="61" spans="1:12" s="1" customFormat="1" ht="16.5" customHeight="1" x14ac:dyDescent="0.35">
      <c r="A61" s="596">
        <v>41</v>
      </c>
      <c r="B61" s="28" t="s">
        <v>230</v>
      </c>
      <c r="C61" s="10">
        <f>'inventory2020(FOR revised)'!C63</f>
        <v>2.81</v>
      </c>
      <c r="D61" s="10">
        <f>'inventory2020(FOR revised)'!D63</f>
        <v>2.8</v>
      </c>
      <c r="E61" s="10">
        <f>'inventory2020(FOR revised)'!E63</f>
        <v>0</v>
      </c>
      <c r="F61" s="10">
        <f>'inventory2020(FOR revised)'!F63</f>
        <v>0</v>
      </c>
      <c r="G61" s="10">
        <f>'inventory2020(FOR revised)'!G63</f>
        <v>0</v>
      </c>
      <c r="H61" s="10">
        <f>'inventory2020(FOR revised)'!H63</f>
        <v>2.81</v>
      </c>
      <c r="I61" s="10">
        <f>'inventory2020(FOR revised)'!I63</f>
        <v>0</v>
      </c>
      <c r="J61" s="103" t="s">
        <v>33</v>
      </c>
      <c r="K61" s="597" t="s">
        <v>374</v>
      </c>
      <c r="L61" s="28"/>
    </row>
    <row r="62" spans="1:12" s="26" customFormat="1" ht="16.5" customHeight="1" x14ac:dyDescent="0.35">
      <c r="A62" s="589">
        <v>42</v>
      </c>
      <c r="B62" s="24" t="s">
        <v>227</v>
      </c>
      <c r="C62" s="10">
        <f>'inventory2020(FOR revised)'!C64</f>
        <v>1.5</v>
      </c>
      <c r="D62" s="10">
        <f>'inventory2020(FOR revised)'!D64</f>
        <v>1.5</v>
      </c>
      <c r="E62" s="10">
        <f>'inventory2020(FOR revised)'!E64</f>
        <v>0</v>
      </c>
      <c r="F62" s="10">
        <f>'inventory2020(FOR revised)'!F64</f>
        <v>0</v>
      </c>
      <c r="G62" s="10">
        <f>'inventory2020(FOR revised)'!G64</f>
        <v>0</v>
      </c>
      <c r="H62" s="10">
        <f>'inventory2020(FOR revised)'!H64</f>
        <v>1.5</v>
      </c>
      <c r="I62" s="10">
        <f>'inventory2020(FOR revised)'!I64</f>
        <v>0</v>
      </c>
      <c r="J62" s="106" t="s">
        <v>12</v>
      </c>
      <c r="K62" s="591" t="s">
        <v>375</v>
      </c>
      <c r="L62" s="24"/>
    </row>
    <row r="63" spans="1:12" s="1" customFormat="1" ht="16.5" customHeight="1" x14ac:dyDescent="0.35">
      <c r="A63" s="596">
        <v>43</v>
      </c>
      <c r="B63" s="28" t="s">
        <v>226</v>
      </c>
      <c r="C63" s="10">
        <f>'inventory2020(FOR revised)'!C65</f>
        <v>12.7</v>
      </c>
      <c r="D63" s="10">
        <f>'inventory2020(FOR revised)'!D65</f>
        <v>12.7</v>
      </c>
      <c r="E63" s="10">
        <f>'inventory2020(FOR revised)'!E65</f>
        <v>0.16</v>
      </c>
      <c r="F63" s="10">
        <f>'inventory2020(FOR revised)'!F65</f>
        <v>0</v>
      </c>
      <c r="G63" s="10">
        <f>'inventory2020(FOR revised)'!G65</f>
        <v>0</v>
      </c>
      <c r="H63" s="10">
        <f>'inventory2020(FOR revised)'!H65</f>
        <v>12.54</v>
      </c>
      <c r="I63" s="10">
        <f>'inventory2020(FOR revised)'!I65</f>
        <v>0</v>
      </c>
      <c r="J63" s="103" t="s">
        <v>41</v>
      </c>
      <c r="K63" s="597" t="s">
        <v>376</v>
      </c>
      <c r="L63" s="28" t="s">
        <v>833</v>
      </c>
    </row>
    <row r="64" spans="1:12" s="1" customFormat="1" ht="16.5" customHeight="1" x14ac:dyDescent="0.35">
      <c r="A64" s="596">
        <v>44</v>
      </c>
      <c r="B64" s="28" t="s">
        <v>229</v>
      </c>
      <c r="C64" s="10">
        <f>'inventory2020(FOR revised)'!C66</f>
        <v>5.52</v>
      </c>
      <c r="D64" s="10">
        <f>'inventory2020(FOR revised)'!D66</f>
        <v>5.3</v>
      </c>
      <c r="E64" s="10">
        <f>'inventory2020(FOR revised)'!E66</f>
        <v>0</v>
      </c>
      <c r="F64" s="10">
        <f>'inventory2020(FOR revised)'!F66</f>
        <v>0</v>
      </c>
      <c r="G64" s="10">
        <f>'inventory2020(FOR revised)'!G66</f>
        <v>0</v>
      </c>
      <c r="H64" s="10">
        <f>'inventory2020(FOR revised)'!H66</f>
        <v>5.52</v>
      </c>
      <c r="I64" s="10">
        <f>'inventory2020(FOR revised)'!I66</f>
        <v>0</v>
      </c>
      <c r="J64" s="103" t="s">
        <v>41</v>
      </c>
      <c r="K64" s="597" t="s">
        <v>378</v>
      </c>
      <c r="L64" s="28"/>
    </row>
    <row r="65" spans="1:14" s="26" customFormat="1" ht="16.5" customHeight="1" x14ac:dyDescent="0.35">
      <c r="A65" s="589">
        <v>104</v>
      </c>
      <c r="B65" s="24" t="s">
        <v>240</v>
      </c>
      <c r="C65" s="10">
        <f>'inventory2020(FOR revised)'!C67</f>
        <v>3.13</v>
      </c>
      <c r="D65" s="10">
        <f>'inventory2020(FOR revised)'!D67</f>
        <v>3.1</v>
      </c>
      <c r="E65" s="10">
        <f>'inventory2020(FOR revised)'!E67</f>
        <v>0</v>
      </c>
      <c r="F65" s="10">
        <f>'inventory2020(FOR revised)'!F67</f>
        <v>0</v>
      </c>
      <c r="G65" s="10">
        <f>'inventory2020(FOR revised)'!G67</f>
        <v>0</v>
      </c>
      <c r="H65" s="10">
        <f>'inventory2020(FOR revised)'!H67</f>
        <v>3.13</v>
      </c>
      <c r="I65" s="10">
        <f>'inventory2020(FOR revised)'!I67</f>
        <v>0</v>
      </c>
      <c r="J65" s="106" t="s">
        <v>12</v>
      </c>
      <c r="K65" s="591" t="s">
        <v>379</v>
      </c>
      <c r="L65" s="24"/>
    </row>
    <row r="66" spans="1:14" s="26" customFormat="1" ht="16.5" customHeight="1" x14ac:dyDescent="0.35">
      <c r="A66" s="626"/>
      <c r="B66" s="60"/>
      <c r="C66" s="61">
        <f t="shared" ref="C66:I66" si="1">SUM(C39:C65)</f>
        <v>102.33999999999999</v>
      </c>
      <c r="D66" s="627">
        <f t="shared" si="1"/>
        <v>102.1</v>
      </c>
      <c r="E66" s="61">
        <f t="shared" si="1"/>
        <v>29.064</v>
      </c>
      <c r="F66" s="61">
        <f t="shared" si="1"/>
        <v>0</v>
      </c>
      <c r="G66" s="61">
        <f t="shared" si="1"/>
        <v>0</v>
      </c>
      <c r="H66" s="61">
        <f t="shared" si="1"/>
        <v>73.275999999999996</v>
      </c>
      <c r="I66" s="61">
        <f t="shared" si="1"/>
        <v>0</v>
      </c>
      <c r="J66" s="628"/>
      <c r="K66" s="629"/>
      <c r="L66" s="24"/>
    </row>
    <row r="67" spans="1:14" s="1" customFormat="1" ht="24" customHeight="1" thickBot="1" x14ac:dyDescent="0.4">
      <c r="A67" s="53" t="s">
        <v>341</v>
      </c>
      <c r="B67" s="30"/>
      <c r="C67" s="31">
        <f>SUM(E67:I67)</f>
        <v>102.34</v>
      </c>
      <c r="D67" s="630"/>
      <c r="E67" s="31">
        <f>SUM(E39:E65)</f>
        <v>29.064</v>
      </c>
      <c r="F67" s="31">
        <f>SUM(F39:F65)</f>
        <v>0</v>
      </c>
      <c r="G67" s="31">
        <f>SUM(G39:G65)</f>
        <v>0</v>
      </c>
      <c r="H67" s="31">
        <f>SUM(H39:H65)</f>
        <v>73.275999999999996</v>
      </c>
      <c r="I67" s="31">
        <f>SUM(I39:I65)</f>
        <v>0</v>
      </c>
      <c r="J67" s="608"/>
      <c r="K67" s="609"/>
      <c r="L67" s="97"/>
    </row>
    <row r="68" spans="1:14" s="1" customFormat="1" x14ac:dyDescent="0.35">
      <c r="A68" s="1217" t="s">
        <v>380</v>
      </c>
      <c r="B68" s="1218"/>
      <c r="C68" s="1218"/>
      <c r="D68" s="1218"/>
      <c r="E68" s="1218"/>
      <c r="F68" s="1218"/>
      <c r="G68" s="1218"/>
      <c r="H68" s="1218"/>
      <c r="I68" s="1218"/>
      <c r="J68" s="1218"/>
      <c r="K68" s="1218"/>
      <c r="L68" s="1219"/>
    </row>
    <row r="69" spans="1:14" s="1" customFormat="1" ht="16" thickBot="1" x14ac:dyDescent="0.4">
      <c r="A69" s="585"/>
      <c r="B69" s="2"/>
      <c r="C69" s="5"/>
      <c r="D69" s="586"/>
      <c r="E69" s="5"/>
      <c r="F69" s="5"/>
      <c r="G69" s="5"/>
      <c r="H69" s="5"/>
      <c r="I69" s="5"/>
      <c r="J69" s="3"/>
      <c r="K69" s="21"/>
      <c r="L69" s="631"/>
    </row>
    <row r="70" spans="1:14" s="1" customFormat="1" ht="21" customHeight="1" x14ac:dyDescent="0.35">
      <c r="A70" s="1206" t="s">
        <v>302</v>
      </c>
      <c r="B70" s="1208" t="s">
        <v>28</v>
      </c>
      <c r="C70" s="1210" t="s">
        <v>343</v>
      </c>
      <c r="D70" s="613"/>
      <c r="E70" s="1212" t="s">
        <v>305</v>
      </c>
      <c r="F70" s="1212"/>
      <c r="G70" s="1212"/>
      <c r="H70" s="1212"/>
      <c r="I70" s="1212"/>
      <c r="J70" s="1208" t="s">
        <v>29</v>
      </c>
      <c r="K70" s="1213" t="s">
        <v>306</v>
      </c>
      <c r="L70" s="1226" t="s">
        <v>307</v>
      </c>
    </row>
    <row r="71" spans="1:14" s="1" customFormat="1" ht="21" customHeight="1" thickBot="1" x14ac:dyDescent="0.4">
      <c r="A71" s="1207"/>
      <c r="B71" s="1209"/>
      <c r="C71" s="1211"/>
      <c r="D71" s="614"/>
      <c r="E71" s="7" t="s">
        <v>308</v>
      </c>
      <c r="F71" s="7" t="s">
        <v>309</v>
      </c>
      <c r="G71" s="7" t="s">
        <v>310</v>
      </c>
      <c r="H71" s="7" t="s">
        <v>311</v>
      </c>
      <c r="I71" s="7" t="s">
        <v>312</v>
      </c>
      <c r="J71" s="1209"/>
      <c r="K71" s="1214"/>
      <c r="L71" s="1227"/>
    </row>
    <row r="72" spans="1:14" s="26" customFormat="1" ht="16.5" customHeight="1" x14ac:dyDescent="0.35">
      <c r="A72" s="589">
        <v>107</v>
      </c>
      <c r="B72" s="24" t="s">
        <v>381</v>
      </c>
      <c r="C72" s="15">
        <f>'inventory2020(FOR revised)'!C74</f>
        <v>2.59</v>
      </c>
      <c r="D72" s="15">
        <f>'inventory2020(FOR revised)'!D74</f>
        <v>2.5</v>
      </c>
      <c r="E72" s="15">
        <f>'inventory2020(FOR revised)'!E74</f>
        <v>1.07</v>
      </c>
      <c r="F72" s="15">
        <f>'inventory2020(FOR revised)'!F74</f>
        <v>0</v>
      </c>
      <c r="G72" s="15">
        <f>'inventory2020(FOR revised)'!G74</f>
        <v>0</v>
      </c>
      <c r="H72" s="15">
        <f>'inventory2020(FOR revised)'!H74</f>
        <v>1.52</v>
      </c>
      <c r="I72" s="15">
        <f>'inventory2020(FOR revised)'!I74</f>
        <v>0</v>
      </c>
      <c r="J72" s="106" t="s">
        <v>12</v>
      </c>
      <c r="K72" s="591" t="s">
        <v>382</v>
      </c>
      <c r="L72" s="592"/>
    </row>
    <row r="73" spans="1:14" s="26" customFormat="1" ht="16.5" customHeight="1" x14ac:dyDescent="0.35">
      <c r="A73" s="589">
        <v>102</v>
      </c>
      <c r="B73" s="24" t="s">
        <v>242</v>
      </c>
      <c r="C73" s="15">
        <f>'inventory2020(FOR revised)'!C75</f>
        <v>1.33</v>
      </c>
      <c r="D73" s="15">
        <f>'inventory2020(FOR revised)'!D75</f>
        <v>1.3</v>
      </c>
      <c r="E73" s="15">
        <f>'inventory2020(FOR revised)'!E75</f>
        <v>0</v>
      </c>
      <c r="F73" s="15">
        <f>'inventory2020(FOR revised)'!F75</f>
        <v>0</v>
      </c>
      <c r="G73" s="15">
        <f>'inventory2020(FOR revised)'!G75</f>
        <v>0</v>
      </c>
      <c r="H73" s="15">
        <f>'inventory2020(FOR revised)'!H75</f>
        <v>1.33</v>
      </c>
      <c r="I73" s="15">
        <f>'inventory2020(FOR revised)'!I75</f>
        <v>0</v>
      </c>
      <c r="J73" s="106" t="s">
        <v>12</v>
      </c>
      <c r="K73" s="591" t="s">
        <v>383</v>
      </c>
      <c r="L73" s="24"/>
    </row>
    <row r="74" spans="1:14" s="1" customFormat="1" ht="16.5" customHeight="1" x14ac:dyDescent="0.35">
      <c r="A74" s="596">
        <v>101</v>
      </c>
      <c r="B74" s="28" t="s">
        <v>384</v>
      </c>
      <c r="C74" s="15">
        <f>SUM(E74:I74)</f>
        <v>0</v>
      </c>
      <c r="D74" s="615">
        <f>'[23]road inventory 2018'!C73</f>
        <v>2.5</v>
      </c>
      <c r="E74" s="633">
        <v>0</v>
      </c>
      <c r="F74" s="633">
        <v>0</v>
      </c>
      <c r="G74" s="633">
        <v>0</v>
      </c>
      <c r="H74" s="10">
        <v>0</v>
      </c>
      <c r="I74" s="10">
        <v>0</v>
      </c>
      <c r="J74" s="103" t="s">
        <v>10</v>
      </c>
      <c r="K74" s="597" t="s">
        <v>385</v>
      </c>
      <c r="L74" s="28" t="s">
        <v>356</v>
      </c>
      <c r="M74" s="2"/>
      <c r="N74" s="581" t="s">
        <v>386</v>
      </c>
    </row>
    <row r="75" spans="1:14" s="26" customFormat="1" ht="16.5" customHeight="1" x14ac:dyDescent="0.35">
      <c r="A75" s="589">
        <v>47</v>
      </c>
      <c r="B75" s="24" t="s">
        <v>38</v>
      </c>
      <c r="C75" s="15">
        <f>'inventory2020(FOR revised)'!C77</f>
        <v>17.2</v>
      </c>
      <c r="D75" s="15">
        <f>'inventory2020(FOR revised)'!D77</f>
        <v>17</v>
      </c>
      <c r="E75" s="15">
        <f>'inventory2020(FOR revised)'!E77</f>
        <v>0.27</v>
      </c>
      <c r="F75" s="15">
        <f>'inventory2020(FOR revised)'!F77</f>
        <v>0</v>
      </c>
      <c r="G75" s="15">
        <f>'inventory2020(FOR revised)'!G77</f>
        <v>0</v>
      </c>
      <c r="H75" s="15">
        <f>'inventory2020(FOR revised)'!H77</f>
        <v>16.93</v>
      </c>
      <c r="I75" s="15">
        <f>'inventory2020(FOR revised)'!I77</f>
        <v>0</v>
      </c>
      <c r="J75" s="106" t="s">
        <v>12</v>
      </c>
      <c r="K75" s="591" t="s">
        <v>387</v>
      </c>
      <c r="L75" s="24"/>
    </row>
    <row r="76" spans="1:14" s="26" customFormat="1" ht="16.5" customHeight="1" x14ac:dyDescent="0.35">
      <c r="A76" s="589">
        <v>48</v>
      </c>
      <c r="B76" s="24" t="s">
        <v>388</v>
      </c>
      <c r="C76" s="15">
        <f>'inventory2020(FOR revised)'!C78</f>
        <v>2.63</v>
      </c>
      <c r="D76" s="15">
        <f>'inventory2020(FOR revised)'!D78</f>
        <v>2.6</v>
      </c>
      <c r="E76" s="15">
        <f>'inventory2020(FOR revised)'!E78</f>
        <v>0</v>
      </c>
      <c r="F76" s="15">
        <f>'inventory2020(FOR revised)'!F78</f>
        <v>0</v>
      </c>
      <c r="G76" s="15">
        <f>'inventory2020(FOR revised)'!G78</f>
        <v>0</v>
      </c>
      <c r="H76" s="15">
        <f>'inventory2020(FOR revised)'!H78</f>
        <v>2.63</v>
      </c>
      <c r="I76" s="15">
        <f>'inventory2020(FOR revised)'!I78</f>
        <v>0</v>
      </c>
      <c r="J76" s="106" t="s">
        <v>12</v>
      </c>
      <c r="K76" s="591" t="s">
        <v>389</v>
      </c>
      <c r="L76" s="24"/>
    </row>
    <row r="77" spans="1:14" s="26" customFormat="1" ht="16.5" customHeight="1" x14ac:dyDescent="0.35">
      <c r="A77" s="589">
        <v>90</v>
      </c>
      <c r="B77" s="24" t="s">
        <v>390</v>
      </c>
      <c r="C77" s="15">
        <f>'inventory2020(FOR revised)'!C79</f>
        <v>4.2699999999999996</v>
      </c>
      <c r="D77" s="15">
        <f>'inventory2020(FOR revised)'!D79</f>
        <v>4.3499999999999996</v>
      </c>
      <c r="E77" s="15">
        <f>'inventory2020(FOR revised)'!E79</f>
        <v>0</v>
      </c>
      <c r="F77" s="15">
        <f>'inventory2020(FOR revised)'!F79</f>
        <v>0</v>
      </c>
      <c r="G77" s="15">
        <f>'inventory2020(FOR revised)'!G79</f>
        <v>0</v>
      </c>
      <c r="H77" s="15">
        <f>'inventory2020(FOR revised)'!H79</f>
        <v>4.2699999999999996</v>
      </c>
      <c r="I77" s="15">
        <f>'inventory2020(FOR revised)'!I79</f>
        <v>0</v>
      </c>
      <c r="J77" s="106" t="s">
        <v>12</v>
      </c>
      <c r="K77" s="591" t="s">
        <v>391</v>
      </c>
      <c r="L77" s="24"/>
    </row>
    <row r="78" spans="1:14" s="1" customFormat="1" ht="16.5" customHeight="1" x14ac:dyDescent="0.35">
      <c r="A78" s="596">
        <v>99</v>
      </c>
      <c r="B78" s="28" t="s">
        <v>392</v>
      </c>
      <c r="C78" s="15">
        <f>'inventory2020(FOR revised)'!C80</f>
        <v>14.139999999999999</v>
      </c>
      <c r="D78" s="15">
        <f>'inventory2020(FOR revised)'!D80</f>
        <v>14.1</v>
      </c>
      <c r="E78" s="15">
        <f>'inventory2020(FOR revised)'!E80</f>
        <v>2.1</v>
      </c>
      <c r="F78" s="15">
        <f>'inventory2020(FOR revised)'!F80</f>
        <v>0</v>
      </c>
      <c r="G78" s="15">
        <f>'inventory2020(FOR revised)'!G80</f>
        <v>0</v>
      </c>
      <c r="H78" s="15">
        <f>'inventory2020(FOR revised)'!H80</f>
        <v>12.04</v>
      </c>
      <c r="I78" s="15">
        <f>'inventory2020(FOR revised)'!I80</f>
        <v>0</v>
      </c>
      <c r="J78" s="103" t="s">
        <v>33</v>
      </c>
      <c r="K78" s="597" t="s">
        <v>393</v>
      </c>
      <c r="L78" s="28"/>
    </row>
    <row r="79" spans="1:14" s="1" customFormat="1" ht="16.5" customHeight="1" x14ac:dyDescent="0.35">
      <c r="A79" s="635"/>
      <c r="B79" s="40"/>
      <c r="C79" s="41">
        <f t="shared" ref="C79:H79" si="2">SUM(C72:C78)</f>
        <v>42.16</v>
      </c>
      <c r="D79" s="636">
        <f t="shared" si="2"/>
        <v>44.35</v>
      </c>
      <c r="E79" s="41">
        <f t="shared" si="2"/>
        <v>3.4400000000000004</v>
      </c>
      <c r="F79" s="41">
        <f t="shared" si="2"/>
        <v>0</v>
      </c>
      <c r="G79" s="41">
        <f t="shared" si="2"/>
        <v>0</v>
      </c>
      <c r="H79" s="41">
        <f t="shared" si="2"/>
        <v>38.72</v>
      </c>
      <c r="I79" s="41"/>
      <c r="J79" s="109"/>
      <c r="K79" s="605"/>
      <c r="L79" s="28"/>
    </row>
    <row r="80" spans="1:14" s="1" customFormat="1" ht="23.25" customHeight="1" thickBot="1" x14ac:dyDescent="0.4">
      <c r="A80" s="53" t="s">
        <v>341</v>
      </c>
      <c r="B80" s="34"/>
      <c r="C80" s="31">
        <f>SUM(E80:I80)</f>
        <v>42.16</v>
      </c>
      <c r="D80" s="630"/>
      <c r="E80" s="31">
        <f>SUM(E72:E78)</f>
        <v>3.4400000000000004</v>
      </c>
      <c r="F80" s="31">
        <f>SUM(F72:F78)</f>
        <v>0</v>
      </c>
      <c r="G80" s="31">
        <f>SUM(G72:G78)</f>
        <v>0</v>
      </c>
      <c r="H80" s="31">
        <f>SUM(H72:H78)</f>
        <v>38.72</v>
      </c>
      <c r="I80" s="31">
        <f>SUM(I72:I78)</f>
        <v>0</v>
      </c>
      <c r="J80" s="608"/>
      <c r="K80" s="609"/>
      <c r="L80" s="97"/>
    </row>
    <row r="81" spans="1:12" s="1" customFormat="1" ht="15" customHeight="1" thickBot="1" x14ac:dyDescent="0.4">
      <c r="A81" s="544"/>
      <c r="B81" s="35"/>
      <c r="C81" s="22"/>
      <c r="D81" s="610"/>
      <c r="E81" s="22"/>
      <c r="F81" s="22"/>
      <c r="G81" s="22"/>
      <c r="H81" s="22"/>
      <c r="I81" s="22"/>
      <c r="K81" s="21"/>
      <c r="L81" s="611"/>
    </row>
    <row r="82" spans="1:12" s="1" customFormat="1" x14ac:dyDescent="0.35">
      <c r="A82" s="1217" t="s">
        <v>394</v>
      </c>
      <c r="B82" s="1218"/>
      <c r="C82" s="1218"/>
      <c r="D82" s="1218"/>
      <c r="E82" s="1218"/>
      <c r="F82" s="1218"/>
      <c r="G82" s="1218"/>
      <c r="H82" s="1218"/>
      <c r="I82" s="1218"/>
      <c r="J82" s="1218"/>
      <c r="K82" s="1218"/>
      <c r="L82" s="1219"/>
    </row>
    <row r="83" spans="1:12" s="1" customFormat="1" ht="16" thickBot="1" x14ac:dyDescent="0.4">
      <c r="A83" s="585"/>
      <c r="B83" s="2"/>
      <c r="C83" s="5"/>
      <c r="D83" s="586"/>
      <c r="E83" s="5"/>
      <c r="F83" s="5"/>
      <c r="G83" s="5"/>
      <c r="H83" s="5"/>
      <c r="I83" s="5"/>
      <c r="J83" s="3"/>
      <c r="K83" s="21"/>
      <c r="L83" s="637"/>
    </row>
    <row r="84" spans="1:12" s="1" customFormat="1" ht="21" customHeight="1" x14ac:dyDescent="0.35">
      <c r="A84" s="1206" t="s">
        <v>302</v>
      </c>
      <c r="B84" s="1208" t="s">
        <v>28</v>
      </c>
      <c r="C84" s="1210" t="s">
        <v>343</v>
      </c>
      <c r="D84" s="613"/>
      <c r="E84" s="1212" t="s">
        <v>305</v>
      </c>
      <c r="F84" s="1212"/>
      <c r="G84" s="1212"/>
      <c r="H84" s="1212"/>
      <c r="I84" s="1212"/>
      <c r="J84" s="1208" t="s">
        <v>29</v>
      </c>
      <c r="K84" s="1213" t="s">
        <v>306</v>
      </c>
      <c r="L84" s="1226" t="s">
        <v>307</v>
      </c>
    </row>
    <row r="85" spans="1:12" s="1" customFormat="1" ht="21" customHeight="1" thickBot="1" x14ac:dyDescent="0.4">
      <c r="A85" s="1207"/>
      <c r="B85" s="1209"/>
      <c r="C85" s="1211"/>
      <c r="D85" s="614"/>
      <c r="E85" s="7" t="s">
        <v>308</v>
      </c>
      <c r="F85" s="7" t="s">
        <v>309</v>
      </c>
      <c r="G85" s="7" t="s">
        <v>310</v>
      </c>
      <c r="H85" s="7" t="s">
        <v>311</v>
      </c>
      <c r="I85" s="7" t="s">
        <v>312</v>
      </c>
      <c r="J85" s="1209"/>
      <c r="K85" s="1214"/>
      <c r="L85" s="1227"/>
    </row>
    <row r="86" spans="1:12" s="642" customFormat="1" ht="36.75" customHeight="1" x14ac:dyDescent="0.35">
      <c r="A86" s="638">
        <v>108</v>
      </c>
      <c r="B86" s="24" t="s">
        <v>395</v>
      </c>
      <c r="C86" s="639">
        <f>E86+F86+G86+H86+I86</f>
        <v>3.28</v>
      </c>
      <c r="D86" s="640">
        <f>'[23]road inventory 2018'!C86</f>
        <v>3.1</v>
      </c>
      <c r="E86" s="639">
        <v>0.48</v>
      </c>
      <c r="F86" s="639">
        <v>0</v>
      </c>
      <c r="G86" s="639">
        <v>0</v>
      </c>
      <c r="H86" s="110">
        <v>2.8</v>
      </c>
      <c r="I86" s="110">
        <v>0</v>
      </c>
      <c r="J86" s="24" t="s">
        <v>12</v>
      </c>
      <c r="K86" s="591" t="s">
        <v>396</v>
      </c>
      <c r="L86" s="592"/>
    </row>
    <row r="87" spans="1:12" s="1" customFormat="1" ht="26.25" customHeight="1" thickBot="1" x14ac:dyDescent="0.4">
      <c r="A87" s="53" t="s">
        <v>341</v>
      </c>
      <c r="B87" s="34"/>
      <c r="C87" s="31">
        <f>SUM(C86:C86)</f>
        <v>3.28</v>
      </c>
      <c r="D87" s="630"/>
      <c r="E87" s="31">
        <f>SUM(E86:E86)</f>
        <v>0.48</v>
      </c>
      <c r="F87" s="31">
        <f>SUM(F86:F86)</f>
        <v>0</v>
      </c>
      <c r="G87" s="31">
        <f>SUM(G86:G86)</f>
        <v>0</v>
      </c>
      <c r="H87" s="31">
        <f>SUM(H86:H86)</f>
        <v>2.8</v>
      </c>
      <c r="I87" s="31">
        <f>SUM(I86:I86)</f>
        <v>0</v>
      </c>
      <c r="J87" s="643"/>
      <c r="K87" s="644"/>
      <c r="L87" s="40"/>
    </row>
    <row r="88" spans="1:12" s="1" customFormat="1" ht="14.25" customHeight="1" thickBot="1" x14ac:dyDescent="0.4">
      <c r="A88" s="95"/>
      <c r="B88" s="37"/>
      <c r="C88" s="38"/>
      <c r="D88" s="645"/>
      <c r="E88" s="38"/>
      <c r="F88" s="38"/>
      <c r="G88" s="38"/>
      <c r="H88" s="38"/>
      <c r="I88" s="38"/>
      <c r="J88" s="3"/>
      <c r="K88" s="2"/>
      <c r="L88" s="646"/>
    </row>
    <row r="89" spans="1:12" s="1" customFormat="1" x14ac:dyDescent="0.35">
      <c r="A89" s="1217" t="s">
        <v>397</v>
      </c>
      <c r="B89" s="1218"/>
      <c r="C89" s="1218"/>
      <c r="D89" s="1218"/>
      <c r="E89" s="1218"/>
      <c r="F89" s="1218"/>
      <c r="G89" s="1218"/>
      <c r="H89" s="1218"/>
      <c r="I89" s="1218"/>
      <c r="J89" s="1218"/>
      <c r="K89" s="1218"/>
      <c r="L89" s="1219"/>
    </row>
    <row r="90" spans="1:12" s="1" customFormat="1" ht="16" thickBot="1" x14ac:dyDescent="0.4">
      <c r="A90" s="585"/>
      <c r="B90" s="2"/>
      <c r="C90" s="5"/>
      <c r="D90" s="586"/>
      <c r="E90" s="5"/>
      <c r="F90" s="5"/>
      <c r="G90" s="5"/>
      <c r="H90" s="5"/>
      <c r="I90" s="5"/>
      <c r="J90" s="3"/>
      <c r="K90" s="21"/>
      <c r="L90" s="97"/>
    </row>
    <row r="91" spans="1:12" s="1" customFormat="1" ht="21" customHeight="1" x14ac:dyDescent="0.35">
      <c r="A91" s="1206" t="s">
        <v>302</v>
      </c>
      <c r="B91" s="1208" t="s">
        <v>28</v>
      </c>
      <c r="C91" s="1210" t="s">
        <v>343</v>
      </c>
      <c r="D91" s="613"/>
      <c r="E91" s="1212" t="s">
        <v>305</v>
      </c>
      <c r="F91" s="1212"/>
      <c r="G91" s="1212"/>
      <c r="H91" s="1212"/>
      <c r="I91" s="1212"/>
      <c r="J91" s="1208" t="s">
        <v>29</v>
      </c>
      <c r="K91" s="1213" t="s">
        <v>306</v>
      </c>
      <c r="L91" s="1226" t="s">
        <v>307</v>
      </c>
    </row>
    <row r="92" spans="1:12" s="1" customFormat="1" ht="21" customHeight="1" thickBot="1" x14ac:dyDescent="0.4">
      <c r="A92" s="1207"/>
      <c r="B92" s="1209"/>
      <c r="C92" s="1211"/>
      <c r="D92" s="614"/>
      <c r="E92" s="7" t="s">
        <v>308</v>
      </c>
      <c r="F92" s="7" t="s">
        <v>309</v>
      </c>
      <c r="G92" s="7" t="s">
        <v>310</v>
      </c>
      <c r="H92" s="7" t="s">
        <v>311</v>
      </c>
      <c r="I92" s="7" t="s">
        <v>312</v>
      </c>
      <c r="J92" s="1209"/>
      <c r="K92" s="1214"/>
      <c r="L92" s="1227"/>
    </row>
    <row r="93" spans="1:12" s="1" customFormat="1" ht="16.5" customHeight="1" x14ac:dyDescent="0.35">
      <c r="A93" s="596">
        <v>223</v>
      </c>
      <c r="B93" s="28" t="s">
        <v>42</v>
      </c>
      <c r="C93" s="10">
        <f>'inventory2020(FOR revised)'!C95</f>
        <v>4.18</v>
      </c>
      <c r="D93" s="615">
        <f>'[23]road inventory 2018'!C93</f>
        <v>4.0999999999999996</v>
      </c>
      <c r="E93" s="10">
        <v>0</v>
      </c>
      <c r="F93" s="10">
        <v>0</v>
      </c>
      <c r="G93" s="10">
        <v>0</v>
      </c>
      <c r="H93" s="10">
        <v>4.18</v>
      </c>
      <c r="I93" s="10">
        <v>0</v>
      </c>
      <c r="J93" s="103" t="s">
        <v>33</v>
      </c>
      <c r="K93" s="597" t="s">
        <v>398</v>
      </c>
      <c r="L93" s="112"/>
    </row>
    <row r="94" spans="1:12" s="1" customFormat="1" ht="16.5" customHeight="1" x14ac:dyDescent="0.35">
      <c r="A94" s="596">
        <v>224</v>
      </c>
      <c r="B94" s="28" t="s">
        <v>44</v>
      </c>
      <c r="C94" s="10">
        <f>'inventory2020(FOR revised)'!C96</f>
        <v>7.24</v>
      </c>
      <c r="D94" s="615">
        <f>'[23]road inventory 2018'!C94</f>
        <v>7.2</v>
      </c>
      <c r="E94" s="10">
        <v>1.02</v>
      </c>
      <c r="F94" s="10">
        <v>0</v>
      </c>
      <c r="G94" s="10">
        <v>0</v>
      </c>
      <c r="H94" s="10">
        <v>6.22</v>
      </c>
      <c r="I94" s="10">
        <v>0</v>
      </c>
      <c r="J94" s="103" t="s">
        <v>12</v>
      </c>
      <c r="K94" s="597" t="s">
        <v>399</v>
      </c>
      <c r="L94" s="28"/>
    </row>
    <row r="95" spans="1:12" s="1" customFormat="1" ht="16.5" customHeight="1" x14ac:dyDescent="0.35">
      <c r="A95" s="596">
        <v>45</v>
      </c>
      <c r="B95" s="28" t="s">
        <v>400</v>
      </c>
      <c r="C95" s="10">
        <f>'inventory2020(FOR revised)'!C97</f>
        <v>7.44</v>
      </c>
      <c r="D95" s="615">
        <f>'[23]road inventory 2018'!C95</f>
        <v>7.8999999999999995</v>
      </c>
      <c r="E95" s="10">
        <v>0.71</v>
      </c>
      <c r="F95" s="10">
        <v>0</v>
      </c>
      <c r="G95" s="10">
        <v>0</v>
      </c>
      <c r="H95" s="10">
        <v>6.73</v>
      </c>
      <c r="I95" s="10">
        <v>0</v>
      </c>
      <c r="J95" s="103" t="s">
        <v>33</v>
      </c>
      <c r="K95" s="597" t="s">
        <v>401</v>
      </c>
      <c r="L95" s="28"/>
    </row>
    <row r="96" spans="1:12" s="26" customFormat="1" ht="16.5" customHeight="1" x14ac:dyDescent="0.35">
      <c r="A96" s="589">
        <v>217</v>
      </c>
      <c r="B96" s="24" t="s">
        <v>243</v>
      </c>
      <c r="C96" s="10">
        <f>'inventory2020(FOR revised)'!C98</f>
        <v>1.1399999999999999</v>
      </c>
      <c r="D96" s="615">
        <f>'[23]road inventory 2018'!C96</f>
        <v>1.1000000000000001</v>
      </c>
      <c r="E96" s="15">
        <v>1.1399999999999999</v>
      </c>
      <c r="F96" s="15">
        <v>0</v>
      </c>
      <c r="G96" s="15">
        <v>0</v>
      </c>
      <c r="H96" s="15">
        <v>0</v>
      </c>
      <c r="I96" s="15">
        <v>0</v>
      </c>
      <c r="J96" s="106" t="s">
        <v>10</v>
      </c>
      <c r="K96" s="591" t="s">
        <v>402</v>
      </c>
      <c r="L96" s="24"/>
    </row>
    <row r="97" spans="1:12" s="26" customFormat="1" ht="16.5" customHeight="1" x14ac:dyDescent="0.35">
      <c r="A97" s="589">
        <v>225</v>
      </c>
      <c r="B97" s="24" t="s">
        <v>403</v>
      </c>
      <c r="C97" s="10">
        <f>'inventory2020(FOR revised)'!C99</f>
        <v>0.36</v>
      </c>
      <c r="D97" s="615">
        <f>'[23]road inventory 2018'!C97</f>
        <v>0.4</v>
      </c>
      <c r="E97" s="15">
        <v>0</v>
      </c>
      <c r="F97" s="15">
        <v>0</v>
      </c>
      <c r="G97" s="15">
        <v>0</v>
      </c>
      <c r="H97" s="15">
        <v>0.36</v>
      </c>
      <c r="I97" s="15">
        <v>0</v>
      </c>
      <c r="J97" s="106" t="s">
        <v>10</v>
      </c>
      <c r="K97" s="591" t="s">
        <v>404</v>
      </c>
      <c r="L97" s="24"/>
    </row>
    <row r="98" spans="1:12" s="26" customFormat="1" ht="16.5" customHeight="1" x14ac:dyDescent="0.35">
      <c r="A98" s="589">
        <v>226</v>
      </c>
      <c r="B98" s="24" t="s">
        <v>45</v>
      </c>
      <c r="C98" s="10">
        <f>'inventory2020(FOR revised)'!C100</f>
        <v>4.01</v>
      </c>
      <c r="D98" s="615">
        <f>'[23]road inventory 2018'!C98</f>
        <v>4.8</v>
      </c>
      <c r="E98" s="15">
        <v>0.86</v>
      </c>
      <c r="F98" s="15">
        <v>0</v>
      </c>
      <c r="G98" s="15">
        <v>0</v>
      </c>
      <c r="H98" s="15">
        <v>3.15</v>
      </c>
      <c r="I98" s="15">
        <v>0</v>
      </c>
      <c r="J98" s="106" t="s">
        <v>10</v>
      </c>
      <c r="K98" s="591" t="s">
        <v>405</v>
      </c>
      <c r="L98" s="24"/>
    </row>
    <row r="99" spans="1:12" s="26" customFormat="1" ht="16.5" customHeight="1" x14ac:dyDescent="0.35">
      <c r="A99" s="589">
        <v>116</v>
      </c>
      <c r="B99" s="24" t="s">
        <v>47</v>
      </c>
      <c r="C99" s="10">
        <f>'inventory2020(FOR revised)'!C101</f>
        <v>12.3</v>
      </c>
      <c r="D99" s="615">
        <f>'[23]road inventory 2018'!C99</f>
        <v>12.3</v>
      </c>
      <c r="E99" s="15">
        <v>6.67</v>
      </c>
      <c r="F99" s="15">
        <v>0</v>
      </c>
      <c r="G99" s="15">
        <v>0</v>
      </c>
      <c r="H99" s="15">
        <v>5.63</v>
      </c>
      <c r="I99" s="15">
        <v>0</v>
      </c>
      <c r="J99" s="106" t="s">
        <v>12</v>
      </c>
      <c r="K99" s="591" t="s">
        <v>405</v>
      </c>
      <c r="L99" s="24"/>
    </row>
    <row r="100" spans="1:12" s="26" customFormat="1" ht="16.5" customHeight="1" x14ac:dyDescent="0.35">
      <c r="A100" s="589">
        <v>46</v>
      </c>
      <c r="B100" s="24" t="s">
        <v>406</v>
      </c>
      <c r="C100" s="10">
        <f>'inventory2020(FOR revised)'!C102</f>
        <v>1.3</v>
      </c>
      <c r="D100" s="615">
        <f>'[23]road inventory 2018'!C100</f>
        <v>1.3</v>
      </c>
      <c r="E100" s="15">
        <v>1.3</v>
      </c>
      <c r="F100" s="15">
        <v>0</v>
      </c>
      <c r="G100" s="15">
        <v>0</v>
      </c>
      <c r="H100" s="15">
        <v>0</v>
      </c>
      <c r="I100" s="15">
        <v>0</v>
      </c>
      <c r="J100" s="106" t="s">
        <v>10</v>
      </c>
      <c r="K100" s="591" t="s">
        <v>407</v>
      </c>
      <c r="L100" s="24"/>
    </row>
    <row r="101" spans="1:12" s="1" customFormat="1" ht="16.5" customHeight="1" x14ac:dyDescent="0.35">
      <c r="A101" s="596">
        <v>227</v>
      </c>
      <c r="B101" s="28" t="s">
        <v>408</v>
      </c>
      <c r="C101" s="10">
        <f>'inventory2020(FOR revised)'!C103</f>
        <v>7.43</v>
      </c>
      <c r="D101" s="615">
        <f>'[23]road inventory 2018'!C101</f>
        <v>7.2</v>
      </c>
      <c r="E101" s="10">
        <v>0</v>
      </c>
      <c r="F101" s="10">
        <v>0</v>
      </c>
      <c r="G101" s="10">
        <v>0</v>
      </c>
      <c r="H101" s="10">
        <v>7.43</v>
      </c>
      <c r="I101" s="10">
        <v>0</v>
      </c>
      <c r="J101" s="103" t="s">
        <v>33</v>
      </c>
      <c r="K101" s="597" t="s">
        <v>409</v>
      </c>
      <c r="L101" s="28"/>
    </row>
    <row r="102" spans="1:12" s="1" customFormat="1" ht="16.5" customHeight="1" x14ac:dyDescent="0.35">
      <c r="A102" s="596">
        <v>100</v>
      </c>
      <c r="B102" s="28" t="s">
        <v>50</v>
      </c>
      <c r="C102" s="10">
        <f>'inventory2020(FOR revised)'!C104</f>
        <v>7.8</v>
      </c>
      <c r="D102" s="615">
        <f>'[23]road inventory 2018'!C102</f>
        <v>7.8</v>
      </c>
      <c r="E102" s="10">
        <v>0.3</v>
      </c>
      <c r="F102" s="10">
        <v>0</v>
      </c>
      <c r="G102" s="10">
        <v>0</v>
      </c>
      <c r="H102" s="10">
        <v>7.5</v>
      </c>
      <c r="I102" s="10">
        <v>0</v>
      </c>
      <c r="J102" s="103" t="s">
        <v>41</v>
      </c>
      <c r="K102" s="597" t="s">
        <v>410</v>
      </c>
      <c r="L102" s="28"/>
    </row>
    <row r="103" spans="1:12" s="1" customFormat="1" ht="16.5" customHeight="1" x14ac:dyDescent="0.35">
      <c r="A103" s="635"/>
      <c r="B103" s="40"/>
      <c r="C103" s="41">
        <f t="shared" ref="C103:H103" si="3">SUM(C93:C102)</f>
        <v>53.199999999999996</v>
      </c>
      <c r="D103" s="627">
        <f t="shared" si="3"/>
        <v>54.099999999999994</v>
      </c>
      <c r="E103" s="41">
        <f t="shared" si="3"/>
        <v>12.000000000000002</v>
      </c>
      <c r="F103" s="41">
        <f t="shared" si="3"/>
        <v>0</v>
      </c>
      <c r="G103" s="41">
        <f t="shared" si="3"/>
        <v>0</v>
      </c>
      <c r="H103" s="41">
        <f t="shared" si="3"/>
        <v>41.199999999999996</v>
      </c>
      <c r="I103" s="41"/>
      <c r="J103" s="109"/>
      <c r="K103" s="605"/>
      <c r="L103" s="28"/>
    </row>
    <row r="104" spans="1:12" s="1" customFormat="1" ht="22.5" customHeight="1" thickBot="1" x14ac:dyDescent="0.4">
      <c r="A104" s="53" t="s">
        <v>341</v>
      </c>
      <c r="B104" s="34"/>
      <c r="C104" s="31">
        <f>E104+H104</f>
        <v>53.199999999999996</v>
      </c>
      <c r="D104" s="630"/>
      <c r="E104" s="31">
        <f>SUM(E93:E102)</f>
        <v>12.000000000000002</v>
      </c>
      <c r="F104" s="31">
        <f>SUM(F93:F102)</f>
        <v>0</v>
      </c>
      <c r="G104" s="31">
        <f>SUM(G93:G102)</f>
        <v>0</v>
      </c>
      <c r="H104" s="31">
        <f>SUM(H93:H102)</f>
        <v>41.199999999999996</v>
      </c>
      <c r="I104" s="31">
        <f>SUM(I93:I102)</f>
        <v>0</v>
      </c>
      <c r="J104" s="608"/>
      <c r="K104" s="609"/>
      <c r="L104" s="97"/>
    </row>
    <row r="105" spans="1:12" s="1" customFormat="1" ht="22.5" customHeight="1" x14ac:dyDescent="0.35">
      <c r="A105" s="544"/>
      <c r="B105" s="35"/>
      <c r="C105" s="22"/>
      <c r="D105" s="610"/>
      <c r="E105" s="22"/>
      <c r="F105" s="22"/>
      <c r="G105" s="22"/>
      <c r="H105" s="22"/>
      <c r="I105" s="22"/>
      <c r="K105" s="21"/>
      <c r="L105" s="647"/>
    </row>
    <row r="106" spans="1:12" s="1" customFormat="1" x14ac:dyDescent="0.35">
      <c r="A106" s="1203" t="s">
        <v>411</v>
      </c>
      <c r="B106" s="1204"/>
      <c r="C106" s="1204"/>
      <c r="D106" s="1204"/>
      <c r="E106" s="1204"/>
      <c r="F106" s="1204"/>
      <c r="G106" s="1204"/>
      <c r="H106" s="1204"/>
      <c r="I106" s="1204"/>
      <c r="J106" s="1204"/>
      <c r="K106" s="1204"/>
      <c r="L106" s="1205"/>
    </row>
    <row r="107" spans="1:12" s="1" customFormat="1" ht="16" thickBot="1" x14ac:dyDescent="0.4">
      <c r="A107" s="585"/>
      <c r="B107" s="2"/>
      <c r="C107" s="5"/>
      <c r="D107" s="586"/>
      <c r="E107" s="5"/>
      <c r="F107" s="5"/>
      <c r="G107" s="5"/>
      <c r="H107" s="5"/>
      <c r="I107" s="5"/>
      <c r="J107" s="3"/>
      <c r="K107" s="21"/>
      <c r="L107" s="631"/>
    </row>
    <row r="108" spans="1:12" s="1" customFormat="1" ht="21" customHeight="1" x14ac:dyDescent="0.35">
      <c r="A108" s="1206" t="s">
        <v>302</v>
      </c>
      <c r="B108" s="1208" t="s">
        <v>28</v>
      </c>
      <c r="C108" s="1210" t="s">
        <v>343</v>
      </c>
      <c r="D108" s="613"/>
      <c r="E108" s="1212" t="s">
        <v>305</v>
      </c>
      <c r="F108" s="1212"/>
      <c r="G108" s="1212"/>
      <c r="H108" s="1212"/>
      <c r="I108" s="1212"/>
      <c r="J108" s="1208" t="s">
        <v>29</v>
      </c>
      <c r="K108" s="1213" t="s">
        <v>306</v>
      </c>
      <c r="L108" s="1226" t="s">
        <v>307</v>
      </c>
    </row>
    <row r="109" spans="1:12" s="1" customFormat="1" ht="21" customHeight="1" thickBot="1" x14ac:dyDescent="0.4">
      <c r="A109" s="1207"/>
      <c r="B109" s="1209"/>
      <c r="C109" s="1211"/>
      <c r="D109" s="614"/>
      <c r="E109" s="7" t="s">
        <v>308</v>
      </c>
      <c r="F109" s="7" t="s">
        <v>309</v>
      </c>
      <c r="G109" s="7" t="s">
        <v>310</v>
      </c>
      <c r="H109" s="7" t="s">
        <v>311</v>
      </c>
      <c r="I109" s="7" t="s">
        <v>312</v>
      </c>
      <c r="J109" s="1209"/>
      <c r="K109" s="1214"/>
      <c r="L109" s="1227"/>
    </row>
    <row r="110" spans="1:12" s="26" customFormat="1" ht="16" customHeight="1" x14ac:dyDescent="0.35">
      <c r="A110" s="589">
        <v>48</v>
      </c>
      <c r="B110" s="43" t="s">
        <v>254</v>
      </c>
      <c r="C110" s="15">
        <f>'inventory2020(FOR revised)'!C112</f>
        <v>2.19</v>
      </c>
      <c r="D110" s="590">
        <f>'[23]road inventory 2018'!C109</f>
        <v>2.1</v>
      </c>
      <c r="E110" s="15">
        <v>0</v>
      </c>
      <c r="F110" s="15">
        <v>0</v>
      </c>
      <c r="G110" s="15">
        <v>0</v>
      </c>
      <c r="H110" s="15">
        <v>2.19</v>
      </c>
      <c r="I110" s="15">
        <v>0</v>
      </c>
      <c r="J110" s="106" t="s">
        <v>12</v>
      </c>
      <c r="K110" s="591" t="s">
        <v>412</v>
      </c>
      <c r="L110" s="592"/>
    </row>
    <row r="111" spans="1:12" s="26" customFormat="1" ht="16" customHeight="1" x14ac:dyDescent="0.35">
      <c r="A111" s="589">
        <v>50</v>
      </c>
      <c r="B111" s="43" t="s">
        <v>255</v>
      </c>
      <c r="C111" s="15">
        <f>'inventory2020(FOR revised)'!C113</f>
        <v>7.69</v>
      </c>
      <c r="D111" s="590">
        <f>'[23]road inventory 2018'!C110</f>
        <v>7.6</v>
      </c>
      <c r="E111" s="15">
        <v>1.79</v>
      </c>
      <c r="F111" s="15">
        <v>0</v>
      </c>
      <c r="G111" s="15">
        <v>0</v>
      </c>
      <c r="H111" s="15">
        <v>5.9</v>
      </c>
      <c r="I111" s="15">
        <v>0</v>
      </c>
      <c r="J111" s="106" t="s">
        <v>12</v>
      </c>
      <c r="K111" s="591" t="s">
        <v>413</v>
      </c>
      <c r="L111" s="24"/>
    </row>
    <row r="112" spans="1:12" s="26" customFormat="1" ht="16" customHeight="1" x14ac:dyDescent="0.35">
      <c r="A112" s="589">
        <v>51</v>
      </c>
      <c r="B112" s="43" t="s">
        <v>248</v>
      </c>
      <c r="C112" s="15">
        <f>'inventory2020(FOR revised)'!C114</f>
        <v>3.96</v>
      </c>
      <c r="D112" s="590">
        <f>'[23]road inventory 2018'!C111</f>
        <v>3</v>
      </c>
      <c r="E112" s="15">
        <v>0</v>
      </c>
      <c r="F112" s="15">
        <v>0</v>
      </c>
      <c r="G112" s="15">
        <v>0</v>
      </c>
      <c r="H112" s="15">
        <v>3.96</v>
      </c>
      <c r="I112" s="15">
        <v>0</v>
      </c>
      <c r="J112" s="106" t="s">
        <v>12</v>
      </c>
      <c r="K112" s="591" t="s">
        <v>414</v>
      </c>
      <c r="L112" s="24"/>
    </row>
    <row r="113" spans="1:12" s="26" customFormat="1" ht="16" customHeight="1" x14ac:dyDescent="0.35">
      <c r="A113" s="589">
        <v>52</v>
      </c>
      <c r="B113" s="43" t="s">
        <v>251</v>
      </c>
      <c r="C113" s="15">
        <f>'inventory2020(FOR revised)'!C115</f>
        <v>6.64</v>
      </c>
      <c r="D113" s="590">
        <f>'[23]road inventory 2018'!C112</f>
        <v>6.5</v>
      </c>
      <c r="E113" s="15">
        <v>0</v>
      </c>
      <c r="F113" s="15">
        <v>0</v>
      </c>
      <c r="G113" s="15">
        <v>0</v>
      </c>
      <c r="H113" s="15">
        <v>6.64</v>
      </c>
      <c r="I113" s="15">
        <v>0</v>
      </c>
      <c r="J113" s="106" t="s">
        <v>12</v>
      </c>
      <c r="K113" s="591" t="s">
        <v>415</v>
      </c>
      <c r="L113" s="24"/>
    </row>
    <row r="114" spans="1:12" s="26" customFormat="1" ht="16" customHeight="1" x14ac:dyDescent="0.35">
      <c r="A114" s="589">
        <v>53</v>
      </c>
      <c r="B114" s="43" t="s">
        <v>249</v>
      </c>
      <c r="C114" s="15">
        <f>'inventory2020(FOR revised)'!C116</f>
        <v>6.46</v>
      </c>
      <c r="D114" s="590">
        <f>'[23]road inventory 2018'!C113</f>
        <v>6.4</v>
      </c>
      <c r="E114" s="15">
        <v>5.64</v>
      </c>
      <c r="F114" s="15">
        <v>0</v>
      </c>
      <c r="G114" s="15">
        <v>0</v>
      </c>
      <c r="H114" s="15">
        <v>0.82</v>
      </c>
      <c r="I114" s="15">
        <v>0</v>
      </c>
      <c r="J114" s="106" t="s">
        <v>12</v>
      </c>
      <c r="K114" s="591" t="s">
        <v>416</v>
      </c>
      <c r="L114" s="24"/>
    </row>
    <row r="115" spans="1:12" s="26" customFormat="1" ht="16" customHeight="1" x14ac:dyDescent="0.35">
      <c r="A115" s="589">
        <v>54</v>
      </c>
      <c r="B115" s="43" t="s">
        <v>252</v>
      </c>
      <c r="C115" s="15">
        <f>'inventory2020(FOR revised)'!C117</f>
        <v>1.69</v>
      </c>
      <c r="D115" s="590">
        <f>'[23]road inventory 2018'!C114</f>
        <v>1.6</v>
      </c>
      <c r="E115" s="15">
        <v>1.18</v>
      </c>
      <c r="F115" s="15">
        <v>0</v>
      </c>
      <c r="G115" s="15">
        <v>0</v>
      </c>
      <c r="H115" s="15">
        <v>0.51</v>
      </c>
      <c r="I115" s="15">
        <v>0</v>
      </c>
      <c r="J115" s="106" t="s">
        <v>10</v>
      </c>
      <c r="K115" s="591" t="s">
        <v>417</v>
      </c>
      <c r="L115" s="24"/>
    </row>
    <row r="116" spans="1:12" s="26" customFormat="1" ht="16" customHeight="1" x14ac:dyDescent="0.35">
      <c r="A116" s="589">
        <v>103</v>
      </c>
      <c r="B116" s="43" t="s">
        <v>245</v>
      </c>
      <c r="C116" s="15">
        <f>'inventory2020(FOR revised)'!C118</f>
        <v>1.27</v>
      </c>
      <c r="D116" s="590">
        <f>'[23]road inventory 2018'!C115</f>
        <v>1.2</v>
      </c>
      <c r="E116" s="15">
        <v>0.19</v>
      </c>
      <c r="F116" s="15">
        <v>0</v>
      </c>
      <c r="G116" s="15">
        <v>0</v>
      </c>
      <c r="H116" s="15">
        <v>1.08</v>
      </c>
      <c r="I116" s="15">
        <v>0</v>
      </c>
      <c r="J116" s="106" t="s">
        <v>10</v>
      </c>
      <c r="K116" s="591" t="s">
        <v>418</v>
      </c>
      <c r="L116" s="24"/>
    </row>
    <row r="117" spans="1:12" s="26" customFormat="1" ht="16" customHeight="1" x14ac:dyDescent="0.35">
      <c r="A117" s="589">
        <v>55</v>
      </c>
      <c r="B117" s="43" t="s">
        <v>244</v>
      </c>
      <c r="C117" s="15">
        <f>'inventory2020(FOR revised)'!C119</f>
        <v>4.18</v>
      </c>
      <c r="D117" s="590">
        <f>'[23]road inventory 2018'!C116</f>
        <v>4.0999999999999996</v>
      </c>
      <c r="E117" s="15">
        <v>0</v>
      </c>
      <c r="F117" s="15">
        <v>0</v>
      </c>
      <c r="G117" s="15">
        <v>0</v>
      </c>
      <c r="H117" s="15">
        <v>4.18</v>
      </c>
      <c r="I117" s="15">
        <v>0</v>
      </c>
      <c r="J117" s="106" t="s">
        <v>12</v>
      </c>
      <c r="K117" s="591" t="s">
        <v>419</v>
      </c>
      <c r="L117" s="24"/>
    </row>
    <row r="118" spans="1:12" s="26" customFormat="1" ht="16" customHeight="1" x14ac:dyDescent="0.35">
      <c r="A118" s="589">
        <v>57</v>
      </c>
      <c r="B118" s="43" t="s">
        <v>268</v>
      </c>
      <c r="C118" s="15">
        <f>'inventory2020(FOR revised)'!C120</f>
        <v>1.36</v>
      </c>
      <c r="D118" s="590">
        <f>'[23]road inventory 2018'!C117</f>
        <v>1.3</v>
      </c>
      <c r="E118" s="15">
        <v>0.3</v>
      </c>
      <c r="F118" s="15">
        <v>0</v>
      </c>
      <c r="G118" s="15">
        <v>0</v>
      </c>
      <c r="H118" s="15">
        <v>1.06</v>
      </c>
      <c r="I118" s="15">
        <v>0</v>
      </c>
      <c r="J118" s="106" t="s">
        <v>12</v>
      </c>
      <c r="K118" s="591" t="s">
        <v>420</v>
      </c>
      <c r="L118" s="24"/>
    </row>
    <row r="119" spans="1:12" s="1" customFormat="1" ht="16" customHeight="1" x14ac:dyDescent="0.35">
      <c r="A119" s="596">
        <v>58</v>
      </c>
      <c r="B119" s="45" t="s">
        <v>421</v>
      </c>
      <c r="C119" s="15">
        <f>'inventory2020(FOR revised)'!C121</f>
        <v>0.36</v>
      </c>
      <c r="D119" s="590">
        <f>'[23]road inventory 2018'!C118</f>
        <v>0.3</v>
      </c>
      <c r="E119" s="10">
        <v>0</v>
      </c>
      <c r="F119" s="10">
        <v>0</v>
      </c>
      <c r="G119" s="10">
        <v>0</v>
      </c>
      <c r="H119" s="10">
        <v>0.36</v>
      </c>
      <c r="I119" s="10">
        <v>0</v>
      </c>
      <c r="J119" s="103" t="s">
        <v>33</v>
      </c>
      <c r="K119" s="597" t="s">
        <v>422</v>
      </c>
      <c r="L119" s="28"/>
    </row>
    <row r="120" spans="1:12" s="1" customFormat="1" ht="16" customHeight="1" x14ac:dyDescent="0.35">
      <c r="A120" s="596">
        <v>59</v>
      </c>
      <c r="B120" s="45" t="s">
        <v>262</v>
      </c>
      <c r="C120" s="15">
        <f>'inventory2020(FOR revised)'!C122</f>
        <v>0.8</v>
      </c>
      <c r="D120" s="590">
        <f>'[23]road inventory 2018'!C119</f>
        <v>0.8</v>
      </c>
      <c r="E120" s="10">
        <v>0</v>
      </c>
      <c r="F120" s="10">
        <v>0</v>
      </c>
      <c r="G120" s="10">
        <v>0</v>
      </c>
      <c r="H120" s="10">
        <v>0.8</v>
      </c>
      <c r="I120" s="10">
        <v>0</v>
      </c>
      <c r="J120" s="103" t="s">
        <v>33</v>
      </c>
      <c r="K120" s="597" t="s">
        <v>422</v>
      </c>
      <c r="L120" s="28"/>
    </row>
    <row r="121" spans="1:12" s="26" customFormat="1" ht="16" customHeight="1" x14ac:dyDescent="0.35">
      <c r="A121" s="589">
        <v>97</v>
      </c>
      <c r="B121" s="43" t="s">
        <v>51</v>
      </c>
      <c r="C121" s="15">
        <f>'inventory2020(FOR revised)'!C123</f>
        <v>8.4499999999999993</v>
      </c>
      <c r="D121" s="590">
        <f>'[23]road inventory 2018'!C120</f>
        <v>8.3000000000000007</v>
      </c>
      <c r="E121" s="15">
        <v>8.4499999999999993</v>
      </c>
      <c r="F121" s="15">
        <v>0</v>
      </c>
      <c r="G121" s="15">
        <v>0</v>
      </c>
      <c r="H121" s="15">
        <v>0</v>
      </c>
      <c r="I121" s="15">
        <v>0</v>
      </c>
      <c r="J121" s="106" t="s">
        <v>10</v>
      </c>
      <c r="K121" s="591" t="s">
        <v>423</v>
      </c>
      <c r="L121" s="24"/>
    </row>
    <row r="122" spans="1:12" s="26" customFormat="1" ht="16" customHeight="1" x14ac:dyDescent="0.35">
      <c r="A122" s="589">
        <v>56</v>
      </c>
      <c r="B122" s="43" t="s">
        <v>250</v>
      </c>
      <c r="C122" s="15">
        <f>'inventory2020(FOR revised)'!C124</f>
        <v>5.7200000000000006</v>
      </c>
      <c r="D122" s="590">
        <f>'[23]road inventory 2018'!C121</f>
        <v>5.7</v>
      </c>
      <c r="E122" s="15">
        <v>1.73</v>
      </c>
      <c r="F122" s="15">
        <v>0</v>
      </c>
      <c r="G122" s="15">
        <v>0</v>
      </c>
      <c r="H122" s="15">
        <v>3.99</v>
      </c>
      <c r="I122" s="15">
        <v>0</v>
      </c>
      <c r="J122" s="106" t="s">
        <v>12</v>
      </c>
      <c r="K122" s="591" t="s">
        <v>414</v>
      </c>
      <c r="L122" s="24"/>
    </row>
    <row r="123" spans="1:12" s="26" customFormat="1" ht="16" customHeight="1" x14ac:dyDescent="0.35">
      <c r="A123" s="589">
        <v>60</v>
      </c>
      <c r="B123" s="43" t="s">
        <v>253</v>
      </c>
      <c r="C123" s="15">
        <f>'inventory2020(FOR revised)'!C125</f>
        <v>9.1999999999999993</v>
      </c>
      <c r="D123" s="590">
        <f>'[23]road inventory 2018'!C122</f>
        <v>9.1999999999999993</v>
      </c>
      <c r="E123" s="15">
        <v>7.1</v>
      </c>
      <c r="F123" s="15">
        <v>0</v>
      </c>
      <c r="G123" s="15">
        <v>0</v>
      </c>
      <c r="H123" s="15">
        <v>2.1</v>
      </c>
      <c r="I123" s="15">
        <v>0</v>
      </c>
      <c r="J123" s="106" t="s">
        <v>10</v>
      </c>
      <c r="K123" s="591" t="s">
        <v>424</v>
      </c>
      <c r="L123" s="24"/>
    </row>
    <row r="124" spans="1:12" s="26" customFormat="1" ht="16" customHeight="1" x14ac:dyDescent="0.35">
      <c r="A124" s="589">
        <v>61</v>
      </c>
      <c r="B124" s="43" t="s">
        <v>260</v>
      </c>
      <c r="C124" s="15">
        <f>'inventory2020(FOR revised)'!C126</f>
        <v>4.5</v>
      </c>
      <c r="D124" s="590">
        <f>'[23]road inventory 2018'!C123</f>
        <v>4.5</v>
      </c>
      <c r="E124" s="15">
        <v>1.63</v>
      </c>
      <c r="F124" s="15">
        <v>0</v>
      </c>
      <c r="G124" s="15">
        <v>0</v>
      </c>
      <c r="H124" s="15">
        <v>2.87</v>
      </c>
      <c r="I124" s="15">
        <v>0</v>
      </c>
      <c r="J124" s="106" t="s">
        <v>10</v>
      </c>
      <c r="K124" s="591" t="s">
        <v>425</v>
      </c>
      <c r="L124" s="24"/>
    </row>
    <row r="125" spans="1:12" s="26" customFormat="1" ht="16" customHeight="1" x14ac:dyDescent="0.35">
      <c r="A125" s="589">
        <v>62</v>
      </c>
      <c r="B125" s="43" t="s">
        <v>269</v>
      </c>
      <c r="C125" s="15">
        <f>'inventory2020(FOR revised)'!C127</f>
        <v>3.03</v>
      </c>
      <c r="D125" s="590">
        <f>'[23]road inventory 2018'!C124</f>
        <v>2</v>
      </c>
      <c r="E125" s="15">
        <v>0</v>
      </c>
      <c r="F125" s="15">
        <v>0</v>
      </c>
      <c r="G125" s="15">
        <v>0</v>
      </c>
      <c r="H125" s="15">
        <v>3.03</v>
      </c>
      <c r="I125" s="15">
        <v>0</v>
      </c>
      <c r="J125" s="106" t="s">
        <v>12</v>
      </c>
      <c r="K125" s="591" t="s">
        <v>426</v>
      </c>
      <c r="L125" s="24"/>
    </row>
    <row r="126" spans="1:12" s="26" customFormat="1" ht="16" customHeight="1" x14ac:dyDescent="0.35">
      <c r="A126" s="589">
        <v>63</v>
      </c>
      <c r="B126" s="43" t="s">
        <v>265</v>
      </c>
      <c r="C126" s="15">
        <f>'inventory2020(FOR revised)'!C128</f>
        <v>3.04</v>
      </c>
      <c r="D126" s="590">
        <f>'[23]road inventory 2018'!C125</f>
        <v>3</v>
      </c>
      <c r="E126" s="15">
        <v>0.11</v>
      </c>
      <c r="F126" s="15">
        <v>0</v>
      </c>
      <c r="G126" s="15">
        <v>0</v>
      </c>
      <c r="H126" s="15">
        <v>2.93</v>
      </c>
      <c r="I126" s="15">
        <v>0</v>
      </c>
      <c r="J126" s="106" t="s">
        <v>12</v>
      </c>
      <c r="K126" s="591" t="s">
        <v>427</v>
      </c>
      <c r="L126" s="24"/>
    </row>
    <row r="127" spans="1:12" s="26" customFormat="1" ht="16" customHeight="1" x14ac:dyDescent="0.35">
      <c r="A127" s="589">
        <v>98</v>
      </c>
      <c r="B127" s="43" t="s">
        <v>247</v>
      </c>
      <c r="C127" s="15">
        <f>'inventory2020(FOR revised)'!C129</f>
        <v>5.18</v>
      </c>
      <c r="D127" s="590">
        <f>'[23]road inventory 2018'!C126</f>
        <v>5.1000000000000005</v>
      </c>
      <c r="E127" s="15">
        <v>5.08</v>
      </c>
      <c r="F127" s="15">
        <v>0</v>
      </c>
      <c r="G127" s="15">
        <v>0</v>
      </c>
      <c r="H127" s="15">
        <v>0.1</v>
      </c>
      <c r="I127" s="15">
        <v>0</v>
      </c>
      <c r="J127" s="106" t="s">
        <v>12</v>
      </c>
      <c r="K127" s="591" t="s">
        <v>428</v>
      </c>
      <c r="L127" s="24"/>
    </row>
    <row r="128" spans="1:12" s="26" customFormat="1" ht="16" customHeight="1" x14ac:dyDescent="0.35">
      <c r="A128" s="589">
        <v>64</v>
      </c>
      <c r="B128" s="43" t="s">
        <v>246</v>
      </c>
      <c r="C128" s="15">
        <f>'inventory2020(FOR revised)'!C130</f>
        <v>3.64</v>
      </c>
      <c r="D128" s="590">
        <f>'[23]road inventory 2018'!C127</f>
        <v>3.6</v>
      </c>
      <c r="E128" s="15">
        <v>2.41</v>
      </c>
      <c r="F128" s="15">
        <v>0</v>
      </c>
      <c r="G128" s="15">
        <v>0</v>
      </c>
      <c r="H128" s="15">
        <v>1.23</v>
      </c>
      <c r="I128" s="15">
        <v>0</v>
      </c>
      <c r="J128" s="106" t="s">
        <v>12</v>
      </c>
      <c r="K128" s="591" t="s">
        <v>429</v>
      </c>
      <c r="L128" s="24"/>
    </row>
    <row r="129" spans="1:12" s="26" customFormat="1" ht="16" customHeight="1" x14ac:dyDescent="0.35">
      <c r="A129" s="589">
        <v>96</v>
      </c>
      <c r="B129" s="43" t="s">
        <v>270</v>
      </c>
      <c r="C129" s="15">
        <f>'inventory2020(FOR revised)'!C131</f>
        <v>5.73</v>
      </c>
      <c r="D129" s="590">
        <f>'[23]road inventory 2018'!C128</f>
        <v>5.6999999999999993</v>
      </c>
      <c r="E129" s="15">
        <v>0.3</v>
      </c>
      <c r="F129" s="15">
        <v>0</v>
      </c>
      <c r="G129" s="15">
        <v>0</v>
      </c>
      <c r="H129" s="15">
        <v>5.43</v>
      </c>
      <c r="I129" s="15">
        <v>0</v>
      </c>
      <c r="J129" s="106" t="s">
        <v>12</v>
      </c>
      <c r="K129" s="591" t="s">
        <v>430</v>
      </c>
      <c r="L129" s="24"/>
    </row>
    <row r="130" spans="1:12" s="26" customFormat="1" ht="16" customHeight="1" x14ac:dyDescent="0.35">
      <c r="A130" s="589">
        <v>65</v>
      </c>
      <c r="B130" s="43" t="s">
        <v>261</v>
      </c>
      <c r="C130" s="15">
        <f>'inventory2020(FOR revised)'!C132</f>
        <v>2.7</v>
      </c>
      <c r="D130" s="590">
        <f>'[23]road inventory 2018'!C129</f>
        <v>1.65</v>
      </c>
      <c r="E130" s="15">
        <v>0</v>
      </c>
      <c r="F130" s="15">
        <v>0</v>
      </c>
      <c r="G130" s="15">
        <v>0</v>
      </c>
      <c r="H130" s="15">
        <v>2.7</v>
      </c>
      <c r="I130" s="15">
        <v>0</v>
      </c>
      <c r="J130" s="106" t="s">
        <v>12</v>
      </c>
      <c r="K130" s="591" t="s">
        <v>431</v>
      </c>
      <c r="L130" s="24"/>
    </row>
    <row r="131" spans="1:12" s="26" customFormat="1" ht="16" customHeight="1" x14ac:dyDescent="0.35">
      <c r="A131" s="589">
        <v>66</v>
      </c>
      <c r="B131" s="43" t="s">
        <v>432</v>
      </c>
      <c r="C131" s="15">
        <f>'inventory2020(FOR revised)'!C133</f>
        <v>3.8400000000000003</v>
      </c>
      <c r="D131" s="590">
        <f>'[23]road inventory 2018'!C130</f>
        <v>3.8000000000000003</v>
      </c>
      <c r="E131" s="15">
        <v>0.1</v>
      </c>
      <c r="F131" s="15">
        <v>0</v>
      </c>
      <c r="G131" s="15">
        <v>0</v>
      </c>
      <c r="H131" s="15">
        <v>3.74</v>
      </c>
      <c r="I131" s="15">
        <v>0</v>
      </c>
      <c r="J131" s="106" t="s">
        <v>12</v>
      </c>
      <c r="K131" s="591" t="s">
        <v>433</v>
      </c>
      <c r="L131" s="24"/>
    </row>
    <row r="132" spans="1:12" s="1" customFormat="1" ht="16" customHeight="1" x14ac:dyDescent="0.35">
      <c r="A132" s="596">
        <v>67</v>
      </c>
      <c r="B132" s="45" t="s">
        <v>267</v>
      </c>
      <c r="C132" s="15">
        <f>'inventory2020(FOR revised)'!C134</f>
        <v>1.9</v>
      </c>
      <c r="D132" s="590">
        <f>'[23]road inventory 2018'!C131</f>
        <v>1.9</v>
      </c>
      <c r="E132" s="10">
        <v>0</v>
      </c>
      <c r="F132" s="10">
        <v>0</v>
      </c>
      <c r="G132" s="10">
        <v>0</v>
      </c>
      <c r="H132" s="10">
        <v>1.9</v>
      </c>
      <c r="I132" s="10">
        <v>0</v>
      </c>
      <c r="J132" s="103" t="s">
        <v>33</v>
      </c>
      <c r="K132" s="597" t="s">
        <v>434</v>
      </c>
      <c r="L132" s="28"/>
    </row>
    <row r="133" spans="1:12" s="1" customFormat="1" ht="16" customHeight="1" x14ac:dyDescent="0.35">
      <c r="A133" s="596">
        <v>68</v>
      </c>
      <c r="B133" s="45" t="s">
        <v>266</v>
      </c>
      <c r="C133" s="15">
        <f>'inventory2020(FOR revised)'!C135</f>
        <v>1.65</v>
      </c>
      <c r="D133" s="590">
        <f>'[23]road inventory 2018'!C132</f>
        <v>1.5999999999999999</v>
      </c>
      <c r="E133" s="10">
        <v>0.25</v>
      </c>
      <c r="F133" s="10">
        <v>0</v>
      </c>
      <c r="G133" s="10">
        <v>0</v>
      </c>
      <c r="H133" s="10">
        <v>1.4</v>
      </c>
      <c r="I133" s="10">
        <v>0</v>
      </c>
      <c r="J133" s="103" t="s">
        <v>33</v>
      </c>
      <c r="K133" s="597" t="s">
        <v>434</v>
      </c>
      <c r="L133" s="28"/>
    </row>
    <row r="134" spans="1:12" s="26" customFormat="1" ht="16" customHeight="1" thickBot="1" x14ac:dyDescent="0.4">
      <c r="A134" s="649">
        <v>69</v>
      </c>
      <c r="B134" s="650" t="s">
        <v>264</v>
      </c>
      <c r="C134" s="15">
        <f>'inventory2020(FOR revised)'!C136</f>
        <v>1.68</v>
      </c>
      <c r="D134" s="590">
        <f>'[23]road inventory 2018'!C133</f>
        <v>1.6</v>
      </c>
      <c r="E134" s="65">
        <v>0</v>
      </c>
      <c r="F134" s="65">
        <v>0</v>
      </c>
      <c r="G134" s="65">
        <v>0</v>
      </c>
      <c r="H134" s="65">
        <v>1.68</v>
      </c>
      <c r="I134" s="65">
        <v>0</v>
      </c>
      <c r="J134" s="651" t="s">
        <v>12</v>
      </c>
      <c r="K134" s="652" t="s">
        <v>435</v>
      </c>
      <c r="L134" s="24"/>
    </row>
    <row r="135" spans="1:12" s="26" customFormat="1" ht="16" customHeight="1" x14ac:dyDescent="0.35">
      <c r="A135" s="589">
        <v>70</v>
      </c>
      <c r="B135" s="43" t="s">
        <v>263</v>
      </c>
      <c r="C135" s="15">
        <f>'inventory2020(FOR revised)'!C137</f>
        <v>2.77</v>
      </c>
      <c r="D135" s="590">
        <f>'[23]road inventory 2018'!C136</f>
        <v>2.6</v>
      </c>
      <c r="E135" s="15">
        <v>0</v>
      </c>
      <c r="F135" s="15">
        <v>0</v>
      </c>
      <c r="G135" s="15">
        <v>0</v>
      </c>
      <c r="H135" s="15">
        <v>2.77</v>
      </c>
      <c r="I135" s="15">
        <v>0</v>
      </c>
      <c r="J135" s="106" t="s">
        <v>12</v>
      </c>
      <c r="K135" s="591" t="s">
        <v>436</v>
      </c>
      <c r="L135" s="24"/>
    </row>
    <row r="136" spans="1:12" s="26" customFormat="1" ht="16" customHeight="1" x14ac:dyDescent="0.35">
      <c r="A136" s="589">
        <v>71</v>
      </c>
      <c r="B136" s="43" t="s">
        <v>54</v>
      </c>
      <c r="C136" s="15">
        <f>'inventory2020(FOR revised)'!C138</f>
        <v>2.69</v>
      </c>
      <c r="D136" s="590">
        <f>'[23]road inventory 2018'!C137</f>
        <v>2.7</v>
      </c>
      <c r="E136" s="15">
        <v>0</v>
      </c>
      <c r="F136" s="15">
        <v>0</v>
      </c>
      <c r="G136" s="15">
        <v>0</v>
      </c>
      <c r="H136" s="15">
        <v>2.69</v>
      </c>
      <c r="I136" s="15">
        <v>0</v>
      </c>
      <c r="J136" s="106" t="s">
        <v>12</v>
      </c>
      <c r="K136" s="591" t="s">
        <v>437</v>
      </c>
      <c r="L136" s="24"/>
    </row>
    <row r="137" spans="1:12" s="26" customFormat="1" ht="16" customHeight="1" x14ac:dyDescent="0.35">
      <c r="A137" s="589">
        <v>72</v>
      </c>
      <c r="B137" s="43" t="s">
        <v>56</v>
      </c>
      <c r="C137" s="15">
        <f>'inventory2020(FOR revised)'!C139</f>
        <v>1.8900000000000001</v>
      </c>
      <c r="D137" s="590">
        <f>'[23]road inventory 2018'!C138</f>
        <v>1.7</v>
      </c>
      <c r="E137" s="15">
        <v>0.83</v>
      </c>
      <c r="F137" s="15">
        <v>0</v>
      </c>
      <c r="G137" s="15">
        <v>0</v>
      </c>
      <c r="H137" s="15">
        <v>1.06</v>
      </c>
      <c r="I137" s="15">
        <v>0</v>
      </c>
      <c r="J137" s="106" t="s">
        <v>12</v>
      </c>
      <c r="K137" s="591" t="s">
        <v>438</v>
      </c>
      <c r="L137" s="24"/>
    </row>
    <row r="138" spans="1:12" s="26" customFormat="1" ht="16" customHeight="1" x14ac:dyDescent="0.35">
      <c r="A138" s="589">
        <v>73</v>
      </c>
      <c r="B138" s="24" t="s">
        <v>258</v>
      </c>
      <c r="C138" s="15">
        <f>'inventory2020(FOR revised)'!C140</f>
        <v>4.5599999999999996</v>
      </c>
      <c r="D138" s="590">
        <f>'[23]road inventory 2018'!C139</f>
        <v>5.5</v>
      </c>
      <c r="E138" s="15">
        <v>0</v>
      </c>
      <c r="F138" s="15">
        <v>0</v>
      </c>
      <c r="G138" s="15">
        <v>0</v>
      </c>
      <c r="H138" s="15">
        <v>4.5599999999999996</v>
      </c>
      <c r="I138" s="15">
        <v>0</v>
      </c>
      <c r="J138" s="106" t="s">
        <v>12</v>
      </c>
      <c r="K138" s="591" t="s">
        <v>439</v>
      </c>
      <c r="L138" s="24"/>
    </row>
    <row r="139" spans="1:12" s="26" customFormat="1" ht="16" customHeight="1" x14ac:dyDescent="0.35">
      <c r="A139" s="589">
        <v>74</v>
      </c>
      <c r="B139" s="24" t="s">
        <v>257</v>
      </c>
      <c r="C139" s="15">
        <f>'inventory2020(FOR revised)'!C141</f>
        <v>0.53</v>
      </c>
      <c r="D139" s="590">
        <f>'[23]road inventory 2018'!C140</f>
        <v>0.5</v>
      </c>
      <c r="E139" s="15">
        <v>0</v>
      </c>
      <c r="F139" s="15">
        <v>0</v>
      </c>
      <c r="G139" s="15">
        <v>0</v>
      </c>
      <c r="H139" s="15">
        <v>0.53</v>
      </c>
      <c r="I139" s="15">
        <v>0</v>
      </c>
      <c r="J139" s="106" t="s">
        <v>33</v>
      </c>
      <c r="K139" s="591" t="s">
        <v>439</v>
      </c>
      <c r="L139" s="24"/>
    </row>
    <row r="140" spans="1:12" s="1" customFormat="1" ht="16" customHeight="1" x14ac:dyDescent="0.35">
      <c r="A140" s="596">
        <v>75</v>
      </c>
      <c r="B140" s="28" t="s">
        <v>259</v>
      </c>
      <c r="C140" s="15">
        <f>'inventory2020(FOR revised)'!C142</f>
        <v>3.1</v>
      </c>
      <c r="D140" s="590">
        <f>'[23]road inventory 2018'!C141</f>
        <v>2.1</v>
      </c>
      <c r="E140" s="10">
        <v>0</v>
      </c>
      <c r="F140" s="10">
        <v>0</v>
      </c>
      <c r="G140" s="10">
        <v>0</v>
      </c>
      <c r="H140" s="10">
        <v>3.1</v>
      </c>
      <c r="I140" s="10">
        <v>0</v>
      </c>
      <c r="J140" s="103" t="s">
        <v>12</v>
      </c>
      <c r="K140" s="597" t="s">
        <v>440</v>
      </c>
      <c r="L140" s="28"/>
    </row>
    <row r="141" spans="1:12" s="26" customFormat="1" ht="16" customHeight="1" x14ac:dyDescent="0.35">
      <c r="A141" s="589">
        <v>76</v>
      </c>
      <c r="B141" s="24" t="s">
        <v>256</v>
      </c>
      <c r="C141" s="15">
        <f>'inventory2020(FOR revised)'!C143</f>
        <v>0.2</v>
      </c>
      <c r="D141" s="590">
        <f>'[23]road inventory 2018'!C142</f>
        <v>0.2</v>
      </c>
      <c r="E141" s="15">
        <v>0.2</v>
      </c>
      <c r="F141" s="15">
        <v>0</v>
      </c>
      <c r="G141" s="15">
        <v>0</v>
      </c>
      <c r="H141" s="15">
        <v>0</v>
      </c>
      <c r="I141" s="15">
        <v>0</v>
      </c>
      <c r="J141" s="106" t="s">
        <v>10</v>
      </c>
      <c r="K141" s="591" t="s">
        <v>425</v>
      </c>
      <c r="L141" s="24"/>
    </row>
    <row r="142" spans="1:12" s="26" customFormat="1" ht="16" customHeight="1" x14ac:dyDescent="0.35">
      <c r="A142" s="626"/>
      <c r="B142" s="60"/>
      <c r="C142" s="61">
        <f t="shared" ref="C142:I142" si="4">SUM(C110:C141)</f>
        <v>112.60000000000002</v>
      </c>
      <c r="D142" s="636">
        <f t="shared" si="4"/>
        <v>107.84999999999998</v>
      </c>
      <c r="E142" s="61">
        <f t="shared" si="4"/>
        <v>37.29</v>
      </c>
      <c r="F142" s="61">
        <f t="shared" si="4"/>
        <v>0</v>
      </c>
      <c r="G142" s="61">
        <f t="shared" si="4"/>
        <v>0</v>
      </c>
      <c r="H142" s="61">
        <f t="shared" si="4"/>
        <v>75.31</v>
      </c>
      <c r="I142" s="61">
        <f t="shared" si="4"/>
        <v>0</v>
      </c>
      <c r="J142" s="628"/>
      <c r="K142" s="629"/>
      <c r="L142" s="24"/>
    </row>
    <row r="143" spans="1:12" s="1" customFormat="1" ht="18" customHeight="1" thickBot="1" x14ac:dyDescent="0.4">
      <c r="A143" s="53" t="s">
        <v>341</v>
      </c>
      <c r="B143" s="34"/>
      <c r="C143" s="31">
        <f>E143+H143</f>
        <v>112.6</v>
      </c>
      <c r="D143" s="630"/>
      <c r="E143" s="31">
        <f>SUM(E110:E141)</f>
        <v>37.29</v>
      </c>
      <c r="F143" s="31">
        <f>SUM(F110:F141)</f>
        <v>0</v>
      </c>
      <c r="G143" s="31">
        <f>SUM(G110:G141)</f>
        <v>0</v>
      </c>
      <c r="H143" s="31">
        <f>SUM(H110:H141)</f>
        <v>75.31</v>
      </c>
      <c r="I143" s="31">
        <f>SUM(I110:I141)</f>
        <v>0</v>
      </c>
      <c r="J143" s="608"/>
      <c r="K143" s="609"/>
      <c r="L143" s="653"/>
    </row>
    <row r="144" spans="1:12" s="1" customFormat="1" ht="18" customHeight="1" x14ac:dyDescent="0.35">
      <c r="A144" s="544"/>
      <c r="B144" s="35"/>
      <c r="C144" s="22"/>
      <c r="D144" s="610"/>
      <c r="E144" s="22"/>
      <c r="F144" s="22"/>
      <c r="G144" s="22"/>
      <c r="H144" s="22"/>
      <c r="I144" s="22"/>
      <c r="K144" s="21"/>
      <c r="L144" s="653"/>
    </row>
    <row r="145" spans="1:12" s="1" customFormat="1" x14ac:dyDescent="0.35">
      <c r="A145" s="1203" t="s">
        <v>441</v>
      </c>
      <c r="B145" s="1204"/>
      <c r="C145" s="1204"/>
      <c r="D145" s="1204"/>
      <c r="E145" s="1204"/>
      <c r="F145" s="1204"/>
      <c r="G145" s="1204"/>
      <c r="H145" s="1204"/>
      <c r="I145" s="1204"/>
      <c r="J145" s="1204"/>
      <c r="K145" s="1204"/>
      <c r="L145" s="1205"/>
    </row>
    <row r="146" spans="1:12" s="1" customFormat="1" ht="16" thickBot="1" x14ac:dyDescent="0.4">
      <c r="A146" s="585"/>
      <c r="B146" s="2"/>
      <c r="C146" s="5"/>
      <c r="D146" s="586"/>
      <c r="E146" s="5"/>
      <c r="F146" s="5"/>
      <c r="G146" s="5"/>
      <c r="H146" s="5"/>
      <c r="I146" s="5"/>
      <c r="J146" s="3"/>
      <c r="K146" s="21"/>
      <c r="L146" s="97"/>
    </row>
    <row r="147" spans="1:12" s="1" customFormat="1" ht="21" customHeight="1" x14ac:dyDescent="0.35">
      <c r="A147" s="1206" t="s">
        <v>302</v>
      </c>
      <c r="B147" s="1208" t="s">
        <v>28</v>
      </c>
      <c r="C147" s="1210" t="s">
        <v>343</v>
      </c>
      <c r="D147" s="613"/>
      <c r="E147" s="1212" t="s">
        <v>305</v>
      </c>
      <c r="F147" s="1212"/>
      <c r="G147" s="1212"/>
      <c r="H147" s="1212"/>
      <c r="I147" s="1212"/>
      <c r="J147" s="1208" t="s">
        <v>29</v>
      </c>
      <c r="K147" s="1213" t="s">
        <v>306</v>
      </c>
      <c r="L147" s="1226" t="s">
        <v>307</v>
      </c>
    </row>
    <row r="148" spans="1:12" s="1" customFormat="1" ht="21" customHeight="1" thickBot="1" x14ac:dyDescent="0.4">
      <c r="A148" s="1207"/>
      <c r="B148" s="1209"/>
      <c r="C148" s="1211"/>
      <c r="D148" s="614"/>
      <c r="E148" s="7" t="s">
        <v>308</v>
      </c>
      <c r="F148" s="7" t="s">
        <v>309</v>
      </c>
      <c r="G148" s="7" t="s">
        <v>310</v>
      </c>
      <c r="H148" s="7" t="s">
        <v>311</v>
      </c>
      <c r="I148" s="7" t="s">
        <v>312</v>
      </c>
      <c r="J148" s="1209"/>
      <c r="K148" s="1214"/>
      <c r="L148" s="1227"/>
    </row>
    <row r="149" spans="1:12" s="26" customFormat="1" ht="16.5" customHeight="1" x14ac:dyDescent="0.35">
      <c r="A149" s="626">
        <v>95</v>
      </c>
      <c r="B149" s="43" t="s">
        <v>276</v>
      </c>
      <c r="C149" s="61">
        <f>SUM(E149:I149)</f>
        <v>2.3200000000000003</v>
      </c>
      <c r="D149" s="636">
        <f>'[23]road inventory 2018'!C149</f>
        <v>3</v>
      </c>
      <c r="E149" s="15">
        <v>1.02</v>
      </c>
      <c r="F149" s="15">
        <v>0</v>
      </c>
      <c r="G149" s="15">
        <v>0</v>
      </c>
      <c r="H149" s="61">
        <v>1.3</v>
      </c>
      <c r="I149" s="15">
        <v>0</v>
      </c>
      <c r="J149" s="106" t="s">
        <v>10</v>
      </c>
      <c r="K149" s="591" t="s">
        <v>442</v>
      </c>
      <c r="L149" s="592"/>
    </row>
    <row r="150" spans="1:12" s="26" customFormat="1" ht="15" customHeight="1" x14ac:dyDescent="0.35">
      <c r="A150" s="589">
        <v>77</v>
      </c>
      <c r="B150" s="43" t="s">
        <v>271</v>
      </c>
      <c r="C150" s="61">
        <f t="shared" ref="C150:C162" si="5">SUM(E150:I150)</f>
        <v>0.76</v>
      </c>
      <c r="D150" s="636">
        <f>'[23]road inventory 2018'!C150</f>
        <v>0.7</v>
      </c>
      <c r="E150" s="15">
        <v>0.76</v>
      </c>
      <c r="F150" s="15">
        <v>0</v>
      </c>
      <c r="G150" s="15">
        <v>0</v>
      </c>
      <c r="H150" s="15">
        <v>0</v>
      </c>
      <c r="I150" s="15">
        <v>0</v>
      </c>
      <c r="J150" s="106" t="s">
        <v>10</v>
      </c>
      <c r="K150" s="591" t="s">
        <v>443</v>
      </c>
      <c r="L150" s="24"/>
    </row>
    <row r="151" spans="1:12" s="26" customFormat="1" ht="15" customHeight="1" x14ac:dyDescent="0.35">
      <c r="A151" s="589">
        <v>94</v>
      </c>
      <c r="B151" s="43" t="s">
        <v>278</v>
      </c>
      <c r="C151" s="61">
        <f t="shared" si="5"/>
        <v>0.6</v>
      </c>
      <c r="D151" s="636">
        <f>'[23]road inventory 2018'!C151</f>
        <v>0.6</v>
      </c>
      <c r="E151" s="15">
        <v>0.5</v>
      </c>
      <c r="F151" s="15">
        <v>0</v>
      </c>
      <c r="G151" s="15">
        <v>0</v>
      </c>
      <c r="H151" s="15">
        <v>0.1</v>
      </c>
      <c r="I151" s="15">
        <v>0</v>
      </c>
      <c r="J151" s="106" t="s">
        <v>10</v>
      </c>
      <c r="K151" s="591" t="s">
        <v>444</v>
      </c>
      <c r="L151" s="24"/>
    </row>
    <row r="152" spans="1:12" s="1" customFormat="1" x14ac:dyDescent="0.35">
      <c r="A152" s="596">
        <v>78</v>
      </c>
      <c r="B152" s="45" t="s">
        <v>277</v>
      </c>
      <c r="C152" s="61">
        <f t="shared" si="5"/>
        <v>3.81</v>
      </c>
      <c r="D152" s="636">
        <f>'[23]road inventory 2018'!C152</f>
        <v>3.8</v>
      </c>
      <c r="E152" s="10">
        <v>0.69</v>
      </c>
      <c r="F152" s="10">
        <v>0</v>
      </c>
      <c r="G152" s="10">
        <v>0</v>
      </c>
      <c r="H152" s="10">
        <v>3.12</v>
      </c>
      <c r="I152" s="10">
        <v>0</v>
      </c>
      <c r="J152" s="103" t="s">
        <v>41</v>
      </c>
      <c r="K152" s="597" t="s">
        <v>445</v>
      </c>
      <c r="L152" s="28"/>
    </row>
    <row r="153" spans="1:12" s="1" customFormat="1" ht="16.5" customHeight="1" x14ac:dyDescent="0.35">
      <c r="A153" s="596">
        <v>79</v>
      </c>
      <c r="B153" s="45" t="s">
        <v>272</v>
      </c>
      <c r="C153" s="61">
        <f t="shared" si="5"/>
        <v>0.55000000000000004</v>
      </c>
      <c r="D153" s="636">
        <f>'[23]road inventory 2018'!C153</f>
        <v>1.9000000000000001</v>
      </c>
      <c r="E153" s="10">
        <v>0.12</v>
      </c>
      <c r="F153" s="10">
        <v>0</v>
      </c>
      <c r="G153" s="10">
        <v>0</v>
      </c>
      <c r="H153" s="10">
        <v>0.43</v>
      </c>
      <c r="I153" s="10">
        <v>0</v>
      </c>
      <c r="J153" s="103" t="s">
        <v>41</v>
      </c>
      <c r="K153" s="597" t="s">
        <v>446</v>
      </c>
      <c r="L153" s="28" t="s">
        <v>833</v>
      </c>
    </row>
    <row r="154" spans="1:12" s="1" customFormat="1" ht="31" x14ac:dyDescent="0.35">
      <c r="A154" s="596">
        <v>80</v>
      </c>
      <c r="B154" s="45" t="s">
        <v>282</v>
      </c>
      <c r="C154" s="61">
        <f t="shared" si="5"/>
        <v>15.75</v>
      </c>
      <c r="D154" s="636">
        <f>'[23]road inventory 2018'!C154</f>
        <v>15.7</v>
      </c>
      <c r="E154" s="10">
        <v>0.7</v>
      </c>
      <c r="F154" s="10">
        <v>0</v>
      </c>
      <c r="G154" s="10">
        <v>0</v>
      </c>
      <c r="H154" s="10">
        <v>15.05</v>
      </c>
      <c r="I154" s="10">
        <v>0</v>
      </c>
      <c r="J154" s="103" t="s">
        <v>41</v>
      </c>
      <c r="K154" s="597" t="s">
        <v>447</v>
      </c>
      <c r="L154" s="28"/>
    </row>
    <row r="155" spans="1:12" s="26" customFormat="1" ht="16.5" customHeight="1" x14ac:dyDescent="0.35">
      <c r="A155" s="589">
        <v>81</v>
      </c>
      <c r="B155" s="43" t="s">
        <v>279</v>
      </c>
      <c r="C155" s="61">
        <f t="shared" si="5"/>
        <v>3.89</v>
      </c>
      <c r="D155" s="636">
        <f>'[23]road inventory 2018'!C155</f>
        <v>3.8</v>
      </c>
      <c r="E155" s="15">
        <v>0.27</v>
      </c>
      <c r="F155" s="15">
        <v>0</v>
      </c>
      <c r="G155" s="15">
        <v>0</v>
      </c>
      <c r="H155" s="15">
        <v>3.62</v>
      </c>
      <c r="I155" s="15">
        <v>0</v>
      </c>
      <c r="J155" s="106" t="s">
        <v>33</v>
      </c>
      <c r="K155" s="591" t="s">
        <v>448</v>
      </c>
      <c r="L155" s="24"/>
    </row>
    <row r="156" spans="1:12" s="26" customFormat="1" ht="13.15" customHeight="1" x14ac:dyDescent="0.35">
      <c r="A156" s="589">
        <v>82</v>
      </c>
      <c r="B156" s="43" t="s">
        <v>283</v>
      </c>
      <c r="C156" s="61">
        <f t="shared" si="5"/>
        <v>5.6099999999999994</v>
      </c>
      <c r="D156" s="636">
        <f>'[23]road inventory 2018'!C156</f>
        <v>5.4</v>
      </c>
      <c r="E156" s="15">
        <v>1.23</v>
      </c>
      <c r="F156" s="15">
        <v>0</v>
      </c>
      <c r="G156" s="15">
        <v>0</v>
      </c>
      <c r="H156" s="15">
        <v>4.38</v>
      </c>
      <c r="I156" s="15">
        <v>0</v>
      </c>
      <c r="J156" s="106" t="s">
        <v>33</v>
      </c>
      <c r="K156" s="591" t="s">
        <v>449</v>
      </c>
      <c r="L156" s="24"/>
    </row>
    <row r="157" spans="1:12" s="1" customFormat="1" x14ac:dyDescent="0.35">
      <c r="A157" s="596">
        <v>83</v>
      </c>
      <c r="B157" s="45" t="s">
        <v>58</v>
      </c>
      <c r="C157" s="61">
        <f t="shared" si="5"/>
        <v>4.12</v>
      </c>
      <c r="D157" s="636">
        <f>'[23]road inventory 2018'!C157</f>
        <v>4.2</v>
      </c>
      <c r="E157" s="10">
        <v>0.34</v>
      </c>
      <c r="F157" s="10">
        <v>0</v>
      </c>
      <c r="G157" s="10">
        <v>0</v>
      </c>
      <c r="H157" s="10">
        <v>3.78</v>
      </c>
      <c r="I157" s="10">
        <v>0</v>
      </c>
      <c r="J157" s="103" t="s">
        <v>12</v>
      </c>
      <c r="K157" s="597" t="s">
        <v>447</v>
      </c>
      <c r="L157" s="28"/>
    </row>
    <row r="158" spans="1:12" s="1" customFormat="1" ht="31" x14ac:dyDescent="0.35">
      <c r="A158" s="596">
        <v>84</v>
      </c>
      <c r="B158" s="45" t="s">
        <v>274</v>
      </c>
      <c r="C158" s="61">
        <f t="shared" si="5"/>
        <v>1.27</v>
      </c>
      <c r="D158" s="636">
        <f>'[23]road inventory 2018'!C158</f>
        <v>1.2</v>
      </c>
      <c r="E158" s="10">
        <v>0</v>
      </c>
      <c r="F158" s="10">
        <v>0</v>
      </c>
      <c r="G158" s="10">
        <v>0</v>
      </c>
      <c r="H158" s="10">
        <v>1.27</v>
      </c>
      <c r="I158" s="10">
        <v>0</v>
      </c>
      <c r="J158" s="103" t="s">
        <v>41</v>
      </c>
      <c r="K158" s="597" t="s">
        <v>450</v>
      </c>
      <c r="L158" s="28"/>
    </row>
    <row r="159" spans="1:12" s="26" customFormat="1" ht="13.15" customHeight="1" x14ac:dyDescent="0.35">
      <c r="A159" s="589">
        <v>85</v>
      </c>
      <c r="B159" s="43" t="s">
        <v>281</v>
      </c>
      <c r="C159" s="61">
        <f t="shared" si="5"/>
        <v>2.86</v>
      </c>
      <c r="D159" s="636">
        <f>'[23]road inventory 2018'!C159</f>
        <v>2.8</v>
      </c>
      <c r="E159" s="15">
        <v>0</v>
      </c>
      <c r="F159" s="15">
        <v>0</v>
      </c>
      <c r="G159" s="15">
        <v>0</v>
      </c>
      <c r="H159" s="15">
        <v>2.86</v>
      </c>
      <c r="I159" s="15">
        <v>0</v>
      </c>
      <c r="J159" s="106" t="s">
        <v>10</v>
      </c>
      <c r="K159" s="591" t="s">
        <v>451</v>
      </c>
      <c r="L159" s="24"/>
    </row>
    <row r="160" spans="1:12" x14ac:dyDescent="0.35">
      <c r="A160" s="596">
        <v>86</v>
      </c>
      <c r="B160" s="45" t="s">
        <v>275</v>
      </c>
      <c r="C160" s="61">
        <f t="shared" si="5"/>
        <v>0.08</v>
      </c>
      <c r="D160" s="636">
        <f>'[23]road inventory 2018'!C160</f>
        <v>2.5</v>
      </c>
      <c r="E160" s="10">
        <v>0</v>
      </c>
      <c r="F160" s="10">
        <v>0</v>
      </c>
      <c r="G160" s="10">
        <v>0</v>
      </c>
      <c r="H160" s="10">
        <v>0.08</v>
      </c>
      <c r="I160" s="10">
        <v>0</v>
      </c>
      <c r="J160" s="103" t="s">
        <v>41</v>
      </c>
      <c r="K160" s="597" t="s">
        <v>452</v>
      </c>
      <c r="L160" s="28"/>
    </row>
    <row r="161" spans="1:12" ht="31" x14ac:dyDescent="0.35">
      <c r="A161" s="596">
        <v>87</v>
      </c>
      <c r="B161" s="45" t="s">
        <v>273</v>
      </c>
      <c r="C161" s="61">
        <f t="shared" si="5"/>
        <v>0.51</v>
      </c>
      <c r="D161" s="636">
        <f>'[23]road inventory 2018'!C161</f>
        <v>0.5</v>
      </c>
      <c r="E161" s="10">
        <v>0</v>
      </c>
      <c r="F161" s="10">
        <v>0</v>
      </c>
      <c r="G161" s="10">
        <v>0</v>
      </c>
      <c r="H161" s="10">
        <v>0.51</v>
      </c>
      <c r="I161" s="10">
        <v>0</v>
      </c>
      <c r="J161" s="103" t="s">
        <v>41</v>
      </c>
      <c r="K161" s="597" t="s">
        <v>450</v>
      </c>
      <c r="L161" s="28"/>
    </row>
    <row r="162" spans="1:12" x14ac:dyDescent="0.35">
      <c r="A162" s="596">
        <v>88</v>
      </c>
      <c r="B162" s="45" t="s">
        <v>280</v>
      </c>
      <c r="C162" s="61">
        <f t="shared" si="5"/>
        <v>3.18</v>
      </c>
      <c r="D162" s="636">
        <f>'[23]road inventory 2018'!C162</f>
        <v>3.2</v>
      </c>
      <c r="E162" s="10">
        <v>0</v>
      </c>
      <c r="F162" s="10">
        <v>0</v>
      </c>
      <c r="G162" s="10">
        <v>0</v>
      </c>
      <c r="H162" s="10">
        <v>3.18</v>
      </c>
      <c r="I162" s="10">
        <v>0</v>
      </c>
      <c r="J162" s="103" t="s">
        <v>33</v>
      </c>
      <c r="K162" s="597" t="s">
        <v>454</v>
      </c>
      <c r="L162" s="28"/>
    </row>
    <row r="163" spans="1:12" x14ac:dyDescent="0.35">
      <c r="A163" s="635"/>
      <c r="B163" s="654"/>
      <c r="C163" s="41">
        <f>SUM(C149:C162)</f>
        <v>45.309999999999995</v>
      </c>
      <c r="D163" s="41">
        <f t="shared" ref="D163:I163" si="6">SUM(D149:D162)</f>
        <v>49.300000000000004</v>
      </c>
      <c r="E163" s="41">
        <f>SUM(E149:E162)</f>
        <v>5.6300000000000008</v>
      </c>
      <c r="F163" s="41">
        <f t="shared" si="6"/>
        <v>0</v>
      </c>
      <c r="G163" s="41">
        <f t="shared" si="6"/>
        <v>0</v>
      </c>
      <c r="H163" s="41">
        <f t="shared" si="6"/>
        <v>39.68</v>
      </c>
      <c r="I163" s="41">
        <f t="shared" si="6"/>
        <v>0</v>
      </c>
      <c r="J163" s="109"/>
      <c r="K163" s="605"/>
      <c r="L163" s="28"/>
    </row>
    <row r="164" spans="1:12" ht="18" customHeight="1" thickBot="1" x14ac:dyDescent="0.4">
      <c r="A164" s="53" t="s">
        <v>341</v>
      </c>
      <c r="B164" s="34"/>
      <c r="C164" s="31">
        <f>E164+H164</f>
        <v>45.31</v>
      </c>
      <c r="D164" s="630"/>
      <c r="E164" s="31">
        <f>SUM(E149:E162)</f>
        <v>5.6300000000000008</v>
      </c>
      <c r="F164" s="31">
        <f>SUM(F149:F162)</f>
        <v>0</v>
      </c>
      <c r="G164" s="31">
        <f>SUM(G149:G162)</f>
        <v>0</v>
      </c>
      <c r="H164" s="31">
        <f>SUM(H149:H162)</f>
        <v>39.68</v>
      </c>
      <c r="I164" s="31">
        <f>SUM(I149:I162)</f>
        <v>0</v>
      </c>
      <c r="J164" s="608"/>
      <c r="K164" s="609"/>
      <c r="L164" s="653"/>
    </row>
    <row r="165" spans="1:12" ht="18" customHeight="1" thickBot="1" x14ac:dyDescent="0.4">
      <c r="A165" s="544"/>
      <c r="B165" s="35"/>
      <c r="C165" s="22"/>
      <c r="D165" s="610"/>
      <c r="E165" s="22"/>
      <c r="F165" s="22"/>
      <c r="G165" s="22"/>
      <c r="H165" s="22"/>
      <c r="I165" s="22"/>
      <c r="J165" s="1"/>
      <c r="K165" s="21"/>
      <c r="L165" s="97"/>
    </row>
    <row r="166" spans="1:12" s="1" customFormat="1" x14ac:dyDescent="0.35">
      <c r="A166" s="1217" t="s">
        <v>455</v>
      </c>
      <c r="B166" s="1218"/>
      <c r="C166" s="1218"/>
      <c r="D166" s="1218"/>
      <c r="E166" s="1218"/>
      <c r="F166" s="1218"/>
      <c r="G166" s="1218"/>
      <c r="H166" s="1218"/>
      <c r="I166" s="1218"/>
      <c r="J166" s="1218"/>
      <c r="K166" s="1218"/>
      <c r="L166" s="1219"/>
    </row>
    <row r="167" spans="1:12" s="1" customFormat="1" ht="16" thickBot="1" x14ac:dyDescent="0.4">
      <c r="A167" s="585"/>
      <c r="B167" s="2"/>
      <c r="C167" s="5"/>
      <c r="D167" s="586"/>
      <c r="E167" s="5"/>
      <c r="F167" s="5"/>
      <c r="G167" s="5"/>
      <c r="H167" s="5"/>
      <c r="I167" s="5"/>
      <c r="J167" s="3"/>
      <c r="K167" s="21"/>
      <c r="L167" s="97"/>
    </row>
    <row r="168" spans="1:12" s="1" customFormat="1" ht="21" customHeight="1" x14ac:dyDescent="0.35">
      <c r="A168" s="1206" t="s">
        <v>302</v>
      </c>
      <c r="B168" s="1208" t="s">
        <v>28</v>
      </c>
      <c r="C168" s="1210" t="s">
        <v>343</v>
      </c>
      <c r="D168" s="613"/>
      <c r="E168" s="1212" t="s">
        <v>305</v>
      </c>
      <c r="F168" s="1212"/>
      <c r="G168" s="1212"/>
      <c r="H168" s="1212"/>
      <c r="I168" s="1212"/>
      <c r="J168" s="1208" t="s">
        <v>29</v>
      </c>
      <c r="K168" s="1213" t="s">
        <v>306</v>
      </c>
      <c r="L168" s="1226" t="s">
        <v>307</v>
      </c>
    </row>
    <row r="169" spans="1:12" s="1" customFormat="1" ht="21" customHeight="1" thickBot="1" x14ac:dyDescent="0.4">
      <c r="A169" s="1207"/>
      <c r="B169" s="1209"/>
      <c r="C169" s="1211"/>
      <c r="D169" s="614"/>
      <c r="E169" s="7" t="s">
        <v>308</v>
      </c>
      <c r="F169" s="7" t="s">
        <v>309</v>
      </c>
      <c r="G169" s="7" t="s">
        <v>310</v>
      </c>
      <c r="H169" s="7" t="s">
        <v>311</v>
      </c>
      <c r="I169" s="7" t="s">
        <v>312</v>
      </c>
      <c r="J169" s="1209"/>
      <c r="K169" s="1214"/>
      <c r="L169" s="1227"/>
    </row>
    <row r="170" spans="1:12" x14ac:dyDescent="0.35">
      <c r="A170" s="655">
        <v>91</v>
      </c>
      <c r="B170" s="47" t="s">
        <v>62</v>
      </c>
      <c r="C170" s="11">
        <f>SUM(E170:I170)</f>
        <v>13.07</v>
      </c>
      <c r="D170" s="656">
        <f>'[23]road inventory 2018'!C169</f>
        <v>12.9</v>
      </c>
      <c r="E170" s="11">
        <v>10</v>
      </c>
      <c r="F170" s="11">
        <v>0</v>
      </c>
      <c r="G170" s="11">
        <v>0</v>
      </c>
      <c r="H170" s="11">
        <v>3.07</v>
      </c>
      <c r="I170" s="11">
        <v>0</v>
      </c>
      <c r="J170" s="111" t="s">
        <v>10</v>
      </c>
      <c r="K170" s="657" t="s">
        <v>456</v>
      </c>
      <c r="L170" s="112"/>
    </row>
    <row r="171" spans="1:12" s="16" customFormat="1" x14ac:dyDescent="0.35">
      <c r="A171" s="589">
        <v>92</v>
      </c>
      <c r="B171" s="43" t="s">
        <v>457</v>
      </c>
      <c r="C171" s="11">
        <f>SUM(E171:I171)</f>
        <v>5.6</v>
      </c>
      <c r="D171" s="656">
        <f>'[23]road inventory 2018'!C170</f>
        <v>5.6</v>
      </c>
      <c r="E171" s="15">
        <v>3</v>
      </c>
      <c r="F171" s="15">
        <v>0</v>
      </c>
      <c r="G171" s="15">
        <v>0</v>
      </c>
      <c r="H171" s="15">
        <v>2.6</v>
      </c>
      <c r="I171" s="15">
        <v>0</v>
      </c>
      <c r="J171" s="106" t="s">
        <v>317</v>
      </c>
      <c r="K171" s="591" t="s">
        <v>459</v>
      </c>
      <c r="L171" s="24"/>
    </row>
    <row r="172" spans="1:12" x14ac:dyDescent="0.35">
      <c r="A172" s="658" t="s">
        <v>341</v>
      </c>
      <c r="B172" s="50"/>
      <c r="C172" s="51">
        <f t="shared" ref="C172:I172" si="7">SUM(C170:C171)</f>
        <v>18.670000000000002</v>
      </c>
      <c r="D172" s="51">
        <f t="shared" si="7"/>
        <v>18.5</v>
      </c>
      <c r="E172" s="51">
        <f t="shared" si="7"/>
        <v>13</v>
      </c>
      <c r="F172" s="51">
        <f t="shared" si="7"/>
        <v>0</v>
      </c>
      <c r="G172" s="51">
        <f t="shared" si="7"/>
        <v>0</v>
      </c>
      <c r="H172" s="51">
        <f t="shared" si="7"/>
        <v>5.67</v>
      </c>
      <c r="I172" s="51">
        <f t="shared" si="7"/>
        <v>0</v>
      </c>
      <c r="J172" s="102"/>
      <c r="K172" s="659"/>
      <c r="L172" s="653"/>
    </row>
    <row r="173" spans="1:12" x14ac:dyDescent="0.35">
      <c r="A173" s="596"/>
      <c r="B173" s="45"/>
      <c r="C173" s="10"/>
      <c r="D173" s="615"/>
      <c r="E173" s="10"/>
      <c r="F173" s="10"/>
      <c r="G173" s="10"/>
      <c r="H173" s="10"/>
      <c r="I173" s="10"/>
      <c r="J173" s="103"/>
      <c r="K173" s="597"/>
      <c r="L173" s="28"/>
    </row>
    <row r="174" spans="1:12" ht="18" customHeight="1" thickBot="1" x14ac:dyDescent="0.4">
      <c r="A174" s="1224" t="s">
        <v>460</v>
      </c>
      <c r="B174" s="1225"/>
      <c r="C174" s="660">
        <f>C33+C67+C80+C87+C104+C143+C164+C172</f>
        <v>476.28999999999996</v>
      </c>
      <c r="D174" s="661">
        <f>D172+D163+D142+D103+D86+D79+D66+D32</f>
        <v>477.84999999999997</v>
      </c>
      <c r="E174" s="660">
        <f>+E172+E164+E143+E104+E87+E80+E67+E33</f>
        <v>146.334</v>
      </c>
      <c r="F174" s="660">
        <f>+F172+F164+F143+F104+F87+F80+F67+F33</f>
        <v>0</v>
      </c>
      <c r="G174" s="660">
        <f>+G172+G164+G143+G104+G87+G80+G67+G33</f>
        <v>0</v>
      </c>
      <c r="H174" s="660">
        <f>+H172+H164+H143+H104+H87+H80+H67+H33</f>
        <v>329.95600000000002</v>
      </c>
      <c r="I174" s="660">
        <f>+I172+I164+I143+I104+I87+I80+I67+I33</f>
        <v>0</v>
      </c>
      <c r="J174" s="662"/>
      <c r="K174" s="663"/>
      <c r="L174" s="664"/>
    </row>
    <row r="175" spans="1:12" ht="18" customHeight="1" thickBot="1" x14ac:dyDescent="0.4">
      <c r="A175" s="544"/>
      <c r="B175" s="35"/>
      <c r="C175" s="22"/>
      <c r="D175" s="610"/>
      <c r="E175" s="22"/>
      <c r="F175" s="22"/>
      <c r="G175" s="22"/>
      <c r="H175" s="22"/>
      <c r="I175" s="22"/>
      <c r="J175" s="1"/>
      <c r="K175" s="21"/>
      <c r="L175" s="97"/>
    </row>
    <row r="176" spans="1:12" s="1" customFormat="1" x14ac:dyDescent="0.35">
      <c r="A176" s="1217" t="s">
        <v>461</v>
      </c>
      <c r="B176" s="1218"/>
      <c r="C176" s="1218"/>
      <c r="D176" s="1218"/>
      <c r="E176" s="1218"/>
      <c r="F176" s="1218"/>
      <c r="G176" s="1218"/>
      <c r="H176" s="1218"/>
      <c r="I176" s="1218"/>
      <c r="J176" s="1218"/>
      <c r="K176" s="1218"/>
      <c r="L176" s="1219"/>
    </row>
    <row r="177" spans="1:12" s="1" customFormat="1" ht="16" thickBot="1" x14ac:dyDescent="0.4">
      <c r="A177" s="585"/>
      <c r="B177" s="2"/>
      <c r="C177" s="5"/>
      <c r="D177" s="586"/>
      <c r="E177" s="5"/>
      <c r="F177" s="5"/>
      <c r="G177" s="5"/>
      <c r="H177" s="5"/>
      <c r="I177" s="5"/>
      <c r="J177" s="3"/>
      <c r="K177" s="21"/>
      <c r="L177" s="97"/>
    </row>
    <row r="178" spans="1:12" s="1" customFormat="1" ht="21" customHeight="1" x14ac:dyDescent="0.35">
      <c r="A178" s="1206" t="s">
        <v>302</v>
      </c>
      <c r="B178" s="1208" t="s">
        <v>28</v>
      </c>
      <c r="C178" s="1210" t="s">
        <v>343</v>
      </c>
      <c r="D178" s="613"/>
      <c r="E178" s="1212" t="s">
        <v>305</v>
      </c>
      <c r="F178" s="1212"/>
      <c r="G178" s="1212"/>
      <c r="H178" s="1212"/>
      <c r="I178" s="1212"/>
      <c r="J178" s="1208" t="s">
        <v>29</v>
      </c>
      <c r="K178" s="1213" t="s">
        <v>306</v>
      </c>
      <c r="L178" s="1226" t="s">
        <v>307</v>
      </c>
    </row>
    <row r="179" spans="1:12" s="1" customFormat="1" ht="21" customHeight="1" thickBot="1" x14ac:dyDescent="0.4">
      <c r="A179" s="1207"/>
      <c r="B179" s="1209"/>
      <c r="C179" s="1211"/>
      <c r="D179" s="614"/>
      <c r="E179" s="7" t="s">
        <v>308</v>
      </c>
      <c r="F179" s="7" t="s">
        <v>309</v>
      </c>
      <c r="G179" s="7" t="s">
        <v>310</v>
      </c>
      <c r="H179" s="7" t="s">
        <v>311</v>
      </c>
      <c r="I179" s="7" t="s">
        <v>312</v>
      </c>
      <c r="J179" s="1209"/>
      <c r="K179" s="1214"/>
      <c r="L179" s="1227"/>
    </row>
    <row r="180" spans="1:12" s="16" customFormat="1" ht="18" customHeight="1" x14ac:dyDescent="0.35">
      <c r="A180" s="589">
        <v>89</v>
      </c>
      <c r="B180" s="24" t="s">
        <v>462</v>
      </c>
      <c r="C180" s="15">
        <f>'inventory2020(FOR revised)'!C182</f>
        <v>0.63</v>
      </c>
      <c r="D180" s="15">
        <f>'inventory2020(FOR revised)'!D182</f>
        <v>0.63</v>
      </c>
      <c r="E180" s="15">
        <f>'inventory2020(FOR revised)'!E182</f>
        <v>0.3</v>
      </c>
      <c r="F180" s="15">
        <f>'inventory2020(FOR revised)'!F182</f>
        <v>0</v>
      </c>
      <c r="G180" s="15">
        <f>'inventory2020(FOR revised)'!G182</f>
        <v>0</v>
      </c>
      <c r="H180" s="15">
        <f>'inventory2020(FOR revised)'!H182</f>
        <v>0.33</v>
      </c>
      <c r="I180" s="15">
        <f>'inventory2020(FOR revised)'!I182</f>
        <v>0</v>
      </c>
      <c r="J180" s="24" t="s">
        <v>10</v>
      </c>
      <c r="K180" s="591" t="s">
        <v>360</v>
      </c>
      <c r="L180" s="592"/>
    </row>
    <row r="181" spans="1:12" s="16" customFormat="1" x14ac:dyDescent="0.35">
      <c r="A181" s="589">
        <v>109</v>
      </c>
      <c r="B181" s="24" t="s">
        <v>285</v>
      </c>
      <c r="C181" s="15">
        <f>'inventory2020(FOR revised)'!C183</f>
        <v>2.5</v>
      </c>
      <c r="D181" s="15">
        <f>'inventory2020(FOR revised)'!D183</f>
        <v>2.5</v>
      </c>
      <c r="E181" s="15">
        <f>'inventory2020(FOR revised)'!E183</f>
        <v>0.25700000000000001</v>
      </c>
      <c r="F181" s="15">
        <f>'inventory2020(FOR revised)'!F183</f>
        <v>0</v>
      </c>
      <c r="G181" s="15">
        <f>'inventory2020(FOR revised)'!G183</f>
        <v>0</v>
      </c>
      <c r="H181" s="15">
        <f>'inventory2020(FOR revised)'!H183</f>
        <v>2.2429999999999999</v>
      </c>
      <c r="I181" s="15">
        <f>'inventory2020(FOR revised)'!I183</f>
        <v>0</v>
      </c>
      <c r="J181" s="24" t="s">
        <v>10</v>
      </c>
      <c r="K181" s="591" t="s">
        <v>463</v>
      </c>
      <c r="L181" s="24"/>
    </row>
    <row r="182" spans="1:12" ht="31" x14ac:dyDescent="0.35">
      <c r="A182" s="596">
        <v>110</v>
      </c>
      <c r="B182" s="28" t="s">
        <v>65</v>
      </c>
      <c r="C182" s="15">
        <f>'inventory2020(FOR revised)'!C184</f>
        <v>7.12</v>
      </c>
      <c r="D182" s="15">
        <f>'inventory2020(FOR revised)'!D184</f>
        <v>7.3</v>
      </c>
      <c r="E182" s="15">
        <f>'inventory2020(FOR revised)'!E184</f>
        <v>0</v>
      </c>
      <c r="F182" s="15">
        <f>'inventory2020(FOR revised)'!F184</f>
        <v>0</v>
      </c>
      <c r="G182" s="15">
        <f>'inventory2020(FOR revised)'!G184</f>
        <v>0</v>
      </c>
      <c r="H182" s="15">
        <f>'inventory2020(FOR revised)'!H184</f>
        <v>7.12</v>
      </c>
      <c r="I182" s="15">
        <f>'inventory2020(FOR revised)'!I184</f>
        <v>0</v>
      </c>
      <c r="J182" s="28" t="s">
        <v>33</v>
      </c>
      <c r="K182" s="597" t="s">
        <v>464</v>
      </c>
      <c r="L182" s="28"/>
    </row>
    <row r="183" spans="1:12" ht="31" x14ac:dyDescent="0.35">
      <c r="A183" s="596">
        <v>111</v>
      </c>
      <c r="B183" s="28" t="s">
        <v>66</v>
      </c>
      <c r="C183" s="15">
        <f>'inventory2020(FOR revised)'!C185</f>
        <v>15.379999999999999</v>
      </c>
      <c r="D183" s="15">
        <f>'inventory2020(FOR revised)'!D185</f>
        <v>15.4</v>
      </c>
      <c r="E183" s="15">
        <f>'inventory2020(FOR revised)'!E185</f>
        <v>1.38</v>
      </c>
      <c r="F183" s="15">
        <f>'inventory2020(FOR revised)'!F185</f>
        <v>0</v>
      </c>
      <c r="G183" s="15">
        <f>'inventory2020(FOR revised)'!G185</f>
        <v>0</v>
      </c>
      <c r="H183" s="15">
        <f>'inventory2020(FOR revised)'!H185</f>
        <v>14</v>
      </c>
      <c r="I183" s="15">
        <f>'inventory2020(FOR revised)'!I185</f>
        <v>0</v>
      </c>
      <c r="J183" s="28" t="s">
        <v>33</v>
      </c>
      <c r="K183" s="597" t="s">
        <v>465</v>
      </c>
      <c r="L183" s="28"/>
    </row>
    <row r="184" spans="1:12" s="16" customFormat="1" ht="31" x14ac:dyDescent="0.35">
      <c r="A184" s="589">
        <v>112</v>
      </c>
      <c r="B184" s="24" t="s">
        <v>73</v>
      </c>
      <c r="C184" s="15">
        <f>'inventory2020(FOR revised)'!C186</f>
        <v>8.5100000000000016</v>
      </c>
      <c r="D184" s="15">
        <f>'inventory2020(FOR revised)'!D186</f>
        <v>8.4</v>
      </c>
      <c r="E184" s="15">
        <f>'inventory2020(FOR revised)'!E186</f>
        <v>0.21</v>
      </c>
      <c r="F184" s="15">
        <f>'inventory2020(FOR revised)'!F186</f>
        <v>0</v>
      </c>
      <c r="G184" s="15">
        <f>'inventory2020(FOR revised)'!G186</f>
        <v>0</v>
      </c>
      <c r="H184" s="15">
        <f>'inventory2020(FOR revised)'!H186</f>
        <v>8.3000000000000007</v>
      </c>
      <c r="I184" s="15">
        <f>'inventory2020(FOR revised)'!I186</f>
        <v>0</v>
      </c>
      <c r="J184" s="24" t="s">
        <v>12</v>
      </c>
      <c r="K184" s="591" t="s">
        <v>466</v>
      </c>
      <c r="L184" s="24"/>
    </row>
    <row r="185" spans="1:12" x14ac:dyDescent="0.35">
      <c r="A185" s="596">
        <v>113</v>
      </c>
      <c r="B185" s="28" t="s">
        <v>75</v>
      </c>
      <c r="C185" s="15">
        <f>'inventory2020(FOR revised)'!C187</f>
        <v>1.52</v>
      </c>
      <c r="D185" s="15">
        <f>'inventory2020(FOR revised)'!D187</f>
        <v>1.5</v>
      </c>
      <c r="E185" s="15">
        <f>'inventory2020(FOR revised)'!E187</f>
        <v>0.1</v>
      </c>
      <c r="F185" s="15">
        <f>'inventory2020(FOR revised)'!F187</f>
        <v>0</v>
      </c>
      <c r="G185" s="15">
        <f>'inventory2020(FOR revised)'!G187</f>
        <v>0</v>
      </c>
      <c r="H185" s="15">
        <f>'inventory2020(FOR revised)'!H187</f>
        <v>1.42</v>
      </c>
      <c r="I185" s="15">
        <f>'inventory2020(FOR revised)'!I187</f>
        <v>0</v>
      </c>
      <c r="J185" s="28" t="s">
        <v>33</v>
      </c>
      <c r="K185" s="597" t="s">
        <v>467</v>
      </c>
      <c r="L185" s="28"/>
    </row>
    <row r="186" spans="1:12" ht="31" x14ac:dyDescent="0.35">
      <c r="A186" s="596">
        <v>114</v>
      </c>
      <c r="B186" s="28" t="s">
        <v>468</v>
      </c>
      <c r="C186" s="15">
        <f>'inventory2020(FOR revised)'!C188</f>
        <v>9.5500000000000007</v>
      </c>
      <c r="D186" s="15">
        <f>'inventory2020(FOR revised)'!D188</f>
        <v>9.5</v>
      </c>
      <c r="E186" s="15">
        <f>'inventory2020(FOR revised)'!E188</f>
        <v>0</v>
      </c>
      <c r="F186" s="15">
        <f>'inventory2020(FOR revised)'!F188</f>
        <v>0</v>
      </c>
      <c r="G186" s="15">
        <f>'inventory2020(FOR revised)'!G188</f>
        <v>0</v>
      </c>
      <c r="H186" s="15">
        <f>'inventory2020(FOR revised)'!H188</f>
        <v>9.5500000000000007</v>
      </c>
      <c r="I186" s="15">
        <f>'inventory2020(FOR revised)'!I188</f>
        <v>0</v>
      </c>
      <c r="J186" s="103" t="s">
        <v>12</v>
      </c>
      <c r="K186" s="597" t="s">
        <v>469</v>
      </c>
      <c r="L186" s="28"/>
    </row>
    <row r="187" spans="1:12" s="16" customFormat="1" ht="18" customHeight="1" x14ac:dyDescent="0.35">
      <c r="A187" s="589">
        <v>115</v>
      </c>
      <c r="B187" s="24" t="s">
        <v>77</v>
      </c>
      <c r="C187" s="15">
        <f>'inventory2020(FOR revised)'!C189</f>
        <v>10.71</v>
      </c>
      <c r="D187" s="15">
        <f>'inventory2020(FOR revised)'!D189</f>
        <v>10.700000000000001</v>
      </c>
      <c r="E187" s="15">
        <f>'inventory2020(FOR revised)'!E189</f>
        <v>10.71</v>
      </c>
      <c r="F187" s="15">
        <f>'inventory2020(FOR revised)'!F189</f>
        <v>0</v>
      </c>
      <c r="G187" s="15">
        <f>'inventory2020(FOR revised)'!G189</f>
        <v>0</v>
      </c>
      <c r="H187" s="15">
        <f>'inventory2020(FOR revised)'!H189</f>
        <v>0</v>
      </c>
      <c r="I187" s="15">
        <f>'inventory2020(FOR revised)'!I189</f>
        <v>0</v>
      </c>
      <c r="J187" s="24" t="s">
        <v>10</v>
      </c>
      <c r="K187" s="591" t="s">
        <v>470</v>
      </c>
      <c r="L187" s="24"/>
    </row>
    <row r="188" spans="1:12" ht="18" customHeight="1" x14ac:dyDescent="0.35">
      <c r="A188" s="596">
        <v>117</v>
      </c>
      <c r="B188" s="28" t="s">
        <v>79</v>
      </c>
      <c r="C188" s="15">
        <f>'inventory2020(FOR revised)'!C190</f>
        <v>9.51</v>
      </c>
      <c r="D188" s="15">
        <f>'inventory2020(FOR revised)'!D190</f>
        <v>8.6</v>
      </c>
      <c r="E188" s="15">
        <f>'inventory2020(FOR revised)'!E190</f>
        <v>1.7</v>
      </c>
      <c r="F188" s="15">
        <f>'inventory2020(FOR revised)'!F190</f>
        <v>0</v>
      </c>
      <c r="G188" s="15">
        <f>'inventory2020(FOR revised)'!G190</f>
        <v>0</v>
      </c>
      <c r="H188" s="15">
        <f>'inventory2020(FOR revised)'!H190</f>
        <v>7.81</v>
      </c>
      <c r="I188" s="15">
        <f>'inventory2020(FOR revised)'!I190</f>
        <v>0</v>
      </c>
      <c r="J188" s="103" t="s">
        <v>12</v>
      </c>
      <c r="K188" s="597" t="s">
        <v>471</v>
      </c>
      <c r="L188" s="28"/>
    </row>
    <row r="189" spans="1:12" ht="31" x14ac:dyDescent="0.35">
      <c r="A189" s="596">
        <v>118</v>
      </c>
      <c r="B189" s="28" t="s">
        <v>83</v>
      </c>
      <c r="C189" s="15">
        <f>'inventory2020(FOR revised)'!C191</f>
        <v>3.51</v>
      </c>
      <c r="D189" s="15">
        <f>'inventory2020(FOR revised)'!D191</f>
        <v>3.4</v>
      </c>
      <c r="E189" s="15">
        <f>'inventory2020(FOR revised)'!E191</f>
        <v>0</v>
      </c>
      <c r="F189" s="15">
        <f>'inventory2020(FOR revised)'!F191</f>
        <v>0</v>
      </c>
      <c r="G189" s="15">
        <f>'inventory2020(FOR revised)'!G191</f>
        <v>0</v>
      </c>
      <c r="H189" s="15">
        <f>'inventory2020(FOR revised)'!H191</f>
        <v>3.51</v>
      </c>
      <c r="I189" s="15">
        <f>'inventory2020(FOR revised)'!I191</f>
        <v>0</v>
      </c>
      <c r="J189" s="103" t="s">
        <v>835</v>
      </c>
      <c r="K189" s="597" t="s">
        <v>472</v>
      </c>
      <c r="L189" s="28"/>
    </row>
    <row r="190" spans="1:12" s="16" customFormat="1" ht="31" x14ac:dyDescent="0.35">
      <c r="A190" s="589">
        <v>132</v>
      </c>
      <c r="B190" s="24" t="s">
        <v>85</v>
      </c>
      <c r="C190" s="15">
        <f>'inventory2020(FOR revised)'!C192</f>
        <v>13.5</v>
      </c>
      <c r="D190" s="15">
        <f>'inventory2020(FOR revised)'!D192</f>
        <v>13.5</v>
      </c>
      <c r="E190" s="15">
        <f>'inventory2020(FOR revised)'!E192</f>
        <v>6.58</v>
      </c>
      <c r="F190" s="15">
        <f>'inventory2020(FOR revised)'!F192</f>
        <v>0</v>
      </c>
      <c r="G190" s="15">
        <f>'inventory2020(FOR revised)'!G192</f>
        <v>0</v>
      </c>
      <c r="H190" s="15">
        <f>'inventory2020(FOR revised)'!H192</f>
        <v>6.9200000000000008</v>
      </c>
      <c r="I190" s="15">
        <f>'inventory2020(FOR revised)'!I192</f>
        <v>0</v>
      </c>
      <c r="J190" s="106" t="s">
        <v>10</v>
      </c>
      <c r="K190" s="591" t="s">
        <v>473</v>
      </c>
      <c r="L190" s="24"/>
    </row>
    <row r="191" spans="1:12" s="16" customFormat="1" ht="18" customHeight="1" thickBot="1" x14ac:dyDescent="0.4">
      <c r="A191" s="649">
        <v>139</v>
      </c>
      <c r="B191" s="64" t="s">
        <v>474</v>
      </c>
      <c r="C191" s="15">
        <f>'inventory2020(FOR revised)'!C193</f>
        <v>9.1</v>
      </c>
      <c r="D191" s="15">
        <f>'inventory2020(FOR revised)'!D193</f>
        <v>8.9</v>
      </c>
      <c r="E191" s="15">
        <f>'inventory2020(FOR revised)'!E193</f>
        <v>0</v>
      </c>
      <c r="F191" s="15">
        <f>'inventory2020(FOR revised)'!F193</f>
        <v>0</v>
      </c>
      <c r="G191" s="15">
        <f>'inventory2020(FOR revised)'!G193</f>
        <v>0</v>
      </c>
      <c r="H191" s="15">
        <f>'inventory2020(FOR revised)'!H193</f>
        <v>9.1</v>
      </c>
      <c r="I191" s="15">
        <f>'inventory2020(FOR revised)'!I193</f>
        <v>0</v>
      </c>
      <c r="J191" s="651" t="s">
        <v>12</v>
      </c>
      <c r="K191" s="652" t="s">
        <v>475</v>
      </c>
      <c r="L191" s="60"/>
    </row>
    <row r="192" spans="1:12" s="16" customFormat="1" ht="18" customHeight="1" x14ac:dyDescent="0.35">
      <c r="A192" s="589">
        <v>122</v>
      </c>
      <c r="B192" s="24" t="s">
        <v>476</v>
      </c>
      <c r="C192" s="15">
        <f>'inventory2020(FOR revised)'!C194</f>
        <v>3.4400000000000004</v>
      </c>
      <c r="D192" s="15">
        <f>'inventory2020(FOR revised)'!D194</f>
        <v>3.25</v>
      </c>
      <c r="E192" s="15">
        <f>'inventory2020(FOR revised)'!E194</f>
        <v>2.0920000000000001</v>
      </c>
      <c r="F192" s="15">
        <f>'inventory2020(FOR revised)'!F194</f>
        <v>0</v>
      </c>
      <c r="G192" s="15">
        <f>'inventory2020(FOR revised)'!G194</f>
        <v>0</v>
      </c>
      <c r="H192" s="15">
        <f>'inventory2020(FOR revised)'!H194</f>
        <v>1.3480000000000001</v>
      </c>
      <c r="I192" s="15">
        <f>'inventory2020(FOR revised)'!I194</f>
        <v>0</v>
      </c>
      <c r="J192" s="106" t="s">
        <v>12</v>
      </c>
      <c r="K192" s="591" t="s">
        <v>477</v>
      </c>
      <c r="L192" s="592"/>
    </row>
    <row r="193" spans="1:12" s="16" customFormat="1" ht="18" customHeight="1" x14ac:dyDescent="0.35">
      <c r="A193" s="589">
        <v>216</v>
      </c>
      <c r="B193" s="24" t="s">
        <v>87</v>
      </c>
      <c r="C193" s="15">
        <f>'inventory2020(FOR revised)'!C195</f>
        <v>6.32</v>
      </c>
      <c r="D193" s="15">
        <f>'inventory2020(FOR revised)'!D195</f>
        <v>6.1</v>
      </c>
      <c r="E193" s="15">
        <f>'inventory2020(FOR revised)'!E195</f>
        <v>0</v>
      </c>
      <c r="F193" s="15">
        <f>'inventory2020(FOR revised)'!F195</f>
        <v>0</v>
      </c>
      <c r="G193" s="15">
        <f>'inventory2020(FOR revised)'!G195</f>
        <v>0</v>
      </c>
      <c r="H193" s="15">
        <f>'inventory2020(FOR revised)'!H195</f>
        <v>6.32</v>
      </c>
      <c r="I193" s="15">
        <f>'inventory2020(FOR revised)'!I195</f>
        <v>0</v>
      </c>
      <c r="J193" s="106" t="s">
        <v>12</v>
      </c>
      <c r="K193" s="591" t="s">
        <v>478</v>
      </c>
      <c r="L193" s="24"/>
    </row>
    <row r="194" spans="1:12" s="16" customFormat="1" ht="18" customHeight="1" x14ac:dyDescent="0.35">
      <c r="A194" s="589">
        <v>133</v>
      </c>
      <c r="B194" s="24" t="s">
        <v>90</v>
      </c>
      <c r="C194" s="15">
        <f>'inventory2020(FOR revised)'!C196</f>
        <v>4.47</v>
      </c>
      <c r="D194" s="15">
        <f>'inventory2020(FOR revised)'!D196</f>
        <v>4.4000000000000004</v>
      </c>
      <c r="E194" s="15">
        <f>'inventory2020(FOR revised)'!E196</f>
        <v>0</v>
      </c>
      <c r="F194" s="15">
        <f>'inventory2020(FOR revised)'!F196</f>
        <v>0</v>
      </c>
      <c r="G194" s="15">
        <f>'inventory2020(FOR revised)'!G196</f>
        <v>0</v>
      </c>
      <c r="H194" s="15">
        <f>'inventory2020(FOR revised)'!H196</f>
        <v>4.47</v>
      </c>
      <c r="I194" s="15">
        <f>'inventory2020(FOR revised)'!I196</f>
        <v>0</v>
      </c>
      <c r="J194" s="106" t="s">
        <v>12</v>
      </c>
      <c r="K194" s="591" t="s">
        <v>478</v>
      </c>
      <c r="L194" s="24"/>
    </row>
    <row r="195" spans="1:12" s="16" customFormat="1" ht="18" customHeight="1" x14ac:dyDescent="0.35">
      <c r="A195" s="589">
        <v>123</v>
      </c>
      <c r="B195" s="24" t="s">
        <v>91</v>
      </c>
      <c r="C195" s="15">
        <f>'inventory2020(FOR revised)'!C197</f>
        <v>21.63</v>
      </c>
      <c r="D195" s="15">
        <f>'inventory2020(FOR revised)'!D197</f>
        <v>17</v>
      </c>
      <c r="E195" s="15">
        <f>'inventory2020(FOR revised)'!E197</f>
        <v>14</v>
      </c>
      <c r="F195" s="15">
        <f>'inventory2020(FOR revised)'!F197</f>
        <v>0</v>
      </c>
      <c r="G195" s="15">
        <f>'inventory2020(FOR revised)'!G197</f>
        <v>0</v>
      </c>
      <c r="H195" s="15">
        <f>'inventory2020(FOR revised)'!H197</f>
        <v>7.629999999999999</v>
      </c>
      <c r="I195" s="15">
        <f>'inventory2020(FOR revised)'!I197</f>
        <v>0</v>
      </c>
      <c r="J195" s="106" t="s">
        <v>12</v>
      </c>
      <c r="K195" s="591" t="s">
        <v>475</v>
      </c>
      <c r="L195" s="24"/>
    </row>
    <row r="196" spans="1:12" ht="18" customHeight="1" x14ac:dyDescent="0.35">
      <c r="A196" s="596">
        <v>134</v>
      </c>
      <c r="B196" s="45" t="s">
        <v>284</v>
      </c>
      <c r="C196" s="15">
        <f>'inventory2020(FOR revised)'!C198</f>
        <v>8.23</v>
      </c>
      <c r="D196" s="15">
        <f>'inventory2020(FOR revised)'!D198</f>
        <v>8.3000000000000007</v>
      </c>
      <c r="E196" s="15">
        <f>'inventory2020(FOR revised)'!E198</f>
        <v>0</v>
      </c>
      <c r="F196" s="15">
        <f>'inventory2020(FOR revised)'!F198</f>
        <v>0</v>
      </c>
      <c r="G196" s="15">
        <f>'inventory2020(FOR revised)'!G198</f>
        <v>0</v>
      </c>
      <c r="H196" s="15">
        <f>'inventory2020(FOR revised)'!H198</f>
        <v>8.23</v>
      </c>
      <c r="I196" s="15">
        <f>'inventory2020(FOR revised)'!I198</f>
        <v>0</v>
      </c>
      <c r="J196" s="103" t="s">
        <v>317</v>
      </c>
      <c r="K196" s="597"/>
      <c r="L196" s="28"/>
    </row>
    <row r="197" spans="1:12" ht="18" customHeight="1" x14ac:dyDescent="0.35">
      <c r="A197" s="635"/>
      <c r="B197" s="654"/>
      <c r="C197" s="41">
        <f t="shared" ref="C197:I197" si="8">SUM(C180:C196)</f>
        <v>135.63</v>
      </c>
      <c r="D197" s="41">
        <f t="shared" si="8"/>
        <v>129.38000000000002</v>
      </c>
      <c r="E197" s="41">
        <f t="shared" si="8"/>
        <v>37.329000000000001</v>
      </c>
      <c r="F197" s="41">
        <f t="shared" si="8"/>
        <v>0</v>
      </c>
      <c r="G197" s="41">
        <f t="shared" si="8"/>
        <v>0</v>
      </c>
      <c r="H197" s="41">
        <f t="shared" si="8"/>
        <v>98.301000000000002</v>
      </c>
      <c r="I197" s="41">
        <f t="shared" si="8"/>
        <v>0</v>
      </c>
      <c r="J197" s="109"/>
      <c r="K197" s="605"/>
      <c r="L197" s="28"/>
    </row>
    <row r="198" spans="1:12" ht="18" customHeight="1" thickBot="1" x14ac:dyDescent="0.4">
      <c r="A198" s="53" t="s">
        <v>341</v>
      </c>
      <c r="B198" s="34"/>
      <c r="C198" s="31">
        <f>E198+H198</f>
        <v>135.63</v>
      </c>
      <c r="D198" s="630"/>
      <c r="E198" s="31">
        <f>SUM(E180:E196)</f>
        <v>37.329000000000001</v>
      </c>
      <c r="F198" s="31">
        <f>SUM(F180:F196)</f>
        <v>0</v>
      </c>
      <c r="G198" s="31">
        <f>SUM(G180:G196)</f>
        <v>0</v>
      </c>
      <c r="H198" s="31">
        <f>SUM(H180:H196)</f>
        <v>98.301000000000002</v>
      </c>
      <c r="I198" s="31">
        <f>SUM(I180:I196)</f>
        <v>0</v>
      </c>
      <c r="J198" s="608"/>
      <c r="K198" s="609"/>
      <c r="L198" s="653"/>
    </row>
    <row r="199" spans="1:12" ht="18" customHeight="1" thickBot="1" x14ac:dyDescent="0.4">
      <c r="L199" s="28"/>
    </row>
    <row r="200" spans="1:12" s="1" customFormat="1" x14ac:dyDescent="0.35">
      <c r="A200" s="1217" t="s">
        <v>479</v>
      </c>
      <c r="B200" s="1218"/>
      <c r="C200" s="1218"/>
      <c r="D200" s="1218"/>
      <c r="E200" s="1218"/>
      <c r="F200" s="1218"/>
      <c r="G200" s="1218"/>
      <c r="H200" s="1218"/>
      <c r="I200" s="1218"/>
      <c r="J200" s="1218"/>
      <c r="K200" s="1218"/>
      <c r="L200" s="668"/>
    </row>
    <row r="201" spans="1:12" s="1" customFormat="1" ht="16" thickBot="1" x14ac:dyDescent="0.4">
      <c r="A201" s="585"/>
      <c r="B201" s="2"/>
      <c r="C201" s="5"/>
      <c r="D201" s="586"/>
      <c r="E201" s="5"/>
      <c r="F201" s="5"/>
      <c r="G201" s="5"/>
      <c r="H201" s="5"/>
      <c r="I201" s="5"/>
      <c r="J201" s="3"/>
      <c r="K201" s="21"/>
      <c r="L201" s="653"/>
    </row>
    <row r="202" spans="1:12" s="1" customFormat="1" ht="21" customHeight="1" x14ac:dyDescent="0.35">
      <c r="A202" s="1206" t="s">
        <v>302</v>
      </c>
      <c r="B202" s="1208" t="s">
        <v>28</v>
      </c>
      <c r="C202" s="1210" t="s">
        <v>343</v>
      </c>
      <c r="D202" s="613"/>
      <c r="E202" s="1212" t="s">
        <v>305</v>
      </c>
      <c r="F202" s="1212"/>
      <c r="G202" s="1212"/>
      <c r="H202" s="1212"/>
      <c r="I202" s="1212"/>
      <c r="J202" s="1208" t="s">
        <v>29</v>
      </c>
      <c r="K202" s="1213" t="s">
        <v>306</v>
      </c>
      <c r="L202" s="1215" t="s">
        <v>307</v>
      </c>
    </row>
    <row r="203" spans="1:12" s="1" customFormat="1" ht="21" customHeight="1" thickBot="1" x14ac:dyDescent="0.4">
      <c r="A203" s="1207"/>
      <c r="B203" s="1209"/>
      <c r="C203" s="1211"/>
      <c r="D203" s="614"/>
      <c r="E203" s="7" t="s">
        <v>308</v>
      </c>
      <c r="F203" s="7" t="s">
        <v>309</v>
      </c>
      <c r="G203" s="7" t="s">
        <v>310</v>
      </c>
      <c r="H203" s="7" t="s">
        <v>311</v>
      </c>
      <c r="I203" s="7" t="s">
        <v>312</v>
      </c>
      <c r="J203" s="1209"/>
      <c r="K203" s="1214"/>
      <c r="L203" s="1216"/>
    </row>
    <row r="204" spans="1:12" s="16" customFormat="1" ht="18" customHeight="1" x14ac:dyDescent="0.35">
      <c r="A204" s="589">
        <v>136</v>
      </c>
      <c r="B204" s="24" t="s">
        <v>93</v>
      </c>
      <c r="C204" s="15">
        <f>SUM(E204:I204)</f>
        <v>11.309999999999999</v>
      </c>
      <c r="D204" s="590">
        <f>'[23]road inventory 2018'!C204</f>
        <v>11.3</v>
      </c>
      <c r="E204" s="15">
        <v>8.6999999999999993</v>
      </c>
      <c r="F204" s="15">
        <v>0</v>
      </c>
      <c r="G204" s="15">
        <v>0</v>
      </c>
      <c r="H204" s="15">
        <v>2.61</v>
      </c>
      <c r="I204" s="15">
        <v>0</v>
      </c>
      <c r="J204" s="24" t="s">
        <v>10</v>
      </c>
      <c r="K204" s="591" t="s">
        <v>480</v>
      </c>
      <c r="L204" s="24"/>
    </row>
    <row r="205" spans="1:12" s="16" customFormat="1" ht="18" customHeight="1" x14ac:dyDescent="0.35">
      <c r="A205" s="589">
        <v>137</v>
      </c>
      <c r="B205" s="24" t="s">
        <v>95</v>
      </c>
      <c r="C205" s="15">
        <f t="shared" ref="C205:C211" si="9">SUM(E205:I205)</f>
        <v>12.59</v>
      </c>
      <c r="D205" s="590">
        <f>'[23]road inventory 2018'!C205</f>
        <v>12.5</v>
      </c>
      <c r="E205" s="15">
        <v>8.74</v>
      </c>
      <c r="F205" s="15">
        <v>0</v>
      </c>
      <c r="G205" s="15">
        <v>0</v>
      </c>
      <c r="H205" s="15">
        <v>3.85</v>
      </c>
      <c r="I205" s="15">
        <v>0</v>
      </c>
      <c r="J205" s="24" t="s">
        <v>10</v>
      </c>
      <c r="K205" s="591" t="s">
        <v>481</v>
      </c>
      <c r="L205" s="24"/>
    </row>
    <row r="206" spans="1:12" ht="18" customHeight="1" x14ac:dyDescent="0.35">
      <c r="A206" s="596">
        <v>119</v>
      </c>
      <c r="B206" s="28" t="s">
        <v>97</v>
      </c>
      <c r="C206" s="15">
        <f t="shared" si="9"/>
        <v>5.51</v>
      </c>
      <c r="D206" s="590">
        <f>'[23]road inventory 2018'!C206</f>
        <v>5.5</v>
      </c>
      <c r="E206" s="10">
        <v>0</v>
      </c>
      <c r="F206" s="10">
        <v>0</v>
      </c>
      <c r="G206" s="10">
        <v>0</v>
      </c>
      <c r="H206" s="10">
        <v>5.51</v>
      </c>
      <c r="I206" s="10">
        <v>0</v>
      </c>
      <c r="J206" s="28" t="s">
        <v>33</v>
      </c>
      <c r="K206" s="597" t="s">
        <v>482</v>
      </c>
      <c r="L206" s="28"/>
    </row>
    <row r="207" spans="1:12" s="16" customFormat="1" x14ac:dyDescent="0.35">
      <c r="A207" s="589">
        <v>120</v>
      </c>
      <c r="B207" s="24" t="s">
        <v>99</v>
      </c>
      <c r="C207" s="15">
        <f t="shared" si="9"/>
        <v>10.85</v>
      </c>
      <c r="D207" s="590">
        <f>'[23]road inventory 2018'!C207</f>
        <v>10.75</v>
      </c>
      <c r="E207" s="15">
        <v>10.24</v>
      </c>
      <c r="F207" s="15">
        <v>0</v>
      </c>
      <c r="G207" s="15">
        <v>0</v>
      </c>
      <c r="H207" s="15">
        <v>0.61</v>
      </c>
      <c r="I207" s="15">
        <v>0</v>
      </c>
      <c r="J207" s="24" t="s">
        <v>10</v>
      </c>
      <c r="K207" s="591" t="s">
        <v>483</v>
      </c>
      <c r="L207" s="24"/>
    </row>
    <row r="208" spans="1:12" s="16" customFormat="1" ht="31" x14ac:dyDescent="0.35">
      <c r="A208" s="589">
        <v>140</v>
      </c>
      <c r="B208" s="24" t="s">
        <v>101</v>
      </c>
      <c r="C208" s="15">
        <f t="shared" si="9"/>
        <v>18.149999999999999</v>
      </c>
      <c r="D208" s="590">
        <f>'[23]road inventory 2018'!C208</f>
        <v>19.52</v>
      </c>
      <c r="E208" s="15">
        <v>2.41</v>
      </c>
      <c r="F208" s="15">
        <v>0</v>
      </c>
      <c r="G208" s="15">
        <v>0</v>
      </c>
      <c r="H208" s="15">
        <v>15.74</v>
      </c>
      <c r="I208" s="15">
        <v>0</v>
      </c>
      <c r="J208" s="24" t="s">
        <v>12</v>
      </c>
      <c r="K208" s="591"/>
      <c r="L208" s="24"/>
    </row>
    <row r="209" spans="1:12" ht="31" x14ac:dyDescent="0.35">
      <c r="A209" s="596">
        <v>138</v>
      </c>
      <c r="B209" s="28" t="s">
        <v>103</v>
      </c>
      <c r="C209" s="15">
        <f t="shared" si="9"/>
        <v>5.98</v>
      </c>
      <c r="D209" s="590">
        <f>'[23]road inventory 2018'!C209</f>
        <v>5.0999999999999996</v>
      </c>
      <c r="E209" s="10">
        <v>0</v>
      </c>
      <c r="F209" s="10">
        <v>0</v>
      </c>
      <c r="G209" s="10">
        <v>0</v>
      </c>
      <c r="H209" s="10">
        <v>5.98</v>
      </c>
      <c r="I209" s="10">
        <v>0</v>
      </c>
      <c r="J209" s="103" t="s">
        <v>33</v>
      </c>
      <c r="K209" s="597" t="s">
        <v>484</v>
      </c>
      <c r="L209" s="28"/>
    </row>
    <row r="210" spans="1:12" ht="31" x14ac:dyDescent="0.35">
      <c r="A210" s="596">
        <v>124</v>
      </c>
      <c r="B210" s="28" t="s">
        <v>485</v>
      </c>
      <c r="C210" s="15">
        <f t="shared" si="9"/>
        <v>12.5</v>
      </c>
      <c r="D210" s="590">
        <f>'[23]road inventory 2018'!C210</f>
        <v>17</v>
      </c>
      <c r="E210" s="10">
        <v>3.52</v>
      </c>
      <c r="F210" s="10">
        <v>0</v>
      </c>
      <c r="G210" s="10">
        <v>0</v>
      </c>
      <c r="H210" s="10">
        <v>8.98</v>
      </c>
      <c r="I210" s="10">
        <v>0</v>
      </c>
      <c r="J210" s="103" t="s">
        <v>12</v>
      </c>
      <c r="K210" s="597"/>
      <c r="L210" s="28"/>
    </row>
    <row r="211" spans="1:12" s="16" customFormat="1" ht="18" customHeight="1" x14ac:dyDescent="0.35">
      <c r="A211" s="589">
        <v>141</v>
      </c>
      <c r="B211" s="24" t="s">
        <v>486</v>
      </c>
      <c r="C211" s="15">
        <f t="shared" si="9"/>
        <v>6</v>
      </c>
      <c r="D211" s="590">
        <f>'[23]road inventory 2018'!C211</f>
        <v>6</v>
      </c>
      <c r="E211" s="15">
        <v>0</v>
      </c>
      <c r="F211" s="15">
        <v>0</v>
      </c>
      <c r="G211" s="15">
        <v>0</v>
      </c>
      <c r="H211" s="15">
        <v>6</v>
      </c>
      <c r="I211" s="15">
        <v>0</v>
      </c>
      <c r="J211" s="106" t="s">
        <v>12</v>
      </c>
      <c r="K211" s="591" t="s">
        <v>487</v>
      </c>
      <c r="L211" s="24"/>
    </row>
    <row r="212" spans="1:12" s="16" customFormat="1" ht="18" customHeight="1" x14ac:dyDescent="0.35">
      <c r="A212" s="626"/>
      <c r="B212" s="60"/>
      <c r="C212" s="61">
        <f>SUM(C204:C211)</f>
        <v>82.89</v>
      </c>
      <c r="D212" s="61">
        <f t="shared" ref="D212:I212" si="10">SUM(D204:D211)</f>
        <v>87.669999999999987</v>
      </c>
      <c r="E212" s="61">
        <f t="shared" si="10"/>
        <v>33.61</v>
      </c>
      <c r="F212" s="61">
        <f t="shared" si="10"/>
        <v>0</v>
      </c>
      <c r="G212" s="61">
        <f t="shared" si="10"/>
        <v>0</v>
      </c>
      <c r="H212" s="61">
        <f t="shared" si="10"/>
        <v>49.28</v>
      </c>
      <c r="I212" s="61">
        <f t="shared" si="10"/>
        <v>0</v>
      </c>
      <c r="J212" s="628"/>
      <c r="K212" s="629"/>
      <c r="L212" s="24"/>
    </row>
    <row r="213" spans="1:12" ht="18" customHeight="1" thickBot="1" x14ac:dyDescent="0.4">
      <c r="A213" s="53" t="s">
        <v>341</v>
      </c>
      <c r="B213" s="34"/>
      <c r="C213" s="31">
        <f>SUM(C204:C211)</f>
        <v>82.89</v>
      </c>
      <c r="D213" s="630"/>
      <c r="E213" s="31">
        <f>SUM(E204:E211)</f>
        <v>33.61</v>
      </c>
      <c r="F213" s="31">
        <f>SUM(F204:F211)</f>
        <v>0</v>
      </c>
      <c r="G213" s="31">
        <f>SUM(G204:G211)</f>
        <v>0</v>
      </c>
      <c r="H213" s="31">
        <f>SUM(H204:H211)</f>
        <v>49.28</v>
      </c>
      <c r="I213" s="31">
        <f>SUM(I204:I211)</f>
        <v>0</v>
      </c>
      <c r="J213" s="608"/>
      <c r="K213" s="609"/>
      <c r="L213" s="653"/>
    </row>
    <row r="214" spans="1:12" ht="18" customHeight="1" thickBot="1" x14ac:dyDescent="0.4">
      <c r="L214" s="28"/>
    </row>
    <row r="215" spans="1:12" s="1" customFormat="1" x14ac:dyDescent="0.35">
      <c r="A215" s="1217" t="s">
        <v>488</v>
      </c>
      <c r="B215" s="1218"/>
      <c r="C215" s="1218"/>
      <c r="D215" s="1218"/>
      <c r="E215" s="1218"/>
      <c r="F215" s="1218"/>
      <c r="G215" s="1218"/>
      <c r="H215" s="1218"/>
      <c r="I215" s="1218"/>
      <c r="J215" s="1218"/>
      <c r="K215" s="1218"/>
      <c r="L215" s="668"/>
    </row>
    <row r="216" spans="1:12" s="1" customFormat="1" ht="16" thickBot="1" x14ac:dyDescent="0.4">
      <c r="A216" s="585"/>
      <c r="B216" s="2"/>
      <c r="C216" s="5"/>
      <c r="D216" s="586"/>
      <c r="E216" s="5"/>
      <c r="F216" s="5"/>
      <c r="G216" s="5"/>
      <c r="H216" s="5"/>
      <c r="I216" s="5"/>
      <c r="J216" s="3"/>
      <c r="K216" s="21"/>
      <c r="L216" s="653"/>
    </row>
    <row r="217" spans="1:12" s="1" customFormat="1" ht="21" customHeight="1" x14ac:dyDescent="0.35">
      <c r="A217" s="1206" t="s">
        <v>302</v>
      </c>
      <c r="B217" s="1208" t="s">
        <v>28</v>
      </c>
      <c r="C217" s="1210" t="s">
        <v>343</v>
      </c>
      <c r="D217" s="613"/>
      <c r="E217" s="1212" t="s">
        <v>305</v>
      </c>
      <c r="F217" s="1212"/>
      <c r="G217" s="1212"/>
      <c r="H217" s="1212"/>
      <c r="I217" s="1212"/>
      <c r="J217" s="1208" t="s">
        <v>29</v>
      </c>
      <c r="K217" s="1213" t="s">
        <v>306</v>
      </c>
      <c r="L217" s="1215" t="str">
        <f>L202</f>
        <v>REMARKS</v>
      </c>
    </row>
    <row r="218" spans="1:12" s="1" customFormat="1" ht="21" customHeight="1" thickBot="1" x14ac:dyDescent="0.4">
      <c r="A218" s="1207"/>
      <c r="B218" s="1209"/>
      <c r="C218" s="1211"/>
      <c r="D218" s="614"/>
      <c r="E218" s="7" t="s">
        <v>308</v>
      </c>
      <c r="F218" s="7" t="s">
        <v>309</v>
      </c>
      <c r="G218" s="7" t="s">
        <v>310</v>
      </c>
      <c r="H218" s="7" t="s">
        <v>311</v>
      </c>
      <c r="I218" s="7" t="s">
        <v>312</v>
      </c>
      <c r="J218" s="1209"/>
      <c r="K218" s="1214"/>
      <c r="L218" s="1216"/>
    </row>
    <row r="219" spans="1:12" s="16" customFormat="1" ht="31" x14ac:dyDescent="0.35">
      <c r="A219" s="589">
        <v>142</v>
      </c>
      <c r="B219" s="24" t="s">
        <v>286</v>
      </c>
      <c r="C219" s="15">
        <f>SUM(E219:I219)</f>
        <v>21.69</v>
      </c>
      <c r="D219" s="590">
        <f>'[23]road inventory 2018'!C218</f>
        <v>19.299999999999997</v>
      </c>
      <c r="E219" s="15">
        <v>0.8</v>
      </c>
      <c r="F219" s="15">
        <v>0</v>
      </c>
      <c r="G219" s="15">
        <v>0</v>
      </c>
      <c r="H219" s="15">
        <v>20.89</v>
      </c>
      <c r="I219" s="15">
        <v>0</v>
      </c>
      <c r="J219" s="106" t="s">
        <v>12</v>
      </c>
      <c r="K219" s="591" t="s">
        <v>489</v>
      </c>
      <c r="L219" s="24"/>
    </row>
    <row r="220" spans="1:12" ht="31" x14ac:dyDescent="0.35">
      <c r="A220" s="596">
        <v>143</v>
      </c>
      <c r="B220" s="28" t="s">
        <v>287</v>
      </c>
      <c r="C220" s="15">
        <f t="shared" ref="C220:C226" si="11">SUM(E220:I220)</f>
        <v>8.91</v>
      </c>
      <c r="D220" s="590">
        <f>'[23]road inventory 2018'!C219</f>
        <v>8.7999999999999989</v>
      </c>
      <c r="E220" s="10">
        <v>0.2</v>
      </c>
      <c r="F220" s="10">
        <v>0</v>
      </c>
      <c r="G220" s="10">
        <v>0</v>
      </c>
      <c r="H220" s="10">
        <v>8.7100000000000009</v>
      </c>
      <c r="I220" s="10">
        <v>0</v>
      </c>
      <c r="J220" s="103" t="s">
        <v>12</v>
      </c>
      <c r="K220" s="597" t="s">
        <v>490</v>
      </c>
      <c r="L220" s="28"/>
    </row>
    <row r="221" spans="1:12" s="16" customFormat="1" ht="31" x14ac:dyDescent="0.35">
      <c r="A221" s="589">
        <v>144</v>
      </c>
      <c r="B221" s="24" t="s">
        <v>288</v>
      </c>
      <c r="C221" s="15">
        <f t="shared" si="11"/>
        <v>7.88</v>
      </c>
      <c r="D221" s="590">
        <f>'[23]road inventory 2018'!C220</f>
        <v>7.8999999999999995</v>
      </c>
      <c r="E221" s="15">
        <v>1.75</v>
      </c>
      <c r="F221" s="15">
        <v>0</v>
      </c>
      <c r="G221" s="15">
        <v>0</v>
      </c>
      <c r="H221" s="15">
        <v>6.13</v>
      </c>
      <c r="I221" s="15">
        <v>0</v>
      </c>
      <c r="J221" s="106" t="s">
        <v>12</v>
      </c>
      <c r="K221" s="591" t="s">
        <v>491</v>
      </c>
      <c r="L221" s="24"/>
    </row>
    <row r="222" spans="1:12" s="16" customFormat="1" x14ac:dyDescent="0.35">
      <c r="A222" s="589">
        <v>121</v>
      </c>
      <c r="B222" s="24" t="s">
        <v>104</v>
      </c>
      <c r="C222" s="15">
        <f t="shared" si="11"/>
        <v>23.3</v>
      </c>
      <c r="D222" s="590">
        <f>'[23]road inventory 2018'!C221</f>
        <v>23.2</v>
      </c>
      <c r="E222" s="15">
        <v>1.3</v>
      </c>
      <c r="F222" s="15">
        <v>0</v>
      </c>
      <c r="G222" s="15">
        <v>1.72</v>
      </c>
      <c r="H222" s="15">
        <v>20.28</v>
      </c>
      <c r="I222" s="15">
        <v>0</v>
      </c>
      <c r="J222" s="106" t="s">
        <v>12</v>
      </c>
      <c r="K222" s="591" t="s">
        <v>492</v>
      </c>
      <c r="L222" s="24"/>
    </row>
    <row r="223" spans="1:12" ht="18" customHeight="1" x14ac:dyDescent="0.35">
      <c r="A223" s="596">
        <v>145</v>
      </c>
      <c r="B223" s="28" t="s">
        <v>109</v>
      </c>
      <c r="C223" s="15">
        <f t="shared" si="11"/>
        <v>3.6</v>
      </c>
      <c r="D223" s="590">
        <f>'[23]road inventory 2018'!C222</f>
        <v>3.3</v>
      </c>
      <c r="E223" s="10">
        <v>0</v>
      </c>
      <c r="F223" s="10">
        <v>0</v>
      </c>
      <c r="G223" s="10">
        <v>0</v>
      </c>
      <c r="H223" s="10">
        <v>3.6</v>
      </c>
      <c r="I223" s="10">
        <v>0</v>
      </c>
      <c r="J223" s="103" t="s">
        <v>41</v>
      </c>
      <c r="K223" s="597"/>
      <c r="L223" s="28"/>
    </row>
    <row r="224" spans="1:12" s="16" customFormat="1" ht="18" customHeight="1" x14ac:dyDescent="0.35">
      <c r="A224" s="589">
        <v>126</v>
      </c>
      <c r="B224" s="24" t="s">
        <v>110</v>
      </c>
      <c r="C224" s="15">
        <f t="shared" si="11"/>
        <v>10.097</v>
      </c>
      <c r="D224" s="590">
        <f>'[23]road inventory 2018'!C223</f>
        <v>9.6</v>
      </c>
      <c r="E224" s="15">
        <v>8.16</v>
      </c>
      <c r="F224" s="15">
        <v>0</v>
      </c>
      <c r="G224" s="15">
        <v>0</v>
      </c>
      <c r="H224" s="15">
        <f>1.937</f>
        <v>1.9370000000000001</v>
      </c>
      <c r="I224" s="15">
        <v>0</v>
      </c>
      <c r="J224" s="106" t="s">
        <v>836</v>
      </c>
      <c r="K224" s="591" t="s">
        <v>493</v>
      </c>
      <c r="L224" s="24"/>
    </row>
    <row r="225" spans="1:12" s="16" customFormat="1" ht="31" x14ac:dyDescent="0.35">
      <c r="A225" s="589">
        <v>146</v>
      </c>
      <c r="B225" s="24" t="s">
        <v>115</v>
      </c>
      <c r="C225" s="15">
        <f t="shared" si="11"/>
        <v>12.15</v>
      </c>
      <c r="D225" s="590">
        <f>'[23]road inventory 2018'!C224</f>
        <v>8.3000000000000007</v>
      </c>
      <c r="E225" s="15">
        <v>0</v>
      </c>
      <c r="F225" s="15">
        <v>0</v>
      </c>
      <c r="G225" s="15">
        <v>0</v>
      </c>
      <c r="H225" s="15">
        <v>12.15</v>
      </c>
      <c r="I225" s="15">
        <v>0</v>
      </c>
      <c r="J225" s="106" t="s">
        <v>12</v>
      </c>
      <c r="K225" s="591"/>
      <c r="L225" s="24"/>
    </row>
    <row r="226" spans="1:12" s="16" customFormat="1" ht="18" customHeight="1" x14ac:dyDescent="0.35">
      <c r="A226" s="589">
        <v>147</v>
      </c>
      <c r="B226" s="24" t="s">
        <v>289</v>
      </c>
      <c r="C226" s="15">
        <f t="shared" si="11"/>
        <v>4.59</v>
      </c>
      <c r="D226" s="590">
        <f>'[23]road inventory 2018'!C225</f>
        <v>4.2</v>
      </c>
      <c r="E226" s="15">
        <v>0.2</v>
      </c>
      <c r="F226" s="15">
        <v>0</v>
      </c>
      <c r="G226" s="15">
        <v>0</v>
      </c>
      <c r="H226" s="15">
        <v>4.3899999999999997</v>
      </c>
      <c r="I226" s="15">
        <v>0</v>
      </c>
      <c r="J226" s="106" t="s">
        <v>10</v>
      </c>
      <c r="K226" s="591"/>
      <c r="L226" s="24"/>
    </row>
    <row r="227" spans="1:12" s="16" customFormat="1" ht="18" customHeight="1" x14ac:dyDescent="0.35">
      <c r="A227" s="626"/>
      <c r="B227" s="60"/>
      <c r="C227" s="61">
        <f>SUM(C219:C226)</f>
        <v>92.216999999999999</v>
      </c>
      <c r="D227" s="61">
        <f t="shared" ref="D227:I227" si="12">SUM(D219:D226)</f>
        <v>84.59999999999998</v>
      </c>
      <c r="E227" s="61">
        <f t="shared" si="12"/>
        <v>12.41</v>
      </c>
      <c r="F227" s="61">
        <f t="shared" si="12"/>
        <v>0</v>
      </c>
      <c r="G227" s="61">
        <f t="shared" si="12"/>
        <v>1.72</v>
      </c>
      <c r="H227" s="61">
        <f t="shared" si="12"/>
        <v>78.087000000000003</v>
      </c>
      <c r="I227" s="61">
        <f t="shared" si="12"/>
        <v>0</v>
      </c>
      <c r="J227" s="628"/>
      <c r="K227" s="629"/>
      <c r="L227" s="24"/>
    </row>
    <row r="228" spans="1:12" ht="18" customHeight="1" thickBot="1" x14ac:dyDescent="0.4">
      <c r="A228" s="53" t="s">
        <v>341</v>
      </c>
      <c r="B228" s="34"/>
      <c r="C228" s="31">
        <f>SUM(C219:C226)</f>
        <v>92.216999999999999</v>
      </c>
      <c r="D228" s="630"/>
      <c r="E228" s="31">
        <f>SUM(E219:E226)</f>
        <v>12.41</v>
      </c>
      <c r="F228" s="31">
        <f>SUM(F219:F226)</f>
        <v>0</v>
      </c>
      <c r="G228" s="31">
        <f>SUM(G219:G226)</f>
        <v>1.72</v>
      </c>
      <c r="H228" s="31">
        <f>SUM(H219:H226)</f>
        <v>78.087000000000003</v>
      </c>
      <c r="I228" s="31">
        <f>SUM(I219:I226)</f>
        <v>0</v>
      </c>
      <c r="J228" s="608"/>
      <c r="K228" s="609"/>
      <c r="L228" s="653"/>
    </row>
    <row r="229" spans="1:12" ht="18" customHeight="1" thickBot="1" x14ac:dyDescent="0.4">
      <c r="L229" s="28"/>
    </row>
    <row r="230" spans="1:12" s="1" customFormat="1" x14ac:dyDescent="0.35">
      <c r="A230" s="1217" t="s">
        <v>494</v>
      </c>
      <c r="B230" s="1218"/>
      <c r="C230" s="1218"/>
      <c r="D230" s="1218"/>
      <c r="E230" s="1218"/>
      <c r="F230" s="1218"/>
      <c r="G230" s="1218"/>
      <c r="H230" s="1218"/>
      <c r="I230" s="1218"/>
      <c r="J230" s="1218"/>
      <c r="K230" s="1218"/>
      <c r="L230" s="668"/>
    </row>
    <row r="231" spans="1:12" s="1" customFormat="1" ht="16" thickBot="1" x14ac:dyDescent="0.4">
      <c r="A231" s="585"/>
      <c r="B231" s="2"/>
      <c r="C231" s="5"/>
      <c r="D231" s="586"/>
      <c r="E231" s="5"/>
      <c r="F231" s="5"/>
      <c r="G231" s="5"/>
      <c r="H231" s="5"/>
      <c r="I231" s="5"/>
      <c r="J231" s="3"/>
      <c r="K231" s="21"/>
      <c r="L231" s="653"/>
    </row>
    <row r="232" spans="1:12" s="1" customFormat="1" ht="21" customHeight="1" x14ac:dyDescent="0.35">
      <c r="A232" s="1206" t="s">
        <v>302</v>
      </c>
      <c r="B232" s="1208" t="s">
        <v>28</v>
      </c>
      <c r="C232" s="1210" t="s">
        <v>343</v>
      </c>
      <c r="D232" s="613"/>
      <c r="E232" s="1212" t="s">
        <v>305</v>
      </c>
      <c r="F232" s="1212"/>
      <c r="G232" s="1212"/>
      <c r="H232" s="1212"/>
      <c r="I232" s="1212"/>
      <c r="J232" s="1208" t="s">
        <v>29</v>
      </c>
      <c r="K232" s="1213" t="s">
        <v>306</v>
      </c>
      <c r="L232" s="1215" t="str">
        <f>L217</f>
        <v>REMARKS</v>
      </c>
    </row>
    <row r="233" spans="1:12" s="1" customFormat="1" ht="21" customHeight="1" thickBot="1" x14ac:dyDescent="0.4">
      <c r="A233" s="1207"/>
      <c r="B233" s="1209"/>
      <c r="C233" s="1211"/>
      <c r="D233" s="614"/>
      <c r="E233" s="7" t="s">
        <v>308</v>
      </c>
      <c r="F233" s="7" t="s">
        <v>309</v>
      </c>
      <c r="G233" s="7" t="s">
        <v>310</v>
      </c>
      <c r="H233" s="7" t="s">
        <v>311</v>
      </c>
      <c r="I233" s="7" t="s">
        <v>312</v>
      </c>
      <c r="J233" s="1209"/>
      <c r="K233" s="1214"/>
      <c r="L233" s="1216"/>
    </row>
    <row r="234" spans="1:12" ht="18" customHeight="1" x14ac:dyDescent="0.35">
      <c r="A234" s="596">
        <v>148</v>
      </c>
      <c r="B234" s="28" t="s">
        <v>290</v>
      </c>
      <c r="C234" s="10">
        <f>SUM(E234:I234)</f>
        <v>3.0799999999999996</v>
      </c>
      <c r="D234" s="615">
        <f>'[23]road inventory 2018'!C232</f>
        <v>3</v>
      </c>
      <c r="E234" s="10">
        <v>0.32</v>
      </c>
      <c r="F234" s="10">
        <v>0</v>
      </c>
      <c r="G234" s="10">
        <v>0</v>
      </c>
      <c r="H234" s="10">
        <v>2.76</v>
      </c>
      <c r="I234" s="10">
        <v>0</v>
      </c>
      <c r="J234" s="103" t="s">
        <v>41</v>
      </c>
      <c r="K234" s="597" t="s">
        <v>495</v>
      </c>
      <c r="L234" s="28"/>
    </row>
    <row r="235" spans="1:12" s="16" customFormat="1" x14ac:dyDescent="0.35">
      <c r="A235" s="589">
        <v>149</v>
      </c>
      <c r="B235" s="24" t="s">
        <v>496</v>
      </c>
      <c r="C235" s="10">
        <f>SUM(E235:I235)</f>
        <v>5.01</v>
      </c>
      <c r="D235" s="615">
        <f>'[23]road inventory 2018'!C233</f>
        <v>5</v>
      </c>
      <c r="E235" s="15">
        <v>0.79</v>
      </c>
      <c r="F235" s="15">
        <v>0</v>
      </c>
      <c r="G235" s="15">
        <v>0</v>
      </c>
      <c r="H235" s="15">
        <v>4.22</v>
      </c>
      <c r="I235" s="15">
        <v>0</v>
      </c>
      <c r="J235" s="106" t="s">
        <v>12</v>
      </c>
      <c r="K235" s="591" t="s">
        <v>497</v>
      </c>
      <c r="L235" s="24"/>
    </row>
    <row r="236" spans="1:12" ht="18" customHeight="1" x14ac:dyDescent="0.35">
      <c r="A236" s="596">
        <v>150</v>
      </c>
      <c r="B236" s="28" t="s">
        <v>116</v>
      </c>
      <c r="C236" s="10">
        <f>SUM(E236:I236)</f>
        <v>11.27</v>
      </c>
      <c r="D236" s="615">
        <f>'[23]road inventory 2018'!C234</f>
        <v>11</v>
      </c>
      <c r="E236" s="10">
        <v>2.4500000000000002</v>
      </c>
      <c r="F236" s="10">
        <v>0</v>
      </c>
      <c r="G236" s="10">
        <v>0</v>
      </c>
      <c r="H236" s="10">
        <v>8.82</v>
      </c>
      <c r="I236" s="10">
        <v>0</v>
      </c>
      <c r="J236" s="103" t="s">
        <v>33</v>
      </c>
      <c r="K236" s="597" t="s">
        <v>498</v>
      </c>
      <c r="L236" s="28"/>
    </row>
    <row r="237" spans="1:12" s="16" customFormat="1" ht="18" customHeight="1" x14ac:dyDescent="0.35">
      <c r="A237" s="589">
        <v>151</v>
      </c>
      <c r="B237" s="24" t="s">
        <v>499</v>
      </c>
      <c r="C237" s="10">
        <f>SUM(E237:I237)</f>
        <v>3.99</v>
      </c>
      <c r="D237" s="615">
        <f>'[23]road inventory 2018'!C235</f>
        <v>4</v>
      </c>
      <c r="E237" s="15">
        <v>0</v>
      </c>
      <c r="F237" s="15">
        <v>0</v>
      </c>
      <c r="G237" s="15">
        <v>0</v>
      </c>
      <c r="H237" s="15">
        <v>3.99</v>
      </c>
      <c r="I237" s="15">
        <v>0</v>
      </c>
      <c r="J237" s="106" t="s">
        <v>12</v>
      </c>
      <c r="K237" s="591" t="s">
        <v>500</v>
      </c>
      <c r="L237" s="24"/>
    </row>
    <row r="238" spans="1:12" ht="18" customHeight="1" x14ac:dyDescent="0.35">
      <c r="A238" s="596">
        <v>152</v>
      </c>
      <c r="B238" s="28" t="s">
        <v>120</v>
      </c>
      <c r="C238" s="10">
        <f>SUM(E238:I238)</f>
        <v>4.82</v>
      </c>
      <c r="D238" s="615">
        <f>'[23]road inventory 2018'!C236</f>
        <v>4.5999999999999996</v>
      </c>
      <c r="E238" s="10">
        <v>0</v>
      </c>
      <c r="F238" s="10">
        <v>0</v>
      </c>
      <c r="G238" s="10">
        <v>0</v>
      </c>
      <c r="H238" s="10">
        <v>4.82</v>
      </c>
      <c r="I238" s="10">
        <v>0</v>
      </c>
      <c r="J238" s="103" t="s">
        <v>33</v>
      </c>
      <c r="K238" s="597"/>
      <c r="L238" s="28"/>
    </row>
    <row r="239" spans="1:12" ht="18" customHeight="1" x14ac:dyDescent="0.35">
      <c r="A239" s="635"/>
      <c r="B239" s="40"/>
      <c r="C239" s="41">
        <f>SUM(C234:C238)</f>
        <v>28.17</v>
      </c>
      <c r="D239" s="41">
        <f t="shared" ref="D239:I239" si="13">SUM(D234:D238)</f>
        <v>27.6</v>
      </c>
      <c r="E239" s="41">
        <f t="shared" si="13"/>
        <v>3.5600000000000005</v>
      </c>
      <c r="F239" s="41">
        <f t="shared" si="13"/>
        <v>0</v>
      </c>
      <c r="G239" s="41">
        <f t="shared" si="13"/>
        <v>0</v>
      </c>
      <c r="H239" s="41">
        <f t="shared" si="13"/>
        <v>24.61</v>
      </c>
      <c r="I239" s="41">
        <f t="shared" si="13"/>
        <v>0</v>
      </c>
      <c r="J239" s="109"/>
      <c r="K239" s="605"/>
      <c r="L239" s="28"/>
    </row>
    <row r="240" spans="1:12" ht="18" customHeight="1" thickBot="1" x14ac:dyDescent="0.4">
      <c r="A240" s="53" t="s">
        <v>341</v>
      </c>
      <c r="B240" s="34"/>
      <c r="C240" s="31">
        <f>SUM(C234:C238)</f>
        <v>28.17</v>
      </c>
      <c r="D240" s="630"/>
      <c r="E240" s="31">
        <f>SUM(E234:E238)</f>
        <v>3.5600000000000005</v>
      </c>
      <c r="F240" s="31">
        <f>SUM(F234:F238)</f>
        <v>0</v>
      </c>
      <c r="G240" s="31">
        <f>SUM(G234:G238)</f>
        <v>0</v>
      </c>
      <c r="H240" s="31">
        <f>SUM(H234:H238)</f>
        <v>24.61</v>
      </c>
      <c r="I240" s="31">
        <f>SUM(I234:I238)</f>
        <v>0</v>
      </c>
      <c r="J240" s="608"/>
      <c r="K240" s="609"/>
      <c r="L240" s="653"/>
    </row>
    <row r="241" spans="1:12" ht="18" customHeight="1" thickBot="1" x14ac:dyDescent="0.4">
      <c r="L241" s="28"/>
    </row>
    <row r="242" spans="1:12" s="1" customFormat="1" x14ac:dyDescent="0.35">
      <c r="A242" s="1217" t="s">
        <v>501</v>
      </c>
      <c r="B242" s="1218"/>
      <c r="C242" s="1218"/>
      <c r="D242" s="1218"/>
      <c r="E242" s="1218"/>
      <c r="F242" s="1218"/>
      <c r="G242" s="1218"/>
      <c r="H242" s="1218"/>
      <c r="I242" s="1218"/>
      <c r="J242" s="1218"/>
      <c r="K242" s="1218"/>
      <c r="L242" s="668"/>
    </row>
    <row r="243" spans="1:12" s="1" customFormat="1" ht="16" thickBot="1" x14ac:dyDescent="0.4">
      <c r="A243" s="585"/>
      <c r="B243" s="2"/>
      <c r="C243" s="5"/>
      <c r="D243" s="586"/>
      <c r="E243" s="5"/>
      <c r="F243" s="5"/>
      <c r="G243" s="5"/>
      <c r="H243" s="5"/>
      <c r="I243" s="5"/>
      <c r="J243" s="3"/>
      <c r="K243" s="21"/>
      <c r="L243" s="653"/>
    </row>
    <row r="244" spans="1:12" s="1" customFormat="1" ht="21" customHeight="1" x14ac:dyDescent="0.35">
      <c r="A244" s="1206" t="s">
        <v>302</v>
      </c>
      <c r="B244" s="1208" t="s">
        <v>28</v>
      </c>
      <c r="C244" s="1210" t="s">
        <v>343</v>
      </c>
      <c r="D244" s="613"/>
      <c r="E244" s="1212" t="s">
        <v>305</v>
      </c>
      <c r="F244" s="1212"/>
      <c r="G244" s="1212"/>
      <c r="H244" s="1212"/>
      <c r="I244" s="1212"/>
      <c r="J244" s="1208" t="s">
        <v>29</v>
      </c>
      <c r="K244" s="1213" t="s">
        <v>306</v>
      </c>
      <c r="L244" s="1215" t="str">
        <f>L232</f>
        <v>REMARKS</v>
      </c>
    </row>
    <row r="245" spans="1:12" s="1" customFormat="1" ht="21" customHeight="1" thickBot="1" x14ac:dyDescent="0.4">
      <c r="A245" s="1207"/>
      <c r="B245" s="1209"/>
      <c r="C245" s="1211"/>
      <c r="D245" s="614"/>
      <c r="E245" s="7" t="s">
        <v>308</v>
      </c>
      <c r="F245" s="7" t="s">
        <v>309</v>
      </c>
      <c r="G245" s="7" t="s">
        <v>310</v>
      </c>
      <c r="H245" s="7" t="s">
        <v>311</v>
      </c>
      <c r="I245" s="7" t="s">
        <v>312</v>
      </c>
      <c r="J245" s="1209"/>
      <c r="K245" s="1214"/>
      <c r="L245" s="1216"/>
    </row>
    <row r="246" spans="1:12" s="677" customFormat="1" ht="18" customHeight="1" x14ac:dyDescent="0.35">
      <c r="A246" s="669">
        <v>153</v>
      </c>
      <c r="B246" s="107" t="s">
        <v>121</v>
      </c>
      <c r="C246" s="670">
        <f>'inventory2020(FOR revised)'!C248</f>
        <v>11</v>
      </c>
      <c r="D246" s="670">
        <f>'inventory2020(FOR revised)'!D248</f>
        <v>11</v>
      </c>
      <c r="E246" s="670">
        <f>'inventory2020(FOR revised)'!E248</f>
        <v>1.96</v>
      </c>
      <c r="F246" s="670">
        <f>'inventory2020(FOR revised)'!F248</f>
        <v>0</v>
      </c>
      <c r="G246" s="670">
        <f>'inventory2020(FOR revised)'!G248</f>
        <v>0</v>
      </c>
      <c r="H246" s="670">
        <f>'inventory2020(FOR revised)'!H248</f>
        <v>9.0399999999999991</v>
      </c>
      <c r="I246" s="670">
        <f>'inventory2020(FOR revised)'!I248</f>
        <v>0</v>
      </c>
      <c r="J246" s="673" t="str">
        <f>[24]CARRIAGEWAY!$Z$361</f>
        <v>FAIR</v>
      </c>
      <c r="K246" s="674" t="s">
        <v>502</v>
      </c>
      <c r="L246" s="107"/>
    </row>
    <row r="247" spans="1:12" s="16" customFormat="1" ht="18" customHeight="1" x14ac:dyDescent="0.35">
      <c r="A247" s="589">
        <v>125</v>
      </c>
      <c r="B247" s="24" t="s">
        <v>125</v>
      </c>
      <c r="C247" s="670">
        <f>'inventory2020(FOR revised)'!C249</f>
        <v>2.9</v>
      </c>
      <c r="D247" s="670">
        <f>'inventory2020(FOR revised)'!D249</f>
        <v>2.9</v>
      </c>
      <c r="E247" s="670">
        <f>'inventory2020(FOR revised)'!E249</f>
        <v>0</v>
      </c>
      <c r="F247" s="670">
        <f>'inventory2020(FOR revised)'!F249</f>
        <v>0</v>
      </c>
      <c r="G247" s="670">
        <f>'inventory2020(FOR revised)'!G249</f>
        <v>0</v>
      </c>
      <c r="H247" s="670">
        <f>'inventory2020(FOR revised)'!H249</f>
        <v>2.9</v>
      </c>
      <c r="I247" s="670">
        <f>'inventory2020(FOR revised)'!I249</f>
        <v>0</v>
      </c>
      <c r="J247" s="106" t="s">
        <v>12</v>
      </c>
      <c r="K247" s="591" t="s">
        <v>502</v>
      </c>
      <c r="L247" s="24"/>
    </row>
    <row r="248" spans="1:12" s="16" customFormat="1" ht="18" customHeight="1" x14ac:dyDescent="0.35">
      <c r="A248" s="589">
        <v>154</v>
      </c>
      <c r="B248" s="24" t="s">
        <v>127</v>
      </c>
      <c r="C248" s="670">
        <f>'inventory2020(FOR revised)'!C250</f>
        <v>7</v>
      </c>
      <c r="D248" s="670">
        <f>'inventory2020(FOR revised)'!D250</f>
        <v>7</v>
      </c>
      <c r="E248" s="670">
        <f>'inventory2020(FOR revised)'!E250</f>
        <v>0</v>
      </c>
      <c r="F248" s="670">
        <f>'inventory2020(FOR revised)'!F250</f>
        <v>0</v>
      </c>
      <c r="G248" s="670">
        <f>'inventory2020(FOR revised)'!G250</f>
        <v>0</v>
      </c>
      <c r="H248" s="670">
        <f>'inventory2020(FOR revised)'!H250</f>
        <v>7</v>
      </c>
      <c r="I248" s="670">
        <f>'inventory2020(FOR revised)'!I250</f>
        <v>0</v>
      </c>
      <c r="J248" s="106" t="s">
        <v>12</v>
      </c>
      <c r="K248" s="591" t="s">
        <v>503</v>
      </c>
      <c r="L248" s="24"/>
    </row>
    <row r="249" spans="1:12" s="16" customFormat="1" x14ac:dyDescent="0.35">
      <c r="A249" s="589">
        <v>127</v>
      </c>
      <c r="B249" s="24" t="s">
        <v>504</v>
      </c>
      <c r="C249" s="670">
        <f>'inventory2020(FOR revised)'!C251</f>
        <v>2.7</v>
      </c>
      <c r="D249" s="670">
        <f>'inventory2020(FOR revised)'!D251</f>
        <v>2.7</v>
      </c>
      <c r="E249" s="670">
        <f>'inventory2020(FOR revised)'!E251</f>
        <v>0</v>
      </c>
      <c r="F249" s="670">
        <f>'inventory2020(FOR revised)'!F251</f>
        <v>0</v>
      </c>
      <c r="G249" s="670">
        <f>'inventory2020(FOR revised)'!G251</f>
        <v>0</v>
      </c>
      <c r="H249" s="670">
        <f>'inventory2020(FOR revised)'!H251</f>
        <v>2.7</v>
      </c>
      <c r="I249" s="670">
        <f>'inventory2020(FOR revised)'!I251</f>
        <v>0</v>
      </c>
      <c r="J249" s="106" t="s">
        <v>12</v>
      </c>
      <c r="K249" s="591" t="s">
        <v>505</v>
      </c>
      <c r="L249" s="24"/>
    </row>
    <row r="250" spans="1:12" x14ac:dyDescent="0.35">
      <c r="A250" s="596">
        <v>128</v>
      </c>
      <c r="B250" s="28" t="s">
        <v>507</v>
      </c>
      <c r="C250" s="670">
        <f>'inventory2020(FOR revised)'!C252</f>
        <v>2.2999999999999998</v>
      </c>
      <c r="D250" s="670">
        <f>'inventory2020(FOR revised)'!D252</f>
        <v>2.3000000000000003</v>
      </c>
      <c r="E250" s="670">
        <f>'inventory2020(FOR revised)'!E252</f>
        <v>2.2999999999999998</v>
      </c>
      <c r="F250" s="670">
        <f>'inventory2020(FOR revised)'!F252</f>
        <v>0</v>
      </c>
      <c r="G250" s="670">
        <f>'inventory2020(FOR revised)'!G252</f>
        <v>0</v>
      </c>
      <c r="H250" s="670">
        <f>'inventory2020(FOR revised)'!H252</f>
        <v>0</v>
      </c>
      <c r="I250" s="670">
        <f>'inventory2020(FOR revised)'!I252</f>
        <v>0</v>
      </c>
      <c r="J250" s="103" t="s">
        <v>10</v>
      </c>
      <c r="K250" s="597" t="s">
        <v>508</v>
      </c>
      <c r="L250" s="28"/>
    </row>
    <row r="251" spans="1:12" ht="31" x14ac:dyDescent="0.35">
      <c r="A251" s="596">
        <v>155</v>
      </c>
      <c r="B251" s="28" t="s">
        <v>509</v>
      </c>
      <c r="C251" s="670">
        <f>'inventory2020(FOR revised)'!C253</f>
        <v>3.7</v>
      </c>
      <c r="D251" s="670">
        <f>'inventory2020(FOR revised)'!D253</f>
        <v>3.7</v>
      </c>
      <c r="E251" s="670">
        <f>'inventory2020(FOR revised)'!E253</f>
        <v>0</v>
      </c>
      <c r="F251" s="670">
        <f>'inventory2020(FOR revised)'!F253</f>
        <v>0</v>
      </c>
      <c r="G251" s="670">
        <f>'inventory2020(FOR revised)'!G253</f>
        <v>3.7</v>
      </c>
      <c r="H251" s="670">
        <f>'inventory2020(FOR revised)'!H253</f>
        <v>0</v>
      </c>
      <c r="I251" s="670">
        <f>'inventory2020(FOR revised)'!I253</f>
        <v>0</v>
      </c>
      <c r="J251" s="103" t="s">
        <v>41</v>
      </c>
      <c r="K251" s="597" t="s">
        <v>510</v>
      </c>
      <c r="L251" s="28"/>
    </row>
    <row r="252" spans="1:12" ht="18" customHeight="1" x14ac:dyDescent="0.35">
      <c r="A252" s="596">
        <v>129</v>
      </c>
      <c r="B252" s="28" t="s">
        <v>512</v>
      </c>
      <c r="C252" s="670">
        <f>'inventory2020(FOR revised)'!C254</f>
        <v>2.7</v>
      </c>
      <c r="D252" s="670">
        <f>'inventory2020(FOR revised)'!D254</f>
        <v>2.7</v>
      </c>
      <c r="E252" s="670">
        <f>'inventory2020(FOR revised)'!E254</f>
        <v>0</v>
      </c>
      <c r="F252" s="670">
        <f>'inventory2020(FOR revised)'!F254</f>
        <v>0</v>
      </c>
      <c r="G252" s="670">
        <f>'inventory2020(FOR revised)'!G254</f>
        <v>0</v>
      </c>
      <c r="H252" s="670">
        <f>'inventory2020(FOR revised)'!H254</f>
        <v>2.7</v>
      </c>
      <c r="I252" s="670">
        <f>'inventory2020(FOR revised)'!I254</f>
        <v>0</v>
      </c>
      <c r="J252" s="103" t="s">
        <v>33</v>
      </c>
      <c r="K252" s="597" t="s">
        <v>513</v>
      </c>
      <c r="L252" s="28"/>
    </row>
    <row r="253" spans="1:12" s="16" customFormat="1" ht="18" customHeight="1" x14ac:dyDescent="0.35">
      <c r="A253" s="589">
        <v>156</v>
      </c>
      <c r="B253" s="24" t="s">
        <v>130</v>
      </c>
      <c r="C253" s="670">
        <f>'inventory2020(FOR revised)'!C255</f>
        <v>20</v>
      </c>
      <c r="D253" s="670">
        <f>'inventory2020(FOR revised)'!D255</f>
        <v>20</v>
      </c>
      <c r="E253" s="670">
        <f>'inventory2020(FOR revised)'!E255</f>
        <v>8.2050000000000001</v>
      </c>
      <c r="F253" s="670">
        <f>'inventory2020(FOR revised)'!F255</f>
        <v>0</v>
      </c>
      <c r="G253" s="670">
        <f>'inventory2020(FOR revised)'!G255</f>
        <v>0</v>
      </c>
      <c r="H253" s="670">
        <f>'inventory2020(FOR revised)'!H255</f>
        <v>11.795</v>
      </c>
      <c r="I253" s="670">
        <f>'inventory2020(FOR revised)'!I255</f>
        <v>0</v>
      </c>
      <c r="J253" s="106" t="s">
        <v>10</v>
      </c>
      <c r="K253" s="591" t="s">
        <v>514</v>
      </c>
      <c r="L253" s="24"/>
    </row>
    <row r="254" spans="1:12" ht="18" customHeight="1" x14ac:dyDescent="0.35">
      <c r="A254" s="596">
        <v>157</v>
      </c>
      <c r="B254" s="28" t="s">
        <v>515</v>
      </c>
      <c r="C254" s="670">
        <f>'inventory2020(FOR revised)'!C256</f>
        <v>7.5550000000000006</v>
      </c>
      <c r="D254" s="670">
        <f>'inventory2020(FOR revised)'!D256</f>
        <v>8.6999999999999993</v>
      </c>
      <c r="E254" s="670">
        <f>'inventory2020(FOR revised)'!E256</f>
        <v>0</v>
      </c>
      <c r="F254" s="670">
        <f>'inventory2020(FOR revised)'!F256</f>
        <v>0</v>
      </c>
      <c r="G254" s="670">
        <f>'inventory2020(FOR revised)'!G256</f>
        <v>0</v>
      </c>
      <c r="H254" s="670">
        <f>'inventory2020(FOR revised)'!H256</f>
        <v>7.5550000000000006</v>
      </c>
      <c r="I254" s="670">
        <f>'inventory2020(FOR revised)'!I256</f>
        <v>0</v>
      </c>
      <c r="J254" s="103" t="s">
        <v>12</v>
      </c>
      <c r="K254" s="597"/>
      <c r="L254" s="28" t="s">
        <v>837</v>
      </c>
    </row>
    <row r="255" spans="1:12" ht="18" customHeight="1" x14ac:dyDescent="0.35">
      <c r="A255" s="596">
        <v>158</v>
      </c>
      <c r="B255" s="28" t="s">
        <v>517</v>
      </c>
      <c r="C255" s="670">
        <f>'inventory2020(FOR revised)'!C257</f>
        <v>7.2</v>
      </c>
      <c r="D255" s="670">
        <f>'inventory2020(FOR revised)'!D257</f>
        <v>7.1999999999999993</v>
      </c>
      <c r="E255" s="670">
        <f>'inventory2020(FOR revised)'!E257</f>
        <v>4.08</v>
      </c>
      <c r="F255" s="670">
        <f>'inventory2020(FOR revised)'!F257</f>
        <v>0</v>
      </c>
      <c r="G255" s="670">
        <f>'inventory2020(FOR revised)'!G257</f>
        <v>3.12</v>
      </c>
      <c r="H255" s="670">
        <f>'inventory2020(FOR revised)'!H257</f>
        <v>0</v>
      </c>
      <c r="I255" s="670">
        <f>'inventory2020(FOR revised)'!I257</f>
        <v>0</v>
      </c>
      <c r="J255" s="103" t="s">
        <v>33</v>
      </c>
      <c r="K255" s="597"/>
      <c r="L255" s="28" t="s">
        <v>837</v>
      </c>
    </row>
    <row r="256" spans="1:12" ht="18" customHeight="1" x14ac:dyDescent="0.35">
      <c r="A256" s="596">
        <v>159</v>
      </c>
      <c r="B256" s="28" t="s">
        <v>518</v>
      </c>
      <c r="C256" s="670">
        <f>'inventory2020(FOR revised)'!C258</f>
        <v>4.8</v>
      </c>
      <c r="D256" s="670">
        <f>'inventory2020(FOR revised)'!D258</f>
        <v>4.8</v>
      </c>
      <c r="E256" s="670">
        <f>'inventory2020(FOR revised)'!E258</f>
        <v>0</v>
      </c>
      <c r="F256" s="670">
        <f>'inventory2020(FOR revised)'!F258</f>
        <v>0</v>
      </c>
      <c r="G256" s="670">
        <f>'inventory2020(FOR revised)'!G258</f>
        <v>0</v>
      </c>
      <c r="H256" s="670">
        <f>'inventory2020(FOR revised)'!H258</f>
        <v>4.8</v>
      </c>
      <c r="I256" s="670">
        <f>'inventory2020(FOR revised)'!I258</f>
        <v>0</v>
      </c>
      <c r="J256" s="103" t="s">
        <v>33</v>
      </c>
      <c r="K256" s="597"/>
      <c r="L256" s="28" t="s">
        <v>837</v>
      </c>
    </row>
    <row r="257" spans="1:12" ht="18" customHeight="1" x14ac:dyDescent="0.35">
      <c r="A257" s="596">
        <v>130</v>
      </c>
      <c r="B257" s="28" t="s">
        <v>519</v>
      </c>
      <c r="C257" s="670">
        <f>'inventory2020(FOR revised)'!C259</f>
        <v>1.19</v>
      </c>
      <c r="D257" s="670">
        <f>'inventory2020(FOR revised)'!D259</f>
        <v>6</v>
      </c>
      <c r="E257" s="670">
        <f>'inventory2020(FOR revised)'!E259</f>
        <v>0</v>
      </c>
      <c r="F257" s="670">
        <f>'inventory2020(FOR revised)'!F259</f>
        <v>0</v>
      </c>
      <c r="G257" s="670">
        <f>'inventory2020(FOR revised)'!G259</f>
        <v>1.19</v>
      </c>
      <c r="H257" s="670">
        <f>'inventory2020(FOR revised)'!H259</f>
        <v>0</v>
      </c>
      <c r="I257" s="670">
        <f>'inventory2020(FOR revised)'!I259</f>
        <v>0</v>
      </c>
      <c r="J257" s="103" t="str">
        <f>[25]CARRIAGEWAY!$Z$361</f>
        <v>POOR</v>
      </c>
      <c r="K257" s="597" t="s">
        <v>520</v>
      </c>
      <c r="L257" s="28" t="s">
        <v>833</v>
      </c>
    </row>
    <row r="258" spans="1:12" s="16" customFormat="1" ht="18" customHeight="1" x14ac:dyDescent="0.35">
      <c r="A258" s="589">
        <v>131</v>
      </c>
      <c r="B258" s="24" t="s">
        <v>523</v>
      </c>
      <c r="C258" s="670">
        <f>'inventory2020(FOR revised)'!C260</f>
        <v>5.1999999999999993</v>
      </c>
      <c r="D258" s="670">
        <f>'inventory2020(FOR revised)'!D260</f>
        <v>5.2</v>
      </c>
      <c r="E258" s="670">
        <f>'inventory2020(FOR revised)'!E260</f>
        <v>2.0099999999999998</v>
      </c>
      <c r="F258" s="670">
        <f>'inventory2020(FOR revised)'!F260</f>
        <v>0</v>
      </c>
      <c r="G258" s="670">
        <f>'inventory2020(FOR revised)'!G260</f>
        <v>0</v>
      </c>
      <c r="H258" s="670">
        <f>'inventory2020(FOR revised)'!H260</f>
        <v>3.19</v>
      </c>
      <c r="I258" s="670">
        <f>'inventory2020(FOR revised)'!I260</f>
        <v>0</v>
      </c>
      <c r="J258" s="106" t="s">
        <v>12</v>
      </c>
      <c r="K258" s="591"/>
      <c r="L258" s="24"/>
    </row>
    <row r="259" spans="1:12" s="16" customFormat="1" ht="18" customHeight="1" x14ac:dyDescent="0.35">
      <c r="A259" s="589">
        <v>135</v>
      </c>
      <c r="B259" s="24" t="s">
        <v>139</v>
      </c>
      <c r="C259" s="670">
        <f>'inventory2020(FOR revised)'!C261</f>
        <v>4.4000000000000004</v>
      </c>
      <c r="D259" s="670">
        <f>'inventory2020(FOR revised)'!D261</f>
        <v>4.4000000000000004</v>
      </c>
      <c r="E259" s="670">
        <f>'inventory2020(FOR revised)'!E261</f>
        <v>0</v>
      </c>
      <c r="F259" s="670">
        <f>'inventory2020(FOR revised)'!F261</f>
        <v>0</v>
      </c>
      <c r="G259" s="670">
        <f>'inventory2020(FOR revised)'!G261</f>
        <v>0</v>
      </c>
      <c r="H259" s="670">
        <f>'inventory2020(FOR revised)'!H261</f>
        <v>4.4000000000000004</v>
      </c>
      <c r="I259" s="670">
        <f>'inventory2020(FOR revised)'!I261</f>
        <v>0</v>
      </c>
      <c r="J259" s="106" t="s">
        <v>12</v>
      </c>
      <c r="K259" s="591" t="s">
        <v>525</v>
      </c>
      <c r="L259" s="24"/>
    </row>
    <row r="260" spans="1:12" s="16" customFormat="1" ht="18" customHeight="1" x14ac:dyDescent="0.35">
      <c r="A260" s="626"/>
      <c r="B260" s="60"/>
      <c r="C260" s="61">
        <f t="shared" ref="C260:I260" si="14">SUM(C246:C259)</f>
        <v>82.644999999999996</v>
      </c>
      <c r="D260" s="61">
        <f t="shared" si="14"/>
        <v>88.600000000000009</v>
      </c>
      <c r="E260" s="61">
        <f t="shared" si="14"/>
        <v>18.555</v>
      </c>
      <c r="F260" s="61">
        <f t="shared" si="14"/>
        <v>0</v>
      </c>
      <c r="G260" s="61">
        <f t="shared" si="14"/>
        <v>8.01</v>
      </c>
      <c r="H260" s="61">
        <f t="shared" si="14"/>
        <v>56.079999999999991</v>
      </c>
      <c r="I260" s="61">
        <f t="shared" si="14"/>
        <v>0</v>
      </c>
      <c r="J260" s="628"/>
      <c r="K260" s="629"/>
      <c r="L260" s="24"/>
    </row>
    <row r="261" spans="1:12" ht="18" customHeight="1" thickBot="1" x14ac:dyDescent="0.4">
      <c r="A261" s="53" t="s">
        <v>341</v>
      </c>
      <c r="B261" s="34"/>
      <c r="C261" s="31">
        <f>SUM(E261:I261)</f>
        <v>82.644999999999982</v>
      </c>
      <c r="D261" s="630"/>
      <c r="E261" s="31">
        <f>SUM(E246:E259)</f>
        <v>18.555</v>
      </c>
      <c r="F261" s="31">
        <f>SUM(F246:F259)</f>
        <v>0</v>
      </c>
      <c r="G261" s="31">
        <f>SUM(G246:G259)</f>
        <v>8.01</v>
      </c>
      <c r="H261" s="31">
        <f>SUM(H246:H259)</f>
        <v>56.079999999999991</v>
      </c>
      <c r="I261" s="31">
        <f>SUM(I246:I259)</f>
        <v>0</v>
      </c>
      <c r="J261" s="608"/>
      <c r="K261" s="609"/>
      <c r="L261" s="653"/>
    </row>
    <row r="262" spans="1:12" ht="18" customHeight="1" thickBot="1" x14ac:dyDescent="0.4">
      <c r="L262" s="40"/>
    </row>
    <row r="263" spans="1:12" s="1" customFormat="1" x14ac:dyDescent="0.35">
      <c r="A263" s="1217" t="s">
        <v>526</v>
      </c>
      <c r="B263" s="1218"/>
      <c r="C263" s="1218"/>
      <c r="D263" s="1218"/>
      <c r="E263" s="1218"/>
      <c r="F263" s="1218"/>
      <c r="G263" s="1218"/>
      <c r="H263" s="1218"/>
      <c r="I263" s="1218"/>
      <c r="J263" s="1218"/>
      <c r="K263" s="1218"/>
      <c r="L263" s="1219"/>
    </row>
    <row r="264" spans="1:12" s="1" customFormat="1" ht="16" thickBot="1" x14ac:dyDescent="0.4">
      <c r="A264" s="585"/>
      <c r="B264" s="2"/>
      <c r="C264" s="5"/>
      <c r="D264" s="586"/>
      <c r="E264" s="5"/>
      <c r="F264" s="5"/>
      <c r="G264" s="5"/>
      <c r="H264" s="5"/>
      <c r="I264" s="5"/>
      <c r="J264" s="3"/>
      <c r="K264" s="21"/>
      <c r="L264" s="18"/>
    </row>
    <row r="265" spans="1:12" s="1" customFormat="1" ht="21" customHeight="1" x14ac:dyDescent="0.35">
      <c r="A265" s="1206" t="s">
        <v>302</v>
      </c>
      <c r="B265" s="1208" t="s">
        <v>28</v>
      </c>
      <c r="C265" s="1210" t="s">
        <v>343</v>
      </c>
      <c r="D265" s="613"/>
      <c r="E265" s="1212" t="s">
        <v>305</v>
      </c>
      <c r="F265" s="1212"/>
      <c r="G265" s="1212"/>
      <c r="H265" s="1212"/>
      <c r="I265" s="1212"/>
      <c r="J265" s="1208" t="s">
        <v>29</v>
      </c>
      <c r="K265" s="1213" t="s">
        <v>306</v>
      </c>
      <c r="L265" s="1220" t="s">
        <v>307</v>
      </c>
    </row>
    <row r="266" spans="1:12" s="1" customFormat="1" ht="21" customHeight="1" thickBot="1" x14ac:dyDescent="0.4">
      <c r="A266" s="1207"/>
      <c r="B266" s="1209"/>
      <c r="C266" s="1211"/>
      <c r="D266" s="614"/>
      <c r="E266" s="7" t="s">
        <v>308</v>
      </c>
      <c r="F266" s="7" t="s">
        <v>309</v>
      </c>
      <c r="G266" s="7" t="s">
        <v>310</v>
      </c>
      <c r="H266" s="7" t="s">
        <v>311</v>
      </c>
      <c r="I266" s="7" t="s">
        <v>312</v>
      </c>
      <c r="J266" s="1209"/>
      <c r="K266" s="1214"/>
      <c r="L266" s="1221"/>
    </row>
    <row r="267" spans="1:12" s="16" customFormat="1" ht="18" customHeight="1" x14ac:dyDescent="0.35">
      <c r="A267" s="589">
        <v>160</v>
      </c>
      <c r="B267" s="24" t="s">
        <v>527</v>
      </c>
      <c r="C267" s="15">
        <f>SUM(E267:I267)</f>
        <v>28</v>
      </c>
      <c r="D267" s="590">
        <f>'[23]road inventory 2018'!C266</f>
        <v>28</v>
      </c>
      <c r="E267" s="15">
        <v>11.72</v>
      </c>
      <c r="F267" s="15">
        <v>0</v>
      </c>
      <c r="G267" s="15">
        <v>0</v>
      </c>
      <c r="H267" s="15">
        <v>16.28</v>
      </c>
      <c r="I267" s="15">
        <v>0</v>
      </c>
      <c r="J267" s="106" t="s">
        <v>33</v>
      </c>
      <c r="K267" s="591" t="s">
        <v>528</v>
      </c>
      <c r="L267" s="592"/>
    </row>
    <row r="268" spans="1:12" s="16" customFormat="1" ht="18" customHeight="1" x14ac:dyDescent="0.35">
      <c r="A268" s="589">
        <v>161</v>
      </c>
      <c r="B268" s="24" t="s">
        <v>529</v>
      </c>
      <c r="C268" s="15">
        <f t="shared" ref="C268:C277" si="15">SUM(E268:I268)</f>
        <v>1.8</v>
      </c>
      <c r="D268" s="590">
        <f>'[23]road inventory 2018'!C267</f>
        <v>1.8</v>
      </c>
      <c r="E268" s="15">
        <v>1.8</v>
      </c>
      <c r="F268" s="15">
        <v>0</v>
      </c>
      <c r="G268" s="15">
        <v>0</v>
      </c>
      <c r="H268" s="15">
        <v>0</v>
      </c>
      <c r="I268" s="15">
        <v>0</v>
      </c>
      <c r="J268" s="106" t="s">
        <v>12</v>
      </c>
      <c r="K268" s="591" t="s">
        <v>528</v>
      </c>
      <c r="L268" s="24"/>
    </row>
    <row r="269" spans="1:12" s="16" customFormat="1" ht="18" customHeight="1" x14ac:dyDescent="0.35">
      <c r="A269" s="589">
        <v>162</v>
      </c>
      <c r="B269" s="24" t="s">
        <v>530</v>
      </c>
      <c r="C269" s="15">
        <f t="shared" si="15"/>
        <v>1.9</v>
      </c>
      <c r="D269" s="590">
        <f>'[23]road inventory 2018'!C268</f>
        <v>1.9</v>
      </c>
      <c r="E269" s="15">
        <v>0</v>
      </c>
      <c r="F269" s="15">
        <v>0</v>
      </c>
      <c r="G269" s="15">
        <v>0</v>
      </c>
      <c r="H269" s="15">
        <v>1.9</v>
      </c>
      <c r="I269" s="15">
        <v>0</v>
      </c>
      <c r="J269" s="106" t="s">
        <v>33</v>
      </c>
      <c r="K269" s="591" t="s">
        <v>531</v>
      </c>
      <c r="L269" s="24"/>
    </row>
    <row r="270" spans="1:12" ht="18" customHeight="1" x14ac:dyDescent="0.35">
      <c r="A270" s="596">
        <v>163</v>
      </c>
      <c r="B270" s="28" t="s">
        <v>532</v>
      </c>
      <c r="C270" s="15">
        <f t="shared" si="15"/>
        <v>9</v>
      </c>
      <c r="D270" s="590">
        <f>'[23]road inventory 2018'!C269</f>
        <v>9</v>
      </c>
      <c r="E270" s="10">
        <v>0.65</v>
      </c>
      <c r="F270" s="10">
        <v>0</v>
      </c>
      <c r="G270" s="10">
        <v>0</v>
      </c>
      <c r="H270" s="10">
        <v>8.35</v>
      </c>
      <c r="I270" s="10">
        <v>0</v>
      </c>
      <c r="J270" s="103" t="s">
        <v>33</v>
      </c>
      <c r="K270" s="597" t="s">
        <v>533</v>
      </c>
      <c r="L270" s="28"/>
    </row>
    <row r="271" spans="1:12" s="16" customFormat="1" ht="18" customHeight="1" x14ac:dyDescent="0.35">
      <c r="A271" s="589">
        <v>164</v>
      </c>
      <c r="B271" s="24" t="s">
        <v>534</v>
      </c>
      <c r="C271" s="15">
        <f t="shared" si="15"/>
        <v>2.2000000000000002</v>
      </c>
      <c r="D271" s="590">
        <f>'[23]road inventory 2018'!C270</f>
        <v>2.2000000000000002</v>
      </c>
      <c r="E271" s="15">
        <v>0</v>
      </c>
      <c r="F271" s="15">
        <v>0</v>
      </c>
      <c r="G271" s="15">
        <v>0</v>
      </c>
      <c r="H271" s="15">
        <v>2.2000000000000002</v>
      </c>
      <c r="I271" s="15">
        <v>0</v>
      </c>
      <c r="J271" s="106" t="s">
        <v>33</v>
      </c>
      <c r="K271" s="591" t="s">
        <v>535</v>
      </c>
      <c r="L271" s="24"/>
    </row>
    <row r="272" spans="1:12" ht="18" customHeight="1" x14ac:dyDescent="0.35">
      <c r="A272" s="596">
        <v>165</v>
      </c>
      <c r="B272" s="28" t="s">
        <v>536</v>
      </c>
      <c r="C272" s="15">
        <f t="shared" si="15"/>
        <v>3.5</v>
      </c>
      <c r="D272" s="590">
        <f>'[23]road inventory 2018'!C271</f>
        <v>3.5</v>
      </c>
      <c r="E272" s="10">
        <v>0</v>
      </c>
      <c r="F272" s="10">
        <v>0</v>
      </c>
      <c r="G272" s="10">
        <v>0</v>
      </c>
      <c r="H272" s="10">
        <v>3.5</v>
      </c>
      <c r="I272" s="10">
        <v>0</v>
      </c>
      <c r="J272" s="103" t="s">
        <v>33</v>
      </c>
      <c r="K272" s="597" t="s">
        <v>537</v>
      </c>
      <c r="L272" s="28"/>
    </row>
    <row r="273" spans="1:12" s="16" customFormat="1" ht="18" customHeight="1" x14ac:dyDescent="0.35">
      <c r="A273" s="589">
        <v>166</v>
      </c>
      <c r="B273" s="24" t="s">
        <v>538</v>
      </c>
      <c r="C273" s="15">
        <f t="shared" si="15"/>
        <v>2.8</v>
      </c>
      <c r="D273" s="590">
        <f>'[23]road inventory 2018'!C272</f>
        <v>2.8</v>
      </c>
      <c r="E273" s="15">
        <v>0</v>
      </c>
      <c r="F273" s="15">
        <v>0</v>
      </c>
      <c r="G273" s="15">
        <v>0</v>
      </c>
      <c r="H273" s="15">
        <v>2.8</v>
      </c>
      <c r="I273" s="15">
        <v>0</v>
      </c>
      <c r="J273" s="106" t="s">
        <v>12</v>
      </c>
      <c r="K273" s="591" t="s">
        <v>539</v>
      </c>
      <c r="L273" s="24"/>
    </row>
    <row r="274" spans="1:12" ht="18" customHeight="1" x14ac:dyDescent="0.35">
      <c r="A274" s="596">
        <v>167</v>
      </c>
      <c r="B274" s="28" t="s">
        <v>540</v>
      </c>
      <c r="C274" s="15">
        <f t="shared" si="15"/>
        <v>5.5</v>
      </c>
      <c r="D274" s="590">
        <f>'[23]road inventory 2018'!C273</f>
        <v>5.5</v>
      </c>
      <c r="E274" s="10">
        <v>0</v>
      </c>
      <c r="F274" s="10">
        <v>0</v>
      </c>
      <c r="G274" s="10">
        <v>0</v>
      </c>
      <c r="H274" s="10">
        <v>5.5</v>
      </c>
      <c r="I274" s="10">
        <v>0</v>
      </c>
      <c r="J274" s="103" t="s">
        <v>12</v>
      </c>
      <c r="K274" s="597" t="s">
        <v>541</v>
      </c>
      <c r="L274" s="28"/>
    </row>
    <row r="275" spans="1:12" ht="18" customHeight="1" x14ac:dyDescent="0.35">
      <c r="A275" s="596">
        <v>168</v>
      </c>
      <c r="B275" s="28" t="s">
        <v>542</v>
      </c>
      <c r="C275" s="15">
        <f t="shared" si="15"/>
        <v>2.8</v>
      </c>
      <c r="D275" s="590">
        <f>'[23]road inventory 2018'!C274</f>
        <v>2.8</v>
      </c>
      <c r="E275" s="10">
        <v>0</v>
      </c>
      <c r="F275" s="10">
        <v>0</v>
      </c>
      <c r="G275" s="10">
        <v>0</v>
      </c>
      <c r="H275" s="10">
        <v>2.8</v>
      </c>
      <c r="I275" s="10">
        <v>0</v>
      </c>
      <c r="J275" s="103" t="s">
        <v>33</v>
      </c>
      <c r="K275" s="597" t="s">
        <v>543</v>
      </c>
      <c r="L275" s="28"/>
    </row>
    <row r="276" spans="1:12" ht="18" customHeight="1" x14ac:dyDescent="0.35">
      <c r="A276" s="596">
        <v>170</v>
      </c>
      <c r="B276" s="28" t="s">
        <v>544</v>
      </c>
      <c r="C276" s="15">
        <f t="shared" si="15"/>
        <v>1.3</v>
      </c>
      <c r="D276" s="590">
        <f>'[23]road inventory 2018'!C275</f>
        <v>1.3</v>
      </c>
      <c r="E276" s="10">
        <v>0</v>
      </c>
      <c r="F276" s="10">
        <v>0</v>
      </c>
      <c r="G276" s="10">
        <v>0</v>
      </c>
      <c r="H276" s="10">
        <v>1.3</v>
      </c>
      <c r="I276" s="10">
        <v>0</v>
      </c>
      <c r="J276" s="103" t="s">
        <v>33</v>
      </c>
      <c r="K276" s="597" t="s">
        <v>533</v>
      </c>
      <c r="L276" s="28"/>
    </row>
    <row r="277" spans="1:12" ht="18" customHeight="1" x14ac:dyDescent="0.35">
      <c r="A277" s="596">
        <v>169</v>
      </c>
      <c r="B277" s="28" t="s">
        <v>545</v>
      </c>
      <c r="C277" s="15">
        <f t="shared" si="15"/>
        <v>3.2</v>
      </c>
      <c r="D277" s="590">
        <f>'[23]road inventory 2018'!C276</f>
        <v>3.2</v>
      </c>
      <c r="E277" s="10">
        <v>0</v>
      </c>
      <c r="F277" s="10">
        <v>0</v>
      </c>
      <c r="G277" s="10">
        <v>0</v>
      </c>
      <c r="H277" s="10">
        <v>3.2</v>
      </c>
      <c r="I277" s="10">
        <v>0</v>
      </c>
      <c r="J277" s="103" t="s">
        <v>41</v>
      </c>
      <c r="K277" s="597" t="s">
        <v>546</v>
      </c>
      <c r="L277" s="28"/>
    </row>
    <row r="278" spans="1:12" ht="18" customHeight="1" x14ac:dyDescent="0.35">
      <c r="A278" s="635"/>
      <c r="B278" s="40"/>
      <c r="C278" s="41">
        <f>SUM(C267:C277)</f>
        <v>62</v>
      </c>
      <c r="D278" s="41">
        <f t="shared" ref="D278:I278" si="16">SUM(D267:D277)</f>
        <v>62</v>
      </c>
      <c r="E278" s="41">
        <f t="shared" si="16"/>
        <v>14.170000000000002</v>
      </c>
      <c r="F278" s="41">
        <f t="shared" si="16"/>
        <v>0</v>
      </c>
      <c r="G278" s="41">
        <f t="shared" si="16"/>
        <v>0</v>
      </c>
      <c r="H278" s="41">
        <f t="shared" si="16"/>
        <v>47.83</v>
      </c>
      <c r="I278" s="41">
        <f t="shared" si="16"/>
        <v>0</v>
      </c>
      <c r="J278" s="109"/>
      <c r="K278" s="605"/>
      <c r="L278" s="28"/>
    </row>
    <row r="279" spans="1:12" ht="18" customHeight="1" thickBot="1" x14ac:dyDescent="0.4">
      <c r="A279" s="53" t="s">
        <v>341</v>
      </c>
      <c r="B279" s="34"/>
      <c r="C279" s="31">
        <f>SUM(E279:I279)</f>
        <v>62</v>
      </c>
      <c r="D279" s="630"/>
      <c r="E279" s="31">
        <f>SUM(E267:E277)</f>
        <v>14.170000000000002</v>
      </c>
      <c r="F279" s="31">
        <f>SUM(F267:F277)</f>
        <v>0</v>
      </c>
      <c r="G279" s="31">
        <f>SUM(G267:G277)</f>
        <v>0</v>
      </c>
      <c r="H279" s="31">
        <f>SUM(H267:H277)</f>
        <v>47.83</v>
      </c>
      <c r="I279" s="31">
        <f>SUM(I267:I277)</f>
        <v>0</v>
      </c>
      <c r="J279" s="608"/>
      <c r="K279" s="609"/>
      <c r="L279" s="653"/>
    </row>
    <row r="280" spans="1:12" ht="18" customHeight="1" thickBot="1" x14ac:dyDescent="0.4">
      <c r="L280" s="40"/>
    </row>
    <row r="281" spans="1:12" s="1" customFormat="1" x14ac:dyDescent="0.35">
      <c r="A281" s="1217" t="s">
        <v>547</v>
      </c>
      <c r="B281" s="1218"/>
      <c r="C281" s="1218"/>
      <c r="D281" s="1218"/>
      <c r="E281" s="1218"/>
      <c r="F281" s="1218"/>
      <c r="G281" s="1218"/>
      <c r="H281" s="1218"/>
      <c r="I281" s="1218"/>
      <c r="J281" s="1218"/>
      <c r="K281" s="1218"/>
      <c r="L281" s="684"/>
    </row>
    <row r="282" spans="1:12" s="1" customFormat="1" ht="16" thickBot="1" x14ac:dyDescent="0.4">
      <c r="A282" s="585"/>
      <c r="B282" s="2"/>
      <c r="C282" s="5"/>
      <c r="D282" s="586"/>
      <c r="E282" s="5"/>
      <c r="F282" s="5"/>
      <c r="G282" s="5"/>
      <c r="H282" s="5"/>
      <c r="I282" s="5"/>
      <c r="J282" s="3"/>
      <c r="K282" s="21"/>
      <c r="L282" s="97"/>
    </row>
    <row r="283" spans="1:12" s="1" customFormat="1" ht="21" customHeight="1" x14ac:dyDescent="0.35">
      <c r="A283" s="1206" t="s">
        <v>302</v>
      </c>
      <c r="B283" s="1208" t="s">
        <v>28</v>
      </c>
      <c r="C283" s="1210" t="s">
        <v>343</v>
      </c>
      <c r="D283" s="613"/>
      <c r="E283" s="1212" t="s">
        <v>305</v>
      </c>
      <c r="F283" s="1212"/>
      <c r="G283" s="1212"/>
      <c r="H283" s="1212"/>
      <c r="I283" s="1212"/>
      <c r="J283" s="1208" t="s">
        <v>29</v>
      </c>
      <c r="K283" s="1213" t="s">
        <v>306</v>
      </c>
      <c r="L283" s="1222" t="s">
        <v>307</v>
      </c>
    </row>
    <row r="284" spans="1:12" s="1" customFormat="1" ht="21" customHeight="1" thickBot="1" x14ac:dyDescent="0.4">
      <c r="A284" s="1207"/>
      <c r="B284" s="1209"/>
      <c r="C284" s="1211"/>
      <c r="D284" s="614"/>
      <c r="E284" s="7" t="s">
        <v>308</v>
      </c>
      <c r="F284" s="7" t="s">
        <v>309</v>
      </c>
      <c r="G284" s="7" t="s">
        <v>310</v>
      </c>
      <c r="H284" s="7" t="s">
        <v>311</v>
      </c>
      <c r="I284" s="7" t="s">
        <v>312</v>
      </c>
      <c r="J284" s="1209"/>
      <c r="K284" s="1214"/>
      <c r="L284" s="1223"/>
    </row>
    <row r="285" spans="1:12" ht="28.5" customHeight="1" x14ac:dyDescent="0.35">
      <c r="A285" s="596">
        <v>196</v>
      </c>
      <c r="B285" s="28" t="s">
        <v>548</v>
      </c>
      <c r="C285" s="10">
        <f>SUM(E285:I285)</f>
        <v>12.69</v>
      </c>
      <c r="D285" s="10">
        <f>'[23]road inventory 2018'!C283</f>
        <v>12.700000000000001</v>
      </c>
      <c r="E285" s="10">
        <v>8.1999999999999993</v>
      </c>
      <c r="F285" s="10">
        <v>0</v>
      </c>
      <c r="G285" s="10">
        <v>0</v>
      </c>
      <c r="H285" s="10">
        <v>4.49</v>
      </c>
      <c r="I285" s="10">
        <v>0</v>
      </c>
      <c r="J285" s="103" t="s">
        <v>12</v>
      </c>
      <c r="K285" s="597" t="s">
        <v>549</v>
      </c>
      <c r="L285" s="112" t="s">
        <v>838</v>
      </c>
    </row>
    <row r="286" spans="1:12" s="16" customFormat="1" ht="18" customHeight="1" x14ac:dyDescent="0.35">
      <c r="A286" s="589">
        <v>197</v>
      </c>
      <c r="B286" s="24" t="s">
        <v>550</v>
      </c>
      <c r="C286" s="10">
        <f t="shared" ref="C286:C292" si="17">SUM(E286:I286)</f>
        <v>4.9400000000000004</v>
      </c>
      <c r="D286" s="590">
        <f>'[23]road inventory 2018'!C284</f>
        <v>6.6</v>
      </c>
      <c r="E286" s="15">
        <v>4.9400000000000004</v>
      </c>
      <c r="F286" s="15">
        <v>0</v>
      </c>
      <c r="G286" s="15">
        <v>0</v>
      </c>
      <c r="H286" s="15">
        <v>0</v>
      </c>
      <c r="I286" s="15">
        <v>0</v>
      </c>
      <c r="J286" s="106" t="s">
        <v>12</v>
      </c>
      <c r="K286" s="591" t="s">
        <v>551</v>
      </c>
      <c r="L286" s="24"/>
    </row>
    <row r="287" spans="1:12" ht="18" customHeight="1" x14ac:dyDescent="0.35">
      <c r="A287" s="596">
        <v>199</v>
      </c>
      <c r="B287" s="28" t="s">
        <v>552</v>
      </c>
      <c r="C287" s="10">
        <f t="shared" si="17"/>
        <v>4.13</v>
      </c>
      <c r="D287" s="590">
        <f>'[23]road inventory 2018'!C285</f>
        <v>5</v>
      </c>
      <c r="E287" s="10">
        <v>0</v>
      </c>
      <c r="F287" s="10">
        <v>0</v>
      </c>
      <c r="G287" s="10">
        <v>0</v>
      </c>
      <c r="H287" s="10">
        <v>4.13</v>
      </c>
      <c r="I287" s="10">
        <v>0</v>
      </c>
      <c r="J287" s="103" t="s">
        <v>33</v>
      </c>
      <c r="K287" s="597" t="s">
        <v>553</v>
      </c>
      <c r="L287" s="28"/>
    </row>
    <row r="288" spans="1:12" s="16" customFormat="1" ht="18" customHeight="1" x14ac:dyDescent="0.35">
      <c r="A288" s="589">
        <v>200</v>
      </c>
      <c r="B288" s="24" t="s">
        <v>291</v>
      </c>
      <c r="C288" s="10">
        <f t="shared" si="17"/>
        <v>1.1000000000000001</v>
      </c>
      <c r="D288" s="590">
        <f>'[23]road inventory 2018'!C286</f>
        <v>1.1000000000000001</v>
      </c>
      <c r="E288" s="15">
        <v>1.1000000000000001</v>
      </c>
      <c r="F288" s="15">
        <v>0</v>
      </c>
      <c r="G288" s="15">
        <v>0</v>
      </c>
      <c r="H288" s="15">
        <v>0</v>
      </c>
      <c r="I288" s="15">
        <v>0</v>
      </c>
      <c r="J288" s="106" t="s">
        <v>10</v>
      </c>
      <c r="K288" s="591" t="s">
        <v>554</v>
      </c>
      <c r="L288" s="24"/>
    </row>
    <row r="289" spans="1:12" ht="18" customHeight="1" x14ac:dyDescent="0.35">
      <c r="A289" s="596">
        <v>201</v>
      </c>
      <c r="B289" s="28" t="s">
        <v>555</v>
      </c>
      <c r="C289" s="10">
        <f t="shared" si="17"/>
        <v>4.97</v>
      </c>
      <c r="D289" s="590">
        <f>'[23]road inventory 2018'!C287</f>
        <v>5.2</v>
      </c>
      <c r="E289" s="10">
        <v>4.97</v>
      </c>
      <c r="F289" s="10">
        <v>0</v>
      </c>
      <c r="G289" s="10">
        <v>0</v>
      </c>
      <c r="H289" s="10">
        <v>0</v>
      </c>
      <c r="I289" s="10">
        <v>0</v>
      </c>
      <c r="J289" s="103" t="s">
        <v>12</v>
      </c>
      <c r="K289" s="597" t="s">
        <v>556</v>
      </c>
      <c r="L289" s="28"/>
    </row>
    <row r="290" spans="1:12" ht="31" x14ac:dyDescent="0.35">
      <c r="A290" s="596">
        <v>202</v>
      </c>
      <c r="B290" s="28" t="s">
        <v>557</v>
      </c>
      <c r="C290" s="10">
        <f t="shared" si="17"/>
        <v>5.3000000000000007</v>
      </c>
      <c r="D290" s="10">
        <f>'[23]road inventory 2018'!C288</f>
        <v>5.3000000000000007</v>
      </c>
      <c r="E290" s="10">
        <v>0.9</v>
      </c>
      <c r="F290" s="10">
        <v>0</v>
      </c>
      <c r="G290" s="10">
        <v>0</v>
      </c>
      <c r="H290" s="10">
        <v>4.4000000000000004</v>
      </c>
      <c r="I290" s="10">
        <v>0</v>
      </c>
      <c r="J290" s="103" t="s">
        <v>33</v>
      </c>
      <c r="K290" s="597" t="s">
        <v>556</v>
      </c>
      <c r="L290" s="28" t="str">
        <f>L285</f>
        <v>FOR VERIFICATION</v>
      </c>
    </row>
    <row r="291" spans="1:12" s="16" customFormat="1" ht="18" customHeight="1" x14ac:dyDescent="0.35">
      <c r="A291" s="589">
        <v>203</v>
      </c>
      <c r="B291" s="24" t="s">
        <v>558</v>
      </c>
      <c r="C291" s="10">
        <f t="shared" si="17"/>
        <v>4</v>
      </c>
      <c r="D291" s="590">
        <f>'[23]road inventory 2018'!C289</f>
        <v>3.8</v>
      </c>
      <c r="E291" s="15">
        <v>2.5499999999999998</v>
      </c>
      <c r="F291" s="15">
        <v>1.45</v>
      </c>
      <c r="G291" s="15">
        <v>0</v>
      </c>
      <c r="H291" s="15">
        <v>0</v>
      </c>
      <c r="I291" s="15">
        <v>0</v>
      </c>
      <c r="J291" s="106" t="s">
        <v>839</v>
      </c>
      <c r="K291" s="591" t="s">
        <v>559</v>
      </c>
      <c r="L291" s="24"/>
    </row>
    <row r="292" spans="1:12" ht="18" customHeight="1" x14ac:dyDescent="0.35">
      <c r="A292" s="596">
        <v>228</v>
      </c>
      <c r="B292" s="28" t="s">
        <v>141</v>
      </c>
      <c r="C292" s="10">
        <f t="shared" si="17"/>
        <v>8.11</v>
      </c>
      <c r="D292" s="590">
        <f>'[23]road inventory 2018'!C290</f>
        <v>9.3000000000000007</v>
      </c>
      <c r="E292" s="10">
        <v>8</v>
      </c>
      <c r="F292" s="10">
        <v>0</v>
      </c>
      <c r="G292" s="10">
        <v>0.11</v>
      </c>
      <c r="H292" s="10">
        <v>0</v>
      </c>
      <c r="I292" s="10">
        <v>0</v>
      </c>
      <c r="J292" s="103" t="s">
        <v>33</v>
      </c>
      <c r="K292" s="597"/>
      <c r="L292" s="28"/>
    </row>
    <row r="293" spans="1:12" ht="18" customHeight="1" x14ac:dyDescent="0.35">
      <c r="A293" s="596"/>
      <c r="B293" s="28"/>
      <c r="C293" s="10">
        <f>SUM(C285:C292)</f>
        <v>45.239999999999995</v>
      </c>
      <c r="D293" s="10">
        <f t="shared" ref="D293:I293" si="18">SUM(D285:D292)</f>
        <v>49</v>
      </c>
      <c r="E293" s="10">
        <f t="shared" si="18"/>
        <v>30.66</v>
      </c>
      <c r="F293" s="10">
        <f t="shared" si="18"/>
        <v>1.45</v>
      </c>
      <c r="G293" s="10">
        <f t="shared" si="18"/>
        <v>0.11</v>
      </c>
      <c r="H293" s="10">
        <f t="shared" si="18"/>
        <v>13.020000000000001</v>
      </c>
      <c r="I293" s="10">
        <f t="shared" si="18"/>
        <v>0</v>
      </c>
      <c r="J293" s="103"/>
      <c r="K293" s="597"/>
      <c r="L293" s="28"/>
    </row>
    <row r="294" spans="1:12" ht="18" customHeight="1" thickBot="1" x14ac:dyDescent="0.4">
      <c r="A294" s="53" t="s">
        <v>341</v>
      </c>
      <c r="B294" s="34"/>
      <c r="C294" s="31">
        <f>SUM(E294:I294)</f>
        <v>45.24</v>
      </c>
      <c r="D294" s="630"/>
      <c r="E294" s="31">
        <f>SUM(E285:E292)</f>
        <v>30.66</v>
      </c>
      <c r="F294" s="31">
        <f>SUM(F285:F292)</f>
        <v>1.45</v>
      </c>
      <c r="G294" s="31">
        <f>SUM(G285:G292)</f>
        <v>0.11</v>
      </c>
      <c r="H294" s="31">
        <f>SUM(H285:H292)</f>
        <v>13.020000000000001</v>
      </c>
      <c r="I294" s="31">
        <f>SUM(I285:I292)</f>
        <v>0</v>
      </c>
      <c r="J294" s="608"/>
      <c r="K294" s="609"/>
      <c r="L294" s="653"/>
    </row>
    <row r="295" spans="1:12" x14ac:dyDescent="0.35">
      <c r="L295" s="28"/>
    </row>
    <row r="296" spans="1:12" s="1" customFormat="1" x14ac:dyDescent="0.35">
      <c r="A296" s="1203" t="s">
        <v>560</v>
      </c>
      <c r="B296" s="1204"/>
      <c r="C296" s="1204"/>
      <c r="D296" s="1204"/>
      <c r="E296" s="1204"/>
      <c r="F296" s="1204"/>
      <c r="G296" s="1204"/>
      <c r="H296" s="1204"/>
      <c r="I296" s="1204"/>
      <c r="J296" s="1204"/>
      <c r="K296" s="1204"/>
      <c r="L296" s="1205"/>
    </row>
    <row r="297" spans="1:12" s="1" customFormat="1" ht="16" thickBot="1" x14ac:dyDescent="0.4">
      <c r="A297" s="585"/>
      <c r="B297" s="2"/>
      <c r="C297" s="5"/>
      <c r="D297" s="586"/>
      <c r="E297" s="5"/>
      <c r="F297" s="5"/>
      <c r="G297" s="5"/>
      <c r="H297" s="5"/>
      <c r="I297" s="5"/>
      <c r="J297" s="3"/>
      <c r="K297" s="21"/>
      <c r="L297" s="653"/>
    </row>
    <row r="298" spans="1:12" s="1" customFormat="1" ht="21" customHeight="1" x14ac:dyDescent="0.35">
      <c r="A298" s="1206" t="s">
        <v>302</v>
      </c>
      <c r="B298" s="1208" t="s">
        <v>28</v>
      </c>
      <c r="C298" s="1210" t="s">
        <v>343</v>
      </c>
      <c r="D298" s="613"/>
      <c r="E298" s="1212" t="s">
        <v>305</v>
      </c>
      <c r="F298" s="1212"/>
      <c r="G298" s="1212"/>
      <c r="H298" s="1212"/>
      <c r="I298" s="1212"/>
      <c r="J298" s="1208" t="s">
        <v>29</v>
      </c>
      <c r="K298" s="1213" t="s">
        <v>306</v>
      </c>
      <c r="L298" s="1215" t="str">
        <f>L283</f>
        <v>REMARKS</v>
      </c>
    </row>
    <row r="299" spans="1:12" s="1" customFormat="1" ht="21" customHeight="1" thickBot="1" x14ac:dyDescent="0.4">
      <c r="A299" s="1207"/>
      <c r="B299" s="1209"/>
      <c r="C299" s="1211"/>
      <c r="D299" s="614"/>
      <c r="E299" s="7" t="s">
        <v>308</v>
      </c>
      <c r="F299" s="7" t="s">
        <v>309</v>
      </c>
      <c r="G299" s="7" t="s">
        <v>310</v>
      </c>
      <c r="H299" s="7" t="s">
        <v>311</v>
      </c>
      <c r="I299" s="7" t="s">
        <v>312</v>
      </c>
      <c r="J299" s="1209"/>
      <c r="K299" s="1214"/>
      <c r="L299" s="1216"/>
    </row>
    <row r="300" spans="1:12" ht="18" customHeight="1" x14ac:dyDescent="0.35">
      <c r="A300" s="596">
        <v>204</v>
      </c>
      <c r="B300" s="28" t="s">
        <v>561</v>
      </c>
      <c r="C300" s="10">
        <f>SUM(E300:I300)</f>
        <v>15.87</v>
      </c>
      <c r="D300" s="10">
        <f>'[23]road inventory 2018'!C298</f>
        <v>15.87</v>
      </c>
      <c r="E300" s="10">
        <v>6.92</v>
      </c>
      <c r="F300" s="10">
        <v>2.5499999999999998</v>
      </c>
      <c r="G300" s="10">
        <v>0</v>
      </c>
      <c r="H300" s="10">
        <v>6.4</v>
      </c>
      <c r="I300" s="10">
        <v>0</v>
      </c>
      <c r="J300" s="103" t="s">
        <v>33</v>
      </c>
      <c r="K300" s="597" t="s">
        <v>562</v>
      </c>
      <c r="L300" s="28" t="str">
        <f>L290</f>
        <v>FOR VERIFICATION</v>
      </c>
    </row>
    <row r="301" spans="1:12" s="16" customFormat="1" ht="18" customHeight="1" x14ac:dyDescent="0.35">
      <c r="A301" s="589">
        <v>205</v>
      </c>
      <c r="B301" s="24" t="s">
        <v>563</v>
      </c>
      <c r="C301" s="10">
        <f t="shared" ref="C301:C310" si="19">SUM(E301:I301)</f>
        <v>0.37</v>
      </c>
      <c r="D301" s="615">
        <f>'[23]road inventory 2018'!C299</f>
        <v>0.37</v>
      </c>
      <c r="E301" s="15">
        <v>0.37</v>
      </c>
      <c r="F301" s="15">
        <v>0</v>
      </c>
      <c r="G301" s="15">
        <v>0</v>
      </c>
      <c r="H301" s="15">
        <v>0</v>
      </c>
      <c r="I301" s="15">
        <v>0</v>
      </c>
      <c r="J301" s="106" t="s">
        <v>10</v>
      </c>
      <c r="K301" s="591" t="s">
        <v>564</v>
      </c>
      <c r="L301" s="24"/>
    </row>
    <row r="302" spans="1:12" s="16" customFormat="1" ht="31" x14ac:dyDescent="0.35">
      <c r="A302" s="589">
        <v>213</v>
      </c>
      <c r="B302" s="24" t="s">
        <v>293</v>
      </c>
      <c r="C302" s="10">
        <f t="shared" si="19"/>
        <v>2.8499999999999996</v>
      </c>
      <c r="D302" s="615">
        <f>'[23]road inventory 2018'!C300</f>
        <v>1.8599999999999999</v>
      </c>
      <c r="E302" s="15">
        <v>2.11</v>
      </c>
      <c r="F302" s="15">
        <v>0.74</v>
      </c>
      <c r="G302" s="15">
        <v>0</v>
      </c>
      <c r="H302" s="15">
        <v>0</v>
      </c>
      <c r="I302" s="15">
        <v>0</v>
      </c>
      <c r="J302" s="106" t="s">
        <v>10</v>
      </c>
      <c r="K302" s="591" t="s">
        <v>565</v>
      </c>
      <c r="L302" s="24"/>
    </row>
    <row r="303" spans="1:12" ht="18" customHeight="1" x14ac:dyDescent="0.35">
      <c r="A303" s="596">
        <v>206</v>
      </c>
      <c r="B303" s="28" t="s">
        <v>295</v>
      </c>
      <c r="C303" s="10">
        <f t="shared" si="19"/>
        <v>1.94</v>
      </c>
      <c r="D303" s="615">
        <f>'[23]road inventory 2018'!C301</f>
        <v>2</v>
      </c>
      <c r="E303" s="10">
        <v>1.94</v>
      </c>
      <c r="F303" s="10">
        <v>0</v>
      </c>
      <c r="G303" s="10">
        <v>0</v>
      </c>
      <c r="H303" s="10">
        <v>0</v>
      </c>
      <c r="I303" s="10">
        <v>0</v>
      </c>
      <c r="J303" s="103" t="s">
        <v>10</v>
      </c>
      <c r="K303" s="597" t="s">
        <v>566</v>
      </c>
      <c r="L303" s="28"/>
    </row>
    <row r="304" spans="1:12" ht="31" x14ac:dyDescent="0.35">
      <c r="A304" s="596">
        <v>207</v>
      </c>
      <c r="B304" s="28" t="s">
        <v>292</v>
      </c>
      <c r="C304" s="10">
        <f t="shared" si="19"/>
        <v>2.0099999999999998</v>
      </c>
      <c r="D304" s="615">
        <f>'[23]road inventory 2018'!C302</f>
        <v>3.38</v>
      </c>
      <c r="E304" s="10">
        <v>0</v>
      </c>
      <c r="F304" s="10">
        <v>0</v>
      </c>
      <c r="G304" s="10">
        <v>0</v>
      </c>
      <c r="H304" s="10">
        <v>0</v>
      </c>
      <c r="I304" s="10">
        <v>2.0099999999999998</v>
      </c>
      <c r="J304" s="103" t="s">
        <v>10</v>
      </c>
      <c r="K304" s="597" t="s">
        <v>567</v>
      </c>
      <c r="L304" s="28"/>
    </row>
    <row r="305" spans="1:12" ht="18" customHeight="1" thickBot="1" x14ac:dyDescent="0.4">
      <c r="A305" s="686">
        <v>229</v>
      </c>
      <c r="B305" s="687" t="s">
        <v>568</v>
      </c>
      <c r="C305" s="10">
        <f t="shared" si="19"/>
        <v>0.1</v>
      </c>
      <c r="D305" s="10">
        <f>'[23]road inventory 2018'!C303</f>
        <v>0.1</v>
      </c>
      <c r="E305" s="688">
        <v>0.1</v>
      </c>
      <c r="F305" s="688">
        <v>0</v>
      </c>
      <c r="G305" s="688">
        <v>0</v>
      </c>
      <c r="H305" s="688">
        <v>0</v>
      </c>
      <c r="I305" s="688">
        <v>0</v>
      </c>
      <c r="J305" s="643" t="s">
        <v>33</v>
      </c>
      <c r="K305" s="644" t="s">
        <v>569</v>
      </c>
      <c r="L305" s="28" t="str">
        <f>L290</f>
        <v>FOR VERIFICATION</v>
      </c>
    </row>
    <row r="306" spans="1:12" ht="31" x14ac:dyDescent="0.35">
      <c r="A306" s="596">
        <v>215</v>
      </c>
      <c r="B306" s="28" t="s">
        <v>570</v>
      </c>
      <c r="C306" s="10">
        <f t="shared" si="19"/>
        <v>3.8</v>
      </c>
      <c r="D306" s="10">
        <f>'[23]road inventory 2018'!C307</f>
        <v>3.8</v>
      </c>
      <c r="E306" s="10">
        <v>0</v>
      </c>
      <c r="F306" s="10">
        <v>0</v>
      </c>
      <c r="G306" s="10">
        <v>0</v>
      </c>
      <c r="H306" s="10">
        <v>3.8</v>
      </c>
      <c r="I306" s="10">
        <v>0</v>
      </c>
      <c r="J306" s="103" t="s">
        <v>33</v>
      </c>
      <c r="K306" s="597" t="s">
        <v>571</v>
      </c>
      <c r="L306" s="28" t="str">
        <f>L300</f>
        <v>FOR VERIFICATION</v>
      </c>
    </row>
    <row r="307" spans="1:12" ht="18" customHeight="1" x14ac:dyDescent="0.35">
      <c r="A307" s="596">
        <v>208</v>
      </c>
      <c r="B307" s="28" t="s">
        <v>572</v>
      </c>
      <c r="C307" s="10">
        <f t="shared" si="19"/>
        <v>4.3</v>
      </c>
      <c r="D307" s="10">
        <f>'[23]road inventory 2018'!C308</f>
        <v>4.3</v>
      </c>
      <c r="E307" s="10">
        <v>0</v>
      </c>
      <c r="F307" s="10">
        <v>0</v>
      </c>
      <c r="G307" s="10">
        <v>0</v>
      </c>
      <c r="H307" s="10">
        <v>4.3</v>
      </c>
      <c r="I307" s="10">
        <v>0</v>
      </c>
      <c r="J307" s="103" t="s">
        <v>33</v>
      </c>
      <c r="K307" s="597" t="s">
        <v>573</v>
      </c>
      <c r="L307" s="28" t="str">
        <f>L300</f>
        <v>FOR VERIFICATION</v>
      </c>
    </row>
    <row r="308" spans="1:12" ht="18" customHeight="1" x14ac:dyDescent="0.35">
      <c r="A308" s="596">
        <v>209</v>
      </c>
      <c r="B308" s="28" t="s">
        <v>294</v>
      </c>
      <c r="C308" s="10">
        <f t="shared" si="19"/>
        <v>1.92</v>
      </c>
      <c r="D308" s="10">
        <f>'[23]road inventory 2018'!C309</f>
        <v>2.6</v>
      </c>
      <c r="E308" s="10">
        <v>1.92</v>
      </c>
      <c r="F308" s="10">
        <v>0</v>
      </c>
      <c r="G308" s="10">
        <v>0</v>
      </c>
      <c r="H308" s="10">
        <v>0</v>
      </c>
      <c r="I308" s="10">
        <v>0</v>
      </c>
      <c r="J308" s="103" t="s">
        <v>33</v>
      </c>
      <c r="K308" s="597" t="s">
        <v>574</v>
      </c>
      <c r="L308" s="28"/>
    </row>
    <row r="309" spans="1:12" ht="18" customHeight="1" x14ac:dyDescent="0.35">
      <c r="A309" s="596">
        <v>210</v>
      </c>
      <c r="B309" s="28" t="s">
        <v>575</v>
      </c>
      <c r="C309" s="10">
        <f t="shared" si="19"/>
        <v>0.8</v>
      </c>
      <c r="D309" s="10">
        <f>'[23]road inventory 2018'!C310</f>
        <v>0.8</v>
      </c>
      <c r="E309" s="10">
        <v>0.8</v>
      </c>
      <c r="F309" s="10">
        <v>0</v>
      </c>
      <c r="G309" s="10">
        <v>0</v>
      </c>
      <c r="H309" s="10">
        <v>0</v>
      </c>
      <c r="I309" s="10">
        <v>0</v>
      </c>
      <c r="J309" s="103" t="s">
        <v>12</v>
      </c>
      <c r="K309" s="597" t="s">
        <v>576</v>
      </c>
      <c r="L309" s="28" t="str">
        <f>L300</f>
        <v>FOR VERIFICATION</v>
      </c>
    </row>
    <row r="310" spans="1:12" ht="18" customHeight="1" x14ac:dyDescent="0.35">
      <c r="A310" s="596">
        <v>211</v>
      </c>
      <c r="B310" s="28" t="s">
        <v>577</v>
      </c>
      <c r="C310" s="10">
        <f t="shared" si="19"/>
        <v>0.85</v>
      </c>
      <c r="D310" s="10">
        <f>'[23]road inventory 2018'!C311</f>
        <v>0.7</v>
      </c>
      <c r="E310" s="10">
        <v>0.85</v>
      </c>
      <c r="F310" s="10">
        <v>0</v>
      </c>
      <c r="G310" s="10">
        <v>0</v>
      </c>
      <c r="H310" s="10">
        <v>0</v>
      </c>
      <c r="I310" s="10">
        <v>0</v>
      </c>
      <c r="J310" s="103" t="s">
        <v>10</v>
      </c>
      <c r="K310" s="597" t="s">
        <v>578</v>
      </c>
      <c r="L310" s="28"/>
    </row>
    <row r="311" spans="1:12" s="16" customFormat="1" ht="18" customHeight="1" x14ac:dyDescent="0.35">
      <c r="A311" s="626"/>
      <c r="B311" s="60"/>
      <c r="C311" s="61">
        <f t="shared" ref="C311:I311" si="20">SUM(C300:C310)</f>
        <v>34.81</v>
      </c>
      <c r="D311" s="61">
        <f t="shared" si="20"/>
        <v>35.78</v>
      </c>
      <c r="E311" s="61">
        <f t="shared" si="20"/>
        <v>15.01</v>
      </c>
      <c r="F311" s="61">
        <f t="shared" si="20"/>
        <v>3.29</v>
      </c>
      <c r="G311" s="61">
        <f t="shared" si="20"/>
        <v>0</v>
      </c>
      <c r="H311" s="61">
        <f t="shared" si="20"/>
        <v>14.5</v>
      </c>
      <c r="I311" s="61">
        <f t="shared" si="20"/>
        <v>2.0099999999999998</v>
      </c>
      <c r="J311" s="628"/>
      <c r="K311" s="629"/>
      <c r="L311" s="24"/>
    </row>
    <row r="312" spans="1:12" ht="18" customHeight="1" thickBot="1" x14ac:dyDescent="0.4">
      <c r="A312" s="53" t="s">
        <v>341</v>
      </c>
      <c r="B312" s="34"/>
      <c r="C312" s="31">
        <f>SUM(E312:I312)</f>
        <v>34.809999999999995</v>
      </c>
      <c r="D312" s="630"/>
      <c r="E312" s="31">
        <f>SUM(E300:E310)</f>
        <v>15.01</v>
      </c>
      <c r="F312" s="31">
        <f>SUM(F300:F310)</f>
        <v>3.29</v>
      </c>
      <c r="G312" s="31">
        <f>SUM(G300:G310)</f>
        <v>0</v>
      </c>
      <c r="H312" s="31">
        <f>SUM(H300:H310)</f>
        <v>14.5</v>
      </c>
      <c r="I312" s="31">
        <f>SUM(I300:I310)</f>
        <v>2.0099999999999998</v>
      </c>
      <c r="J312" s="608"/>
      <c r="K312" s="609"/>
      <c r="L312" s="653"/>
    </row>
    <row r="313" spans="1:12" ht="18" customHeight="1" x14ac:dyDescent="0.35">
      <c r="L313" s="28"/>
    </row>
    <row r="314" spans="1:12" s="1" customFormat="1" x14ac:dyDescent="0.35">
      <c r="A314" s="1203" t="s">
        <v>579</v>
      </c>
      <c r="B314" s="1204"/>
      <c r="C314" s="1204"/>
      <c r="D314" s="1204"/>
      <c r="E314" s="1204"/>
      <c r="F314" s="1204"/>
      <c r="G314" s="1204"/>
      <c r="H314" s="1204"/>
      <c r="I314" s="1204"/>
      <c r="J314" s="1204"/>
      <c r="K314" s="1204"/>
      <c r="L314" s="1205"/>
    </row>
    <row r="315" spans="1:12" s="1" customFormat="1" ht="16" thickBot="1" x14ac:dyDescent="0.4">
      <c r="A315" s="585"/>
      <c r="B315" s="2"/>
      <c r="C315" s="5"/>
      <c r="D315" s="586"/>
      <c r="E315" s="5"/>
      <c r="F315" s="5"/>
      <c r="G315" s="5"/>
      <c r="H315" s="5"/>
      <c r="I315" s="5"/>
      <c r="J315" s="3"/>
      <c r="K315" s="21"/>
      <c r="L315" s="653"/>
    </row>
    <row r="316" spans="1:12" s="1" customFormat="1" x14ac:dyDescent="0.35">
      <c r="A316" s="1206" t="s">
        <v>302</v>
      </c>
      <c r="B316" s="1208" t="s">
        <v>28</v>
      </c>
      <c r="C316" s="1210" t="s">
        <v>343</v>
      </c>
      <c r="D316" s="613"/>
      <c r="E316" s="1212" t="s">
        <v>305</v>
      </c>
      <c r="F316" s="1212"/>
      <c r="G316" s="1212"/>
      <c r="H316" s="1212"/>
      <c r="I316" s="1212"/>
      <c r="J316" s="1208" t="s">
        <v>29</v>
      </c>
      <c r="K316" s="1213" t="s">
        <v>306</v>
      </c>
      <c r="L316" s="1215" t="str">
        <f>L298</f>
        <v>REMARKS</v>
      </c>
    </row>
    <row r="317" spans="1:12" s="1" customFormat="1" ht="21" customHeight="1" thickBot="1" x14ac:dyDescent="0.4">
      <c r="A317" s="1207"/>
      <c r="B317" s="1209"/>
      <c r="C317" s="1211"/>
      <c r="D317" s="614"/>
      <c r="E317" s="7" t="s">
        <v>308</v>
      </c>
      <c r="F317" s="7" t="s">
        <v>309</v>
      </c>
      <c r="G317" s="7" t="s">
        <v>310</v>
      </c>
      <c r="H317" s="7" t="s">
        <v>311</v>
      </c>
      <c r="I317" s="7" t="s">
        <v>312</v>
      </c>
      <c r="J317" s="1209"/>
      <c r="K317" s="1214"/>
      <c r="L317" s="1216"/>
    </row>
    <row r="318" spans="1:12" ht="18" customHeight="1" x14ac:dyDescent="0.35">
      <c r="A318" s="596">
        <v>214</v>
      </c>
      <c r="B318" s="28" t="s">
        <v>580</v>
      </c>
      <c r="C318" s="10">
        <f>SUM(E318:I318)</f>
        <v>4.5</v>
      </c>
      <c r="D318" s="10">
        <f>'[23]road inventory 2018'!C318</f>
        <v>4.5</v>
      </c>
      <c r="E318" s="633">
        <v>0.7</v>
      </c>
      <c r="F318" s="633">
        <v>0</v>
      </c>
      <c r="G318" s="633">
        <v>0</v>
      </c>
      <c r="H318" s="10">
        <v>3.8</v>
      </c>
      <c r="I318" s="10">
        <v>0</v>
      </c>
      <c r="J318" s="103" t="s">
        <v>12</v>
      </c>
      <c r="K318" s="597" t="s">
        <v>581</v>
      </c>
      <c r="L318" s="28" t="str">
        <f>L328</f>
        <v>FOR VERIFICATION</v>
      </c>
    </row>
    <row r="319" spans="1:12" ht="18" customHeight="1" x14ac:dyDescent="0.35">
      <c r="A319" s="596">
        <v>212</v>
      </c>
      <c r="B319" s="28" t="s">
        <v>582</v>
      </c>
      <c r="C319" s="10">
        <f>SUM(E319:I319)</f>
        <v>2.75</v>
      </c>
      <c r="D319" s="10">
        <f>'[23]road inventory 2018'!C319</f>
        <v>2.75</v>
      </c>
      <c r="E319" s="633">
        <v>2.6</v>
      </c>
      <c r="F319" s="633">
        <v>0</v>
      </c>
      <c r="G319" s="633">
        <v>0</v>
      </c>
      <c r="H319" s="10">
        <v>0.15</v>
      </c>
      <c r="I319" s="10">
        <v>0</v>
      </c>
      <c r="J319" s="103" t="s">
        <v>12</v>
      </c>
      <c r="K319" s="597" t="s">
        <v>528</v>
      </c>
      <c r="L319" s="28" t="str">
        <f>L318</f>
        <v>FOR VERIFICATION</v>
      </c>
    </row>
    <row r="320" spans="1:12" s="16" customFormat="1" ht="18" customHeight="1" x14ac:dyDescent="0.35">
      <c r="A320" s="626"/>
      <c r="B320" s="60"/>
      <c r="C320" s="61">
        <f>SUM(C318:C319)</f>
        <v>7.25</v>
      </c>
      <c r="D320" s="61">
        <f t="shared" ref="D320:I320" si="21">SUM(D318:D319)</f>
        <v>7.25</v>
      </c>
      <c r="E320" s="61">
        <f t="shared" si="21"/>
        <v>3.3</v>
      </c>
      <c r="F320" s="61">
        <f t="shared" si="21"/>
        <v>0</v>
      </c>
      <c r="G320" s="61">
        <f t="shared" si="21"/>
        <v>0</v>
      </c>
      <c r="H320" s="61">
        <f t="shared" si="21"/>
        <v>3.9499999999999997</v>
      </c>
      <c r="I320" s="61">
        <f t="shared" si="21"/>
        <v>0</v>
      </c>
      <c r="J320" s="628"/>
      <c r="K320" s="629"/>
      <c r="L320" s="24"/>
    </row>
    <row r="321" spans="1:12" ht="18" customHeight="1" thickBot="1" x14ac:dyDescent="0.4">
      <c r="A321" s="53" t="s">
        <v>341</v>
      </c>
      <c r="B321" s="69"/>
      <c r="C321" s="31">
        <f>SUM(E321:I321)</f>
        <v>7.25</v>
      </c>
      <c r="D321" s="630"/>
      <c r="E321" s="31">
        <f>SUM(E318:E319)</f>
        <v>3.3</v>
      </c>
      <c r="F321" s="31">
        <f>SUM(F318:F319)</f>
        <v>0</v>
      </c>
      <c r="G321" s="31">
        <f>SUM(G318:G319)</f>
        <v>0</v>
      </c>
      <c r="H321" s="31">
        <f>SUM(H318:H319)</f>
        <v>3.9499999999999997</v>
      </c>
      <c r="I321" s="31">
        <f>SUM(I318:I319)</f>
        <v>0</v>
      </c>
      <c r="J321" s="608"/>
      <c r="K321" s="609"/>
      <c r="L321" s="653"/>
    </row>
    <row r="322" spans="1:12" ht="18" customHeight="1" x14ac:dyDescent="0.35">
      <c r="L322" s="28"/>
    </row>
    <row r="323" spans="1:12" s="1" customFormat="1" x14ac:dyDescent="0.35">
      <c r="A323" s="1203" t="s">
        <v>583</v>
      </c>
      <c r="B323" s="1204"/>
      <c r="C323" s="1204"/>
      <c r="D323" s="1204"/>
      <c r="E323" s="1204"/>
      <c r="F323" s="1204"/>
      <c r="G323" s="1204"/>
      <c r="H323" s="1204"/>
      <c r="I323" s="1204"/>
      <c r="J323" s="1204"/>
      <c r="K323" s="1204"/>
      <c r="L323" s="1205"/>
    </row>
    <row r="324" spans="1:12" s="1" customFormat="1" ht="16" thickBot="1" x14ac:dyDescent="0.4">
      <c r="A324" s="585"/>
      <c r="B324" s="2"/>
      <c r="C324" s="5"/>
      <c r="D324" s="586"/>
      <c r="E324" s="5"/>
      <c r="F324" s="5"/>
      <c r="G324" s="5"/>
      <c r="H324" s="5"/>
      <c r="I324" s="5"/>
      <c r="J324" s="3"/>
      <c r="K324" s="21"/>
      <c r="L324" s="653"/>
    </row>
    <row r="325" spans="1:12" s="1" customFormat="1" x14ac:dyDescent="0.35">
      <c r="A325" s="1206" t="s">
        <v>302</v>
      </c>
      <c r="B325" s="1208" t="s">
        <v>28</v>
      </c>
      <c r="C325" s="1210" t="s">
        <v>343</v>
      </c>
      <c r="D325" s="613"/>
      <c r="E325" s="1212" t="s">
        <v>305</v>
      </c>
      <c r="F325" s="1212"/>
      <c r="G325" s="1212"/>
      <c r="H325" s="1212"/>
      <c r="I325" s="1212"/>
      <c r="J325" s="1208" t="s">
        <v>29</v>
      </c>
      <c r="K325" s="1213" t="s">
        <v>306</v>
      </c>
      <c r="L325" s="1215" t="str">
        <f>L316</f>
        <v>REMARKS</v>
      </c>
    </row>
    <row r="326" spans="1:12" s="1" customFormat="1" ht="21" customHeight="1" thickBot="1" x14ac:dyDescent="0.4">
      <c r="A326" s="1207"/>
      <c r="B326" s="1209"/>
      <c r="C326" s="1211"/>
      <c r="D326" s="614"/>
      <c r="E326" s="7" t="s">
        <v>308</v>
      </c>
      <c r="F326" s="7" t="s">
        <v>309</v>
      </c>
      <c r="G326" s="7" t="s">
        <v>310</v>
      </c>
      <c r="H326" s="7" t="s">
        <v>311</v>
      </c>
      <c r="I326" s="7" t="s">
        <v>312</v>
      </c>
      <c r="J326" s="1209"/>
      <c r="K326" s="1214"/>
      <c r="L326" s="1216"/>
    </row>
    <row r="327" spans="1:12" s="697" customFormat="1" ht="18" customHeight="1" x14ac:dyDescent="0.35">
      <c r="A327" s="689">
        <v>173</v>
      </c>
      <c r="B327" s="690" t="s">
        <v>584</v>
      </c>
      <c r="C327" s="691">
        <f>SUM(E327:I327)</f>
        <v>1.04</v>
      </c>
      <c r="D327" s="692">
        <f>'[23]road inventory 2018'!C326</f>
        <v>1.5</v>
      </c>
      <c r="E327" s="691">
        <v>1.04</v>
      </c>
      <c r="F327" s="691">
        <v>0</v>
      </c>
      <c r="G327" s="691">
        <v>0</v>
      </c>
      <c r="H327" s="691">
        <v>0</v>
      </c>
      <c r="I327" s="691">
        <v>0</v>
      </c>
      <c r="J327" s="693" t="s">
        <v>839</v>
      </c>
      <c r="K327" s="694"/>
      <c r="L327" s="690"/>
    </row>
    <row r="328" spans="1:12" ht="18" customHeight="1" x14ac:dyDescent="0.35">
      <c r="A328" s="596">
        <v>174</v>
      </c>
      <c r="B328" s="28" t="s">
        <v>585</v>
      </c>
      <c r="C328" s="691">
        <f t="shared" ref="C328:C339" si="22">SUM(E328:I328)</f>
        <v>0.2</v>
      </c>
      <c r="D328" s="10">
        <f>'[23]road inventory 2018'!C327</f>
        <v>0.2</v>
      </c>
      <c r="E328" s="10">
        <v>0.2</v>
      </c>
      <c r="F328" s="10">
        <v>0</v>
      </c>
      <c r="G328" s="10">
        <v>0</v>
      </c>
      <c r="H328" s="10">
        <v>0</v>
      </c>
      <c r="I328" s="10">
        <v>0</v>
      </c>
      <c r="J328" s="28" t="s">
        <v>33</v>
      </c>
      <c r="K328" s="597"/>
      <c r="L328" s="28" t="str">
        <f>L306</f>
        <v>FOR VERIFICATION</v>
      </c>
    </row>
    <row r="329" spans="1:12" s="697" customFormat="1" ht="18" customHeight="1" x14ac:dyDescent="0.35">
      <c r="A329" s="689">
        <v>175</v>
      </c>
      <c r="B329" s="690" t="s">
        <v>586</v>
      </c>
      <c r="C329" s="691">
        <f t="shared" si="22"/>
        <v>3.31</v>
      </c>
      <c r="D329" s="692">
        <f>'[23]road inventory 2018'!C328</f>
        <v>3.6</v>
      </c>
      <c r="E329" s="691">
        <v>3.31</v>
      </c>
      <c r="F329" s="691">
        <v>0</v>
      </c>
      <c r="G329" s="691">
        <v>0</v>
      </c>
      <c r="H329" s="691">
        <v>0</v>
      </c>
      <c r="I329" s="691">
        <v>0</v>
      </c>
      <c r="J329" s="690" t="s">
        <v>12</v>
      </c>
      <c r="K329" s="694"/>
      <c r="L329" s="690"/>
    </row>
    <row r="330" spans="1:12" s="697" customFormat="1" ht="18" customHeight="1" x14ac:dyDescent="0.35">
      <c r="A330" s="689">
        <v>176</v>
      </c>
      <c r="B330" s="690" t="s">
        <v>587</v>
      </c>
      <c r="C330" s="691">
        <f t="shared" si="22"/>
        <v>22.21</v>
      </c>
      <c r="D330" s="692">
        <f>'[23]road inventory 2018'!C329</f>
        <v>20.5</v>
      </c>
      <c r="E330" s="691">
        <v>5.21</v>
      </c>
      <c r="F330" s="691">
        <v>0</v>
      </c>
      <c r="G330" s="691">
        <v>0</v>
      </c>
      <c r="H330" s="691">
        <v>17</v>
      </c>
      <c r="I330" s="691">
        <v>0</v>
      </c>
      <c r="J330" s="690" t="s">
        <v>12</v>
      </c>
      <c r="K330" s="694"/>
      <c r="L330" s="690"/>
    </row>
    <row r="331" spans="1:12" s="697" customFormat="1" ht="18" customHeight="1" x14ac:dyDescent="0.35">
      <c r="A331" s="689">
        <v>177</v>
      </c>
      <c r="B331" s="690" t="s">
        <v>588</v>
      </c>
      <c r="C331" s="691">
        <f t="shared" si="22"/>
        <v>13.55</v>
      </c>
      <c r="D331" s="692">
        <f>'[23]road inventory 2018'!C330</f>
        <v>13.5</v>
      </c>
      <c r="E331" s="691">
        <v>13.55</v>
      </c>
      <c r="F331" s="691">
        <v>0</v>
      </c>
      <c r="G331" s="691">
        <v>0</v>
      </c>
      <c r="H331" s="691">
        <v>0</v>
      </c>
      <c r="I331" s="691">
        <v>0</v>
      </c>
      <c r="J331" s="693" t="s">
        <v>10</v>
      </c>
      <c r="K331" s="694"/>
      <c r="L331" s="690"/>
    </row>
    <row r="332" spans="1:12" s="697" customFormat="1" ht="18" customHeight="1" x14ac:dyDescent="0.35">
      <c r="A332" s="689">
        <v>172</v>
      </c>
      <c r="B332" s="690" t="s">
        <v>589</v>
      </c>
      <c r="C332" s="691">
        <f t="shared" si="22"/>
        <v>4.4399999999999995</v>
      </c>
      <c r="D332" s="692">
        <f>'[23]road inventory 2018'!C331</f>
        <v>5.7</v>
      </c>
      <c r="E332" s="691">
        <v>1.02</v>
      </c>
      <c r="F332" s="691">
        <v>0</v>
      </c>
      <c r="G332" s="691">
        <v>0</v>
      </c>
      <c r="H332" s="691">
        <v>3.42</v>
      </c>
      <c r="I332" s="691">
        <v>0</v>
      </c>
      <c r="J332" s="693" t="str">
        <f>J289</f>
        <v>Fair</v>
      </c>
      <c r="K332" s="694"/>
      <c r="L332" s="690"/>
    </row>
    <row r="333" spans="1:12" ht="31" x14ac:dyDescent="0.35">
      <c r="A333" s="596">
        <v>178</v>
      </c>
      <c r="B333" s="28" t="s">
        <v>296</v>
      </c>
      <c r="C333" s="691">
        <f t="shared" si="22"/>
        <v>25.54</v>
      </c>
      <c r="D333" s="10">
        <f>'[23]road inventory 2018'!C332</f>
        <v>25.54</v>
      </c>
      <c r="E333" s="10">
        <v>1.23</v>
      </c>
      <c r="F333" s="10">
        <v>0</v>
      </c>
      <c r="G333" s="10">
        <v>0</v>
      </c>
      <c r="H333" s="10">
        <v>24.31</v>
      </c>
      <c r="I333" s="10">
        <v>0</v>
      </c>
      <c r="J333" s="28" t="s">
        <v>33</v>
      </c>
      <c r="K333" s="597"/>
      <c r="L333" s="28" t="str">
        <f>L309</f>
        <v>FOR VERIFICATION</v>
      </c>
    </row>
    <row r="334" spans="1:12" ht="18" customHeight="1" x14ac:dyDescent="0.35">
      <c r="A334" s="596">
        <v>179</v>
      </c>
      <c r="B334" s="28" t="s">
        <v>590</v>
      </c>
      <c r="C334" s="691">
        <f t="shared" si="22"/>
        <v>9.4499999999999993</v>
      </c>
      <c r="D334" s="10">
        <f>'[23]road inventory 2018'!C333</f>
        <v>9.4</v>
      </c>
      <c r="E334" s="10">
        <v>0.43</v>
      </c>
      <c r="F334" s="10">
        <v>0</v>
      </c>
      <c r="G334" s="10">
        <v>0</v>
      </c>
      <c r="H334" s="10">
        <v>9.02</v>
      </c>
      <c r="I334" s="10">
        <v>0</v>
      </c>
      <c r="J334" s="103" t="s">
        <v>33</v>
      </c>
      <c r="K334" s="597"/>
      <c r="L334" s="28"/>
    </row>
    <row r="335" spans="1:12" ht="18" customHeight="1" x14ac:dyDescent="0.35">
      <c r="A335" s="596">
        <v>180</v>
      </c>
      <c r="B335" s="28" t="s">
        <v>591</v>
      </c>
      <c r="C335" s="691">
        <f t="shared" si="22"/>
        <v>2.42</v>
      </c>
      <c r="D335" s="10">
        <f>'[23]road inventory 2018'!C334</f>
        <v>2.42</v>
      </c>
      <c r="E335" s="10">
        <v>0</v>
      </c>
      <c r="F335" s="10">
        <v>0</v>
      </c>
      <c r="G335" s="10">
        <v>0</v>
      </c>
      <c r="H335" s="10">
        <v>2.42</v>
      </c>
      <c r="I335" s="10">
        <v>0</v>
      </c>
      <c r="J335" s="28" t="s">
        <v>12</v>
      </c>
      <c r="K335" s="597"/>
      <c r="L335" s="28" t="str">
        <f>L333</f>
        <v>FOR VERIFICATION</v>
      </c>
    </row>
    <row r="336" spans="1:12" ht="31" x14ac:dyDescent="0.35">
      <c r="A336" s="596">
        <v>181</v>
      </c>
      <c r="B336" s="28" t="s">
        <v>592</v>
      </c>
      <c r="C336" s="691">
        <f t="shared" si="22"/>
        <v>4.03</v>
      </c>
      <c r="D336" s="10">
        <f>'[23]road inventory 2018'!C335</f>
        <v>4.9000000000000004</v>
      </c>
      <c r="E336" s="10">
        <v>4.03</v>
      </c>
      <c r="F336" s="10">
        <v>0</v>
      </c>
      <c r="G336" s="10">
        <v>0</v>
      </c>
      <c r="H336" s="10">
        <v>0</v>
      </c>
      <c r="I336" s="10">
        <v>0</v>
      </c>
      <c r="J336" s="103" t="s">
        <v>10</v>
      </c>
      <c r="K336" s="597"/>
      <c r="L336" s="28"/>
    </row>
    <row r="337" spans="1:18" ht="31" x14ac:dyDescent="0.35">
      <c r="A337" s="596">
        <v>182</v>
      </c>
      <c r="B337" s="28" t="s">
        <v>593</v>
      </c>
      <c r="C337" s="691">
        <f t="shared" si="22"/>
        <v>16.57</v>
      </c>
      <c r="D337" s="10">
        <f>'[23]road inventory 2018'!C336</f>
        <v>16</v>
      </c>
      <c r="E337" s="10">
        <v>16.57</v>
      </c>
      <c r="F337" s="10">
        <v>0</v>
      </c>
      <c r="G337" s="10">
        <v>0</v>
      </c>
      <c r="H337" s="10">
        <v>0</v>
      </c>
      <c r="I337" s="10">
        <v>0</v>
      </c>
      <c r="J337" s="28" t="s">
        <v>10</v>
      </c>
      <c r="K337" s="597"/>
      <c r="L337" s="28"/>
    </row>
    <row r="338" spans="1:18" ht="18" customHeight="1" x14ac:dyDescent="0.35">
      <c r="A338" s="596">
        <v>183</v>
      </c>
      <c r="B338" s="28" t="s">
        <v>594</v>
      </c>
      <c r="C338" s="691">
        <f t="shared" si="22"/>
        <v>1.7</v>
      </c>
      <c r="D338" s="10">
        <f>'[23]road inventory 2018'!C337</f>
        <v>1.7</v>
      </c>
      <c r="E338" s="10">
        <v>0</v>
      </c>
      <c r="F338" s="10">
        <v>0</v>
      </c>
      <c r="G338" s="10">
        <v>0</v>
      </c>
      <c r="H338" s="10">
        <v>1.7</v>
      </c>
      <c r="I338" s="10">
        <v>0</v>
      </c>
      <c r="J338" s="28" t="s">
        <v>33</v>
      </c>
      <c r="K338" s="597"/>
      <c r="L338" s="28" t="str">
        <f>L335</f>
        <v>FOR VERIFICATION</v>
      </c>
    </row>
    <row r="339" spans="1:18" s="697" customFormat="1" ht="18" customHeight="1" x14ac:dyDescent="0.35">
      <c r="A339" s="689">
        <v>184</v>
      </c>
      <c r="B339" s="690" t="s">
        <v>595</v>
      </c>
      <c r="C339" s="691">
        <f t="shared" si="22"/>
        <v>12.03</v>
      </c>
      <c r="D339" s="692">
        <f>'[23]road inventory 2018'!C338</f>
        <v>12</v>
      </c>
      <c r="E339" s="691">
        <v>10.01</v>
      </c>
      <c r="F339" s="691">
        <v>0</v>
      </c>
      <c r="G339" s="691">
        <v>0</v>
      </c>
      <c r="H339" s="691">
        <v>2.02</v>
      </c>
      <c r="I339" s="691">
        <v>0</v>
      </c>
      <c r="J339" s="690" t="s">
        <v>10</v>
      </c>
      <c r="K339" s="694"/>
      <c r="L339" s="690"/>
    </row>
    <row r="340" spans="1:18" s="677" customFormat="1" ht="18" customHeight="1" x14ac:dyDescent="0.35">
      <c r="A340" s="699"/>
      <c r="B340" s="108"/>
      <c r="C340" s="700">
        <f>SUM(C327:C339)</f>
        <v>116.49</v>
      </c>
      <c r="D340" s="700">
        <f t="shared" ref="D340:I340" si="23">SUM(D327:D339)</f>
        <v>116.96000000000001</v>
      </c>
      <c r="E340" s="700">
        <f t="shared" si="23"/>
        <v>56.6</v>
      </c>
      <c r="F340" s="700">
        <f t="shared" si="23"/>
        <v>0</v>
      </c>
      <c r="G340" s="700">
        <f t="shared" si="23"/>
        <v>0</v>
      </c>
      <c r="H340" s="700">
        <f t="shared" si="23"/>
        <v>59.890000000000008</v>
      </c>
      <c r="I340" s="700">
        <f t="shared" si="23"/>
        <v>0</v>
      </c>
      <c r="J340" s="108"/>
      <c r="K340" s="701"/>
      <c r="L340" s="107"/>
    </row>
    <row r="341" spans="1:18" ht="18" customHeight="1" thickBot="1" x14ac:dyDescent="0.4">
      <c r="A341" s="53" t="s">
        <v>341</v>
      </c>
      <c r="B341" s="34"/>
      <c r="C341" s="31">
        <f>SUM(E341:I341)</f>
        <v>116.49000000000001</v>
      </c>
      <c r="D341" s="630"/>
      <c r="E341" s="31">
        <f>SUM(E327:E339)</f>
        <v>56.6</v>
      </c>
      <c r="F341" s="31">
        <f>SUM(F327:F339)</f>
        <v>0</v>
      </c>
      <c r="G341" s="31">
        <f>SUM(G327:G339)</f>
        <v>0</v>
      </c>
      <c r="H341" s="31">
        <f>SUM(H327:H339)</f>
        <v>59.890000000000008</v>
      </c>
      <c r="I341" s="31">
        <f>SUM(I327:I339)</f>
        <v>0</v>
      </c>
      <c r="J341" s="608"/>
      <c r="K341" s="609"/>
      <c r="L341" s="653"/>
      <c r="R341" s="38">
        <f>SUM(C327:C339)</f>
        <v>116.49</v>
      </c>
    </row>
    <row r="342" spans="1:18" ht="18" customHeight="1" x14ac:dyDescent="0.35">
      <c r="L342" s="28"/>
      <c r="R342" s="38">
        <f>SUM(E340:I340)</f>
        <v>116.49000000000001</v>
      </c>
    </row>
    <row r="343" spans="1:18" s="1" customFormat="1" x14ac:dyDescent="0.35">
      <c r="A343" s="1203" t="s">
        <v>596</v>
      </c>
      <c r="B343" s="1204"/>
      <c r="C343" s="1204"/>
      <c r="D343" s="1204"/>
      <c r="E343" s="1204"/>
      <c r="F343" s="1204"/>
      <c r="G343" s="1204"/>
      <c r="H343" s="1204"/>
      <c r="I343" s="1204"/>
      <c r="J343" s="1204"/>
      <c r="K343" s="1204"/>
      <c r="L343" s="1205"/>
    </row>
    <row r="344" spans="1:18" s="1" customFormat="1" ht="16" thickBot="1" x14ac:dyDescent="0.4">
      <c r="A344" s="585"/>
      <c r="B344" s="2"/>
      <c r="C344" s="5"/>
      <c r="D344" s="586"/>
      <c r="E344" s="5"/>
      <c r="F344" s="5"/>
      <c r="G344" s="5"/>
      <c r="H344" s="5"/>
      <c r="I344" s="5"/>
      <c r="J344" s="3"/>
      <c r="K344" s="21"/>
      <c r="L344" s="653"/>
    </row>
    <row r="345" spans="1:18" s="1" customFormat="1" x14ac:dyDescent="0.35">
      <c r="A345" s="1206" t="s">
        <v>302</v>
      </c>
      <c r="B345" s="1208" t="s">
        <v>28</v>
      </c>
      <c r="C345" s="1210" t="s">
        <v>343</v>
      </c>
      <c r="D345" s="613"/>
      <c r="E345" s="1212" t="s">
        <v>305</v>
      </c>
      <c r="F345" s="1212"/>
      <c r="G345" s="1212"/>
      <c r="H345" s="1212"/>
      <c r="I345" s="1212"/>
      <c r="J345" s="1208" t="s">
        <v>29</v>
      </c>
      <c r="K345" s="1213" t="s">
        <v>306</v>
      </c>
      <c r="L345" s="1215" t="str">
        <f>L325</f>
        <v>REMARKS</v>
      </c>
    </row>
    <row r="346" spans="1:18" s="1" customFormat="1" ht="21" customHeight="1" thickBot="1" x14ac:dyDescent="0.4">
      <c r="A346" s="1207"/>
      <c r="B346" s="1209"/>
      <c r="C346" s="1211"/>
      <c r="D346" s="614"/>
      <c r="E346" s="7" t="s">
        <v>308</v>
      </c>
      <c r="F346" s="7" t="s">
        <v>309</v>
      </c>
      <c r="G346" s="7" t="s">
        <v>310</v>
      </c>
      <c r="H346" s="7" t="s">
        <v>311</v>
      </c>
      <c r="I346" s="7" t="s">
        <v>312</v>
      </c>
      <c r="J346" s="1209"/>
      <c r="K346" s="1214"/>
      <c r="L346" s="1216"/>
    </row>
    <row r="347" spans="1:18" s="16" customFormat="1" ht="18" customHeight="1" x14ac:dyDescent="0.35">
      <c r="A347" s="589">
        <v>187</v>
      </c>
      <c r="B347" s="24" t="s">
        <v>597</v>
      </c>
      <c r="C347" s="15">
        <f>SUM(E347:I347)</f>
        <v>0.44600000000000001</v>
      </c>
      <c r="D347" s="702">
        <f>'[23]road inventory 2018'!C345</f>
        <v>0.504</v>
      </c>
      <c r="E347" s="15">
        <v>0.44600000000000001</v>
      </c>
      <c r="F347" s="15">
        <v>0</v>
      </c>
      <c r="G347" s="15">
        <v>0</v>
      </c>
      <c r="H347" s="15">
        <v>0</v>
      </c>
      <c r="I347" s="15">
        <v>0</v>
      </c>
      <c r="J347" s="24" t="str">
        <f>J338</f>
        <v>Poor</v>
      </c>
      <c r="K347" s="591"/>
      <c r="L347" s="24"/>
    </row>
    <row r="348" spans="1:18" s="16" customFormat="1" ht="18" customHeight="1" x14ac:dyDescent="0.35">
      <c r="A348" s="589">
        <v>188</v>
      </c>
      <c r="B348" s="24" t="s">
        <v>598</v>
      </c>
      <c r="C348" s="15">
        <f t="shared" ref="C348:C354" si="24">SUM(E348:I348)</f>
        <v>0.158</v>
      </c>
      <c r="D348" s="702">
        <f>'[23]road inventory 2018'!C346</f>
        <v>0.158</v>
      </c>
      <c r="E348" s="15">
        <v>0.158</v>
      </c>
      <c r="F348" s="15">
        <v>0</v>
      </c>
      <c r="G348" s="15">
        <v>0</v>
      </c>
      <c r="H348" s="15">
        <v>0</v>
      </c>
      <c r="I348" s="15">
        <v>0</v>
      </c>
      <c r="J348" s="24" t="str">
        <f>J338</f>
        <v>Poor</v>
      </c>
      <c r="K348" s="591"/>
      <c r="L348" s="24"/>
    </row>
    <row r="349" spans="1:18" s="16" customFormat="1" ht="18" customHeight="1" x14ac:dyDescent="0.35">
      <c r="A349" s="589">
        <v>189</v>
      </c>
      <c r="B349" s="24" t="s">
        <v>599</v>
      </c>
      <c r="C349" s="15">
        <f t="shared" si="24"/>
        <v>0.998</v>
      </c>
      <c r="D349" s="702">
        <f>'[23]road inventory 2018'!C347</f>
        <v>0.74199999999999999</v>
      </c>
      <c r="E349" s="15">
        <v>0.998</v>
      </c>
      <c r="F349" s="15">
        <v>0</v>
      </c>
      <c r="G349" s="15">
        <v>0</v>
      </c>
      <c r="H349" s="15">
        <v>0</v>
      </c>
      <c r="I349" s="15">
        <v>0</v>
      </c>
      <c r="J349" s="24" t="s">
        <v>12</v>
      </c>
      <c r="K349" s="591"/>
      <c r="L349" s="24"/>
    </row>
    <row r="350" spans="1:18" s="677" customFormat="1" ht="31" x14ac:dyDescent="0.35">
      <c r="A350" s="669">
        <v>185</v>
      </c>
      <c r="B350" s="107" t="s">
        <v>840</v>
      </c>
      <c r="C350" s="15">
        <f t="shared" si="24"/>
        <v>12.03</v>
      </c>
      <c r="D350" s="702">
        <f>'[23]road inventory 2018'!C348</f>
        <v>10.9</v>
      </c>
      <c r="E350" s="670">
        <v>10.01</v>
      </c>
      <c r="F350" s="670">
        <v>0</v>
      </c>
      <c r="G350" s="670">
        <v>0</v>
      </c>
      <c r="H350" s="670">
        <v>2.02</v>
      </c>
      <c r="I350" s="670">
        <v>0</v>
      </c>
      <c r="J350" s="107" t="s">
        <v>10</v>
      </c>
      <c r="K350" s="674"/>
      <c r="L350" s="107"/>
    </row>
    <row r="351" spans="1:18" ht="18" customHeight="1" x14ac:dyDescent="0.35">
      <c r="A351" s="596">
        <v>186</v>
      </c>
      <c r="B351" s="28" t="s">
        <v>601</v>
      </c>
      <c r="C351" s="15">
        <f t="shared" si="24"/>
        <v>10.75</v>
      </c>
      <c r="D351" s="103">
        <f>'[23]road inventory 2018'!C349</f>
        <v>10.5</v>
      </c>
      <c r="E351" s="10">
        <v>0</v>
      </c>
      <c r="F351" s="10">
        <v>0</v>
      </c>
      <c r="G351" s="10">
        <v>0</v>
      </c>
      <c r="H351" s="10">
        <v>10.75</v>
      </c>
      <c r="I351" s="10">
        <v>0</v>
      </c>
      <c r="J351" s="28" t="s">
        <v>33</v>
      </c>
      <c r="K351" s="597"/>
      <c r="L351" s="28" t="str">
        <f>L338</f>
        <v>FOR VERIFICATION</v>
      </c>
    </row>
    <row r="352" spans="1:18" ht="18" customHeight="1" x14ac:dyDescent="0.35">
      <c r="A352" s="596">
        <v>190</v>
      </c>
      <c r="B352" s="28" t="s">
        <v>602</v>
      </c>
      <c r="C352" s="15">
        <f t="shared" si="24"/>
        <v>17.5</v>
      </c>
      <c r="D352" s="103">
        <f>'[23]road inventory 2018'!C350</f>
        <v>17.5</v>
      </c>
      <c r="E352" s="10">
        <v>0</v>
      </c>
      <c r="F352" s="10">
        <v>0</v>
      </c>
      <c r="G352" s="10">
        <v>0</v>
      </c>
      <c r="H352" s="10">
        <v>17.5</v>
      </c>
      <c r="I352" s="10">
        <v>0</v>
      </c>
      <c r="J352" s="28" t="s">
        <v>12</v>
      </c>
      <c r="K352" s="597"/>
      <c r="L352" s="28" t="str">
        <f>L351</f>
        <v>FOR VERIFICATION</v>
      </c>
    </row>
    <row r="353" spans="1:12" ht="18" customHeight="1" x14ac:dyDescent="0.35">
      <c r="A353" s="596">
        <v>191</v>
      </c>
      <c r="B353" s="28" t="s">
        <v>603</v>
      </c>
      <c r="C353" s="15">
        <f t="shared" si="24"/>
        <v>3.5</v>
      </c>
      <c r="D353" s="103">
        <f>'[23]road inventory 2018'!C351</f>
        <v>3.5</v>
      </c>
      <c r="E353" s="10">
        <v>0</v>
      </c>
      <c r="F353" s="10">
        <v>0</v>
      </c>
      <c r="G353" s="10">
        <v>0</v>
      </c>
      <c r="H353" s="10">
        <v>3.5</v>
      </c>
      <c r="I353" s="10">
        <v>0</v>
      </c>
      <c r="J353" s="28" t="s">
        <v>12</v>
      </c>
      <c r="K353" s="597"/>
      <c r="L353" s="28" t="str">
        <f>L352</f>
        <v>FOR VERIFICATION</v>
      </c>
    </row>
    <row r="354" spans="1:12" ht="18" customHeight="1" x14ac:dyDescent="0.35">
      <c r="A354" s="596">
        <v>230</v>
      </c>
      <c r="B354" s="28" t="s">
        <v>604</v>
      </c>
      <c r="C354" s="15">
        <f t="shared" si="24"/>
        <v>1.58</v>
      </c>
      <c r="D354" s="103">
        <f>'[23]road inventory 2018'!C352</f>
        <v>1.58</v>
      </c>
      <c r="E354" s="10">
        <v>0</v>
      </c>
      <c r="F354" s="10">
        <v>0</v>
      </c>
      <c r="G354" s="10">
        <v>0</v>
      </c>
      <c r="H354" s="10">
        <v>1.58</v>
      </c>
      <c r="I354" s="10">
        <v>0</v>
      </c>
      <c r="J354" s="28" t="s">
        <v>41</v>
      </c>
      <c r="K354" s="597"/>
      <c r="L354" s="28" t="str">
        <f>L352</f>
        <v>FOR VERIFICATION</v>
      </c>
    </row>
    <row r="355" spans="1:12" ht="18" customHeight="1" x14ac:dyDescent="0.35">
      <c r="A355" s="635"/>
      <c r="B355" s="40"/>
      <c r="C355" s="703">
        <f>SUM(C347:C354)</f>
        <v>46.961999999999996</v>
      </c>
      <c r="D355" s="703">
        <f t="shared" ref="D355:I355" si="25">SUM(D347:D354)</f>
        <v>45.384</v>
      </c>
      <c r="E355" s="703">
        <f t="shared" si="25"/>
        <v>11.612</v>
      </c>
      <c r="F355" s="703">
        <f t="shared" si="25"/>
        <v>0</v>
      </c>
      <c r="G355" s="703">
        <f t="shared" si="25"/>
        <v>0</v>
      </c>
      <c r="H355" s="703">
        <f t="shared" si="25"/>
        <v>35.349999999999994</v>
      </c>
      <c r="I355" s="703">
        <f t="shared" si="25"/>
        <v>0</v>
      </c>
      <c r="J355" s="40"/>
      <c r="K355" s="605"/>
      <c r="L355" s="28"/>
    </row>
    <row r="356" spans="1:12" ht="18" customHeight="1" thickBot="1" x14ac:dyDescent="0.4">
      <c r="A356" s="53" t="s">
        <v>341</v>
      </c>
      <c r="B356" s="34"/>
      <c r="C356" s="31">
        <f>SUM(E356:I356)</f>
        <v>46.961999999999996</v>
      </c>
      <c r="D356" s="630">
        <f t="shared" ref="D356:I356" si="26">SUM(D347:D354)</f>
        <v>45.384</v>
      </c>
      <c r="E356" s="31">
        <f t="shared" si="26"/>
        <v>11.612</v>
      </c>
      <c r="F356" s="31">
        <f t="shared" si="26"/>
        <v>0</v>
      </c>
      <c r="G356" s="31">
        <f t="shared" si="26"/>
        <v>0</v>
      </c>
      <c r="H356" s="31">
        <f t="shared" si="26"/>
        <v>35.349999999999994</v>
      </c>
      <c r="I356" s="31">
        <f t="shared" si="26"/>
        <v>0</v>
      </c>
      <c r="J356" s="608"/>
      <c r="K356" s="609"/>
      <c r="L356" s="653"/>
    </row>
    <row r="357" spans="1:12" ht="18" customHeight="1" x14ac:dyDescent="0.35">
      <c r="L357" s="28"/>
    </row>
    <row r="358" spans="1:12" s="1" customFormat="1" x14ac:dyDescent="0.35">
      <c r="A358" s="1203" t="s">
        <v>605</v>
      </c>
      <c r="B358" s="1204"/>
      <c r="C358" s="1204"/>
      <c r="D358" s="1204"/>
      <c r="E358" s="1204"/>
      <c r="F358" s="1204"/>
      <c r="G358" s="1204"/>
      <c r="H358" s="1204"/>
      <c r="I358" s="1204"/>
      <c r="J358" s="1204"/>
      <c r="K358" s="1204"/>
      <c r="L358" s="1205"/>
    </row>
    <row r="359" spans="1:12" s="1" customFormat="1" ht="16" thickBot="1" x14ac:dyDescent="0.4">
      <c r="A359" s="585"/>
      <c r="B359" s="2"/>
      <c r="C359" s="5"/>
      <c r="D359" s="586"/>
      <c r="E359" s="5"/>
      <c r="F359" s="5"/>
      <c r="G359" s="5"/>
      <c r="H359" s="5"/>
      <c r="I359" s="5"/>
      <c r="J359" s="3"/>
      <c r="K359" s="21"/>
      <c r="L359" s="653"/>
    </row>
    <row r="360" spans="1:12" s="1" customFormat="1" x14ac:dyDescent="0.35">
      <c r="A360" s="1206" t="s">
        <v>302</v>
      </c>
      <c r="B360" s="1208" t="s">
        <v>28</v>
      </c>
      <c r="C360" s="1210" t="s">
        <v>343</v>
      </c>
      <c r="D360" s="613"/>
      <c r="E360" s="1212" t="s">
        <v>305</v>
      </c>
      <c r="F360" s="1212"/>
      <c r="G360" s="1212"/>
      <c r="H360" s="1212"/>
      <c r="I360" s="1212"/>
      <c r="J360" s="1208" t="s">
        <v>29</v>
      </c>
      <c r="K360" s="1213" t="s">
        <v>306</v>
      </c>
      <c r="L360" s="1215" t="str">
        <f>L345</f>
        <v>REMARKS</v>
      </c>
    </row>
    <row r="361" spans="1:12" s="1" customFormat="1" ht="21" customHeight="1" thickBot="1" x14ac:dyDescent="0.4">
      <c r="A361" s="1207"/>
      <c r="B361" s="1209"/>
      <c r="C361" s="1211"/>
      <c r="D361" s="614"/>
      <c r="E361" s="7" t="s">
        <v>308</v>
      </c>
      <c r="F361" s="7" t="s">
        <v>309</v>
      </c>
      <c r="G361" s="7" t="s">
        <v>310</v>
      </c>
      <c r="H361" s="7" t="s">
        <v>311</v>
      </c>
      <c r="I361" s="7" t="s">
        <v>312</v>
      </c>
      <c r="J361" s="1209"/>
      <c r="K361" s="1214"/>
      <c r="L361" s="1216"/>
    </row>
    <row r="362" spans="1:12" s="16" customFormat="1" x14ac:dyDescent="0.35">
      <c r="A362" s="589">
        <v>192</v>
      </c>
      <c r="B362" s="24" t="s">
        <v>606</v>
      </c>
      <c r="C362" s="73">
        <f>SUM(E362:I362)</f>
        <v>13.02</v>
      </c>
      <c r="D362" s="706">
        <f>'[23]road inventory 2018'!C359</f>
        <v>17</v>
      </c>
      <c r="E362" s="15">
        <v>10.11</v>
      </c>
      <c r="F362" s="15">
        <v>0</v>
      </c>
      <c r="G362" s="15">
        <v>0</v>
      </c>
      <c r="H362" s="15">
        <v>2.91</v>
      </c>
      <c r="I362" s="15">
        <v>0</v>
      </c>
      <c r="J362" s="24" t="s">
        <v>12</v>
      </c>
      <c r="K362" s="591"/>
      <c r="L362" s="24"/>
    </row>
    <row r="363" spans="1:12" s="16" customFormat="1" ht="31" x14ac:dyDescent="0.35">
      <c r="A363" s="589">
        <v>193</v>
      </c>
      <c r="B363" s="24" t="s">
        <v>607</v>
      </c>
      <c r="C363" s="73">
        <f>SUM(E363:I363)</f>
        <v>1.53</v>
      </c>
      <c r="D363" s="706">
        <f>'[23]road inventory 2018'!C360</f>
        <v>1.8</v>
      </c>
      <c r="E363" s="15">
        <v>1.53</v>
      </c>
      <c r="F363" s="15">
        <v>0</v>
      </c>
      <c r="G363" s="15">
        <v>0</v>
      </c>
      <c r="H363" s="15">
        <v>0</v>
      </c>
      <c r="I363" s="15">
        <v>0</v>
      </c>
      <c r="J363" s="24" t="s">
        <v>12</v>
      </c>
      <c r="K363" s="591"/>
      <c r="L363" s="24"/>
    </row>
    <row r="364" spans="1:12" s="16" customFormat="1" ht="31.5" thickBot="1" x14ac:dyDescent="0.4">
      <c r="A364" s="649">
        <v>194</v>
      </c>
      <c r="B364" s="64" t="s">
        <v>608</v>
      </c>
      <c r="C364" s="73">
        <f>SUM(E364:I364)</f>
        <v>5.12</v>
      </c>
      <c r="D364" s="707">
        <f>'[23]road inventory 2018'!C361</f>
        <v>5.3</v>
      </c>
      <c r="E364" s="65">
        <v>4.12</v>
      </c>
      <c r="F364" s="65">
        <v>0</v>
      </c>
      <c r="G364" s="65">
        <v>0</v>
      </c>
      <c r="H364" s="65">
        <v>1</v>
      </c>
      <c r="I364" s="65">
        <v>0</v>
      </c>
      <c r="J364" s="64" t="s">
        <v>12</v>
      </c>
      <c r="K364" s="652"/>
      <c r="L364" s="24"/>
    </row>
    <row r="365" spans="1:12" s="16" customFormat="1" ht="31" x14ac:dyDescent="0.35">
      <c r="A365" s="589">
        <v>195</v>
      </c>
      <c r="B365" s="24" t="s">
        <v>609</v>
      </c>
      <c r="C365" s="73">
        <f>SUM(E365:I365)</f>
        <v>5.01</v>
      </c>
      <c r="D365" s="706">
        <f>'[23]road inventory 2018'!C365</f>
        <v>3.9000000000000004</v>
      </c>
      <c r="E365" s="15">
        <v>1.06</v>
      </c>
      <c r="F365" s="15">
        <v>0</v>
      </c>
      <c r="G365" s="15">
        <v>0</v>
      </c>
      <c r="H365" s="15">
        <v>3.95</v>
      </c>
      <c r="I365" s="15">
        <v>0</v>
      </c>
      <c r="J365" s="24" t="s">
        <v>12</v>
      </c>
      <c r="K365" s="591"/>
      <c r="L365" s="24"/>
    </row>
    <row r="366" spans="1:12" s="16" customFormat="1" x14ac:dyDescent="0.35">
      <c r="A366" s="626"/>
      <c r="B366" s="60"/>
      <c r="C366" s="75">
        <f t="shared" ref="C366:I366" si="27">SUM(C362:C365)</f>
        <v>24.68</v>
      </c>
      <c r="D366" s="75">
        <f t="shared" si="27"/>
        <v>28</v>
      </c>
      <c r="E366" s="75">
        <f t="shared" si="27"/>
        <v>16.819999999999997</v>
      </c>
      <c r="F366" s="75">
        <f t="shared" si="27"/>
        <v>0</v>
      </c>
      <c r="G366" s="75">
        <f t="shared" si="27"/>
        <v>0</v>
      </c>
      <c r="H366" s="75">
        <f t="shared" si="27"/>
        <v>7.86</v>
      </c>
      <c r="I366" s="75">
        <f t="shared" si="27"/>
        <v>0</v>
      </c>
      <c r="J366" s="60"/>
      <c r="K366" s="629"/>
      <c r="L366" s="24"/>
    </row>
    <row r="367" spans="1:12" ht="18" customHeight="1" thickBot="1" x14ac:dyDescent="0.4">
      <c r="A367" s="53" t="s">
        <v>341</v>
      </c>
      <c r="B367" s="34"/>
      <c r="C367" s="31">
        <f>SUM(E367:I367)</f>
        <v>24.679999999999996</v>
      </c>
      <c r="D367" s="630">
        <f t="shared" ref="D367:I367" si="28">SUM(D362:D365)</f>
        <v>28</v>
      </c>
      <c r="E367" s="31">
        <f t="shared" si="28"/>
        <v>16.819999999999997</v>
      </c>
      <c r="F367" s="31">
        <f t="shared" si="28"/>
        <v>0</v>
      </c>
      <c r="G367" s="31">
        <f t="shared" si="28"/>
        <v>0</v>
      </c>
      <c r="H367" s="31">
        <f t="shared" si="28"/>
        <v>7.86</v>
      </c>
      <c r="I367" s="31">
        <f t="shared" si="28"/>
        <v>0</v>
      </c>
      <c r="J367" s="608"/>
      <c r="K367" s="609"/>
      <c r="L367" s="653"/>
    </row>
    <row r="368" spans="1:12" ht="18" customHeight="1" x14ac:dyDescent="0.35">
      <c r="A368" s="544"/>
      <c r="B368" s="35"/>
      <c r="C368" s="22"/>
      <c r="D368" s="610"/>
      <c r="E368" s="22"/>
      <c r="F368" s="22"/>
      <c r="G368" s="22"/>
      <c r="H368" s="22"/>
      <c r="I368" s="22"/>
      <c r="J368" s="1"/>
      <c r="K368" s="21"/>
      <c r="L368" s="653"/>
    </row>
    <row r="369" spans="1:12" s="1" customFormat="1" x14ac:dyDescent="0.35">
      <c r="A369" s="1203" t="s">
        <v>610</v>
      </c>
      <c r="B369" s="1204"/>
      <c r="C369" s="1204"/>
      <c r="D369" s="1204"/>
      <c r="E369" s="1204"/>
      <c r="F369" s="1204"/>
      <c r="G369" s="1204"/>
      <c r="H369" s="1204"/>
      <c r="I369" s="1204"/>
      <c r="J369" s="1204"/>
      <c r="K369" s="1204"/>
      <c r="L369" s="1205"/>
    </row>
    <row r="370" spans="1:12" s="1" customFormat="1" ht="16" thickBot="1" x14ac:dyDescent="0.4">
      <c r="A370" s="585"/>
      <c r="B370" s="2"/>
      <c r="C370" s="5"/>
      <c r="D370" s="586"/>
      <c r="E370" s="5"/>
      <c r="F370" s="5"/>
      <c r="G370" s="5"/>
      <c r="H370" s="5"/>
      <c r="I370" s="5"/>
      <c r="J370" s="3"/>
      <c r="K370" s="21"/>
      <c r="L370" s="653"/>
    </row>
    <row r="371" spans="1:12" s="1" customFormat="1" x14ac:dyDescent="0.35">
      <c r="A371" s="1206" t="s">
        <v>302</v>
      </c>
      <c r="B371" s="1208" t="s">
        <v>28</v>
      </c>
      <c r="C371" s="1210" t="s">
        <v>343</v>
      </c>
      <c r="D371" s="613"/>
      <c r="E371" s="1212" t="s">
        <v>305</v>
      </c>
      <c r="F371" s="1212"/>
      <c r="G371" s="1212"/>
      <c r="H371" s="1212"/>
      <c r="I371" s="1212"/>
      <c r="J371" s="1208" t="s">
        <v>29</v>
      </c>
      <c r="K371" s="1213" t="s">
        <v>306</v>
      </c>
      <c r="L371" s="1215" t="str">
        <f>L360</f>
        <v>REMARKS</v>
      </c>
    </row>
    <row r="372" spans="1:12" s="1" customFormat="1" ht="21" customHeight="1" thickBot="1" x14ac:dyDescent="0.4">
      <c r="A372" s="1207"/>
      <c r="B372" s="1209"/>
      <c r="C372" s="1211"/>
      <c r="D372" s="614"/>
      <c r="E372" s="7" t="s">
        <v>308</v>
      </c>
      <c r="F372" s="7" t="s">
        <v>309</v>
      </c>
      <c r="G372" s="7" t="s">
        <v>310</v>
      </c>
      <c r="H372" s="7" t="s">
        <v>311</v>
      </c>
      <c r="I372" s="7" t="s">
        <v>312</v>
      </c>
      <c r="J372" s="1209"/>
      <c r="K372" s="1214"/>
      <c r="L372" s="1216"/>
    </row>
    <row r="373" spans="1:12" ht="18" customHeight="1" x14ac:dyDescent="0.35">
      <c r="A373" s="596">
        <v>171</v>
      </c>
      <c r="B373" s="28" t="s">
        <v>611</v>
      </c>
      <c r="C373" s="10">
        <f>SUM(E373:H373)</f>
        <v>8.7409999999999997</v>
      </c>
      <c r="D373" s="10"/>
      <c r="E373" s="10">
        <v>1.18</v>
      </c>
      <c r="F373" s="10">
        <v>0</v>
      </c>
      <c r="G373" s="10">
        <v>0</v>
      </c>
      <c r="H373" s="10">
        <v>7.5609999999999999</v>
      </c>
      <c r="I373" s="10">
        <v>0</v>
      </c>
      <c r="J373" s="103" t="s">
        <v>12</v>
      </c>
      <c r="K373" s="597"/>
      <c r="L373" s="28" t="str">
        <f>L354</f>
        <v>FOR VERIFICATION</v>
      </c>
    </row>
    <row r="374" spans="1:12" ht="18" customHeight="1" x14ac:dyDescent="0.35">
      <c r="A374" s="596"/>
      <c r="B374" s="28"/>
      <c r="C374" s="10"/>
      <c r="D374" s="615"/>
      <c r="E374" s="10"/>
      <c r="F374" s="10"/>
      <c r="G374" s="10"/>
      <c r="H374" s="10"/>
      <c r="I374" s="10"/>
      <c r="J374" s="102"/>
      <c r="K374" s="659"/>
      <c r="L374" s="653"/>
    </row>
    <row r="375" spans="1:12" x14ac:dyDescent="0.35">
      <c r="A375" s="658" t="s">
        <v>341</v>
      </c>
      <c r="B375" s="81"/>
      <c r="C375" s="82">
        <f t="shared" ref="C375:I375" si="29">+C373</f>
        <v>8.7409999999999997</v>
      </c>
      <c r="D375" s="708"/>
      <c r="E375" s="82">
        <f t="shared" si="29"/>
        <v>1.18</v>
      </c>
      <c r="F375" s="82">
        <f t="shared" si="29"/>
        <v>0</v>
      </c>
      <c r="G375" s="82">
        <f t="shared" si="29"/>
        <v>0</v>
      </c>
      <c r="H375" s="82">
        <f t="shared" si="29"/>
        <v>7.5609999999999999</v>
      </c>
      <c r="I375" s="82">
        <f t="shared" si="29"/>
        <v>0</v>
      </c>
      <c r="J375" s="102"/>
      <c r="K375" s="659"/>
      <c r="L375" s="653"/>
    </row>
    <row r="376" spans="1:12" ht="18" customHeight="1" x14ac:dyDescent="0.35">
      <c r="A376" s="596"/>
      <c r="B376" s="84"/>
      <c r="C376" s="11"/>
      <c r="D376" s="656"/>
      <c r="E376" s="11"/>
      <c r="F376" s="11"/>
      <c r="G376" s="11"/>
      <c r="H376" s="11"/>
      <c r="I376" s="11"/>
      <c r="J376" s="102"/>
      <c r="K376" s="709"/>
      <c r="L376" s="653"/>
    </row>
    <row r="377" spans="1:12" ht="18" customHeight="1" thickBot="1" x14ac:dyDescent="0.4">
      <c r="A377" s="1199" t="s">
        <v>612</v>
      </c>
      <c r="B377" s="1200"/>
      <c r="C377" s="19">
        <f>C375+C367+C356+C341+C321+C312+C294+C279+C261+C240+C228+C213+C198</f>
        <v>767.72500000000002</v>
      </c>
      <c r="D377" s="607"/>
      <c r="E377" s="19">
        <f>+E375+E367+E356+E341+E321+E312+E294+E279+E261+E240+E228+E213+E198</f>
        <v>254.81599999999997</v>
      </c>
      <c r="F377" s="19">
        <f>+F375+F367+F356+F341+F321+F312+F294+F279+F261+F240+F228+F213+F198</f>
        <v>4.74</v>
      </c>
      <c r="G377" s="19">
        <f>+G375+G367+G356+G341+G321+G312+G294+G279+G261+G240+G228+G213+G198</f>
        <v>9.84</v>
      </c>
      <c r="H377" s="19">
        <f>+H375+H367+H356+H341+H321+H312+H294+H279+H261+H240+H228+H213+H198</f>
        <v>496.31900000000002</v>
      </c>
      <c r="I377" s="19">
        <f>+I375+I367+I356+I341+I321+I312+I294+I279+I261+I240+I228+I213+I198</f>
        <v>2.0099999999999998</v>
      </c>
      <c r="J377" s="608"/>
      <c r="K377" s="710"/>
      <c r="L377" s="653"/>
    </row>
    <row r="378" spans="1:12" ht="16" thickBot="1" x14ac:dyDescent="0.4">
      <c r="A378" s="1201" t="s">
        <v>204</v>
      </c>
      <c r="B378" s="1202"/>
      <c r="C378" s="87">
        <f>C377+C174</f>
        <v>1244.0149999999999</v>
      </c>
      <c r="D378" s="711"/>
      <c r="E378" s="87">
        <f>+E377+E174</f>
        <v>401.15</v>
      </c>
      <c r="F378" s="87">
        <f>+F377+F174</f>
        <v>4.74</v>
      </c>
      <c r="G378" s="87">
        <f>+G377+G174</f>
        <v>9.84</v>
      </c>
      <c r="H378" s="87">
        <f>+H377+H174</f>
        <v>826.27500000000009</v>
      </c>
      <c r="I378" s="87">
        <f>+I377+I174</f>
        <v>2.0099999999999998</v>
      </c>
      <c r="J378" s="712"/>
      <c r="K378" s="713"/>
      <c r="L378" s="714"/>
    </row>
    <row r="379" spans="1:12" ht="15" customHeight="1" x14ac:dyDescent="0.35">
      <c r="A379" s="716"/>
      <c r="B379" s="716"/>
      <c r="C379" s="22"/>
      <c r="D379" s="610"/>
      <c r="E379" s="22"/>
      <c r="F379" s="22"/>
      <c r="G379" s="22"/>
      <c r="H379" s="22"/>
      <c r="I379" s="22"/>
      <c r="J379" s="1"/>
      <c r="K379" s="21"/>
      <c r="L379" s="21"/>
    </row>
    <row r="380" spans="1:12" ht="15" customHeight="1" x14ac:dyDescent="0.35">
      <c r="A380" s="3"/>
      <c r="B380" s="716" t="s">
        <v>841</v>
      </c>
      <c r="C380" s="22">
        <f>SUM(E378:I378)</f>
        <v>1244.0150000000001</v>
      </c>
      <c r="D380" s="610"/>
      <c r="E380" s="22"/>
      <c r="F380" s="22"/>
      <c r="G380" s="22"/>
      <c r="H380" s="22"/>
      <c r="I380" s="22"/>
      <c r="J380" s="1"/>
      <c r="K380" s="21"/>
      <c r="L380" s="21"/>
    </row>
    <row r="381" spans="1:12" ht="15" customHeight="1" x14ac:dyDescent="0.35">
      <c r="A381" s="3"/>
      <c r="B381" s="716"/>
      <c r="C381" s="22"/>
      <c r="D381" s="610"/>
      <c r="E381" s="22"/>
      <c r="F381" s="22"/>
      <c r="G381" s="22"/>
      <c r="H381" s="22"/>
      <c r="I381" s="22"/>
      <c r="J381" s="1"/>
      <c r="K381" s="21"/>
      <c r="L381" s="21"/>
    </row>
    <row r="382" spans="1:12" ht="15" customHeight="1" x14ac:dyDescent="0.35">
      <c r="A382" s="3"/>
      <c r="B382" s="716"/>
      <c r="C382" s="22"/>
      <c r="D382" s="610"/>
      <c r="E382" s="22"/>
      <c r="F382" s="22"/>
      <c r="G382" s="22"/>
      <c r="H382" s="22"/>
      <c r="I382" s="22"/>
      <c r="J382" s="1"/>
      <c r="K382" s="21"/>
      <c r="L382" s="21"/>
    </row>
    <row r="383" spans="1:12" ht="15" customHeight="1" x14ac:dyDescent="0.35">
      <c r="A383" s="3"/>
      <c r="B383" s="717" t="s">
        <v>154</v>
      </c>
      <c r="C383" s="22"/>
      <c r="D383" s="610"/>
      <c r="E383" s="22"/>
      <c r="F383" s="22"/>
      <c r="G383" s="22"/>
      <c r="H383" s="22"/>
      <c r="I383" s="22"/>
      <c r="J383" s="1"/>
      <c r="K383" s="21"/>
      <c r="L383" s="21"/>
    </row>
    <row r="384" spans="1:12" ht="15" customHeight="1" x14ac:dyDescent="0.35">
      <c r="A384" s="3"/>
      <c r="B384" s="583" t="s">
        <v>155</v>
      </c>
      <c r="C384" s="22"/>
      <c r="D384" s="610"/>
      <c r="E384" s="22"/>
      <c r="F384" s="22"/>
      <c r="G384" s="22"/>
      <c r="H384" s="22"/>
      <c r="I384" s="22"/>
      <c r="J384" s="1"/>
      <c r="K384" s="21"/>
      <c r="L384" s="21"/>
    </row>
    <row r="385" spans="1:12" ht="15" customHeight="1" x14ac:dyDescent="0.35">
      <c r="A385" s="3"/>
      <c r="B385" s="583" t="s">
        <v>842</v>
      </c>
      <c r="C385" s="22"/>
      <c r="D385" s="610"/>
      <c r="E385" s="22"/>
      <c r="F385" s="22"/>
      <c r="G385" s="22"/>
      <c r="H385" s="22"/>
      <c r="I385" s="22"/>
      <c r="J385" s="1"/>
      <c r="K385" s="21"/>
      <c r="L385" s="21"/>
    </row>
    <row r="386" spans="1:12" ht="38.25" customHeight="1" thickBot="1" x14ac:dyDescent="0.4">
      <c r="A386" s="718"/>
      <c r="B386" s="718"/>
      <c r="C386" s="719"/>
      <c r="D386" s="720"/>
      <c r="E386" s="719"/>
      <c r="F386" s="719"/>
      <c r="G386" s="719"/>
      <c r="H386" s="719"/>
      <c r="I386" s="719"/>
      <c r="J386" s="721"/>
      <c r="K386" s="715"/>
      <c r="L386" s="715"/>
    </row>
    <row r="387" spans="1:12" x14ac:dyDescent="0.35">
      <c r="B387" s="722" t="s">
        <v>10</v>
      </c>
      <c r="C387" s="723">
        <f>C10+C13+C15+C16+C17+C18+C19+C20+C25+C39+C42+C46+C48+C49+C50+C96+C97+C98+C100+C115+C116+C121+C123+C124+C141+C149+C150+C151+C159+C170+C180+C181+C187+C190+C204+C205+C207+C224+C226+C250+C253+C288+C291+C301+C302+C303+C304+C310+C327+C331+C336+C337+C339+C350</f>
        <v>287.98699999999997</v>
      </c>
      <c r="D387" s="724">
        <v>285.47999999999996</v>
      </c>
      <c r="E387" s="725"/>
      <c r="F387" s="726"/>
      <c r="G387" s="727"/>
    </row>
    <row r="388" spans="1:12" x14ac:dyDescent="0.35">
      <c r="B388" s="728" t="s">
        <v>12</v>
      </c>
      <c r="C388" s="729">
        <f>C8+C9+C11+C14+C21+C22+C27+C28+C29+C30+C40+C41+C43+C44+C45+C47+C53+C54+C55+C56+C57+C58+C59+C62+C65+C72+C73+C75+C76+C77+C86+C94+C99+C110+C111+C112+C113+C114+C117+C118+C122+C125+C126+C127+C128+C129+C130+C131+C134+C135+C136+C137+C138+C140+C157+C171+C184+C186+C188+C191+C192+C193+C194+C195+C196+C208+C210+C211+C219+C220+C221+C222+C225+C235+C237+C246+C247+C248+C249+C254+C258+C259+C268+C273+C274+C285+C286+C289+C309+C318+C319+C329+C330+C332+C335+C349+C352+C353+C362+C363+C364+C365+C373</f>
        <v>603.154</v>
      </c>
      <c r="D388" s="724">
        <v>595.79900000000009</v>
      </c>
      <c r="E388" s="730">
        <f>C387+C388</f>
        <v>891.14099999999996</v>
      </c>
      <c r="F388" s="731">
        <f>'GOOD TO FAIR2019'!C311</f>
        <v>883.58600000000001</v>
      </c>
      <c r="G388" s="729">
        <f>F388-E388</f>
        <v>-7.55499999999995</v>
      </c>
    </row>
    <row r="389" spans="1:12" x14ac:dyDescent="0.35">
      <c r="B389" s="728" t="s">
        <v>33</v>
      </c>
      <c r="C389" s="729">
        <f>C12+C23+C24+C26+C52+C60+C61+C78+C93+C95+C101+C119+C120+C132+C133+C139+C155+C156+C162+C182+C183+C185+C206+C209+C236+C238+C252+C255+C257+C267+C269+C270+C271+C272+C275+C276+C287+C290+C292+C300+C305+C306+C307+C328+C333+C338+C347+C348+C351+C334+C308+C256</f>
        <v>275.60400000000004</v>
      </c>
      <c r="D389" s="724">
        <v>260.23399999999992</v>
      </c>
      <c r="E389" s="732"/>
      <c r="F389" s="731"/>
      <c r="G389" s="733"/>
    </row>
    <row r="390" spans="1:12" ht="16" thickBot="1" x14ac:dyDescent="0.4">
      <c r="B390" s="734" t="s">
        <v>41</v>
      </c>
      <c r="C390" s="735">
        <f>C31+C51+C63+C64+C102+C152+C153+C154+C158+C160+C161+C189+C223+C234+C251+C277+C354</f>
        <v>77.27</v>
      </c>
      <c r="D390" s="724">
        <v>72.97</v>
      </c>
      <c r="E390" s="736">
        <f>C387+C388+C389+C390</f>
        <v>1244.0149999999999</v>
      </c>
      <c r="F390" s="737">
        <f>C378</f>
        <v>1244.0149999999999</v>
      </c>
      <c r="G390" s="735">
        <f>F390-E390</f>
        <v>0</v>
      </c>
    </row>
    <row r="391" spans="1:12" x14ac:dyDescent="0.35">
      <c r="D391" s="724">
        <f>SUBTOTAL(9,D387:D390)</f>
        <v>1214.4829999999999</v>
      </c>
    </row>
    <row r="392" spans="1:12" ht="18" customHeight="1" x14ac:dyDescent="0.35"/>
    <row r="393" spans="1:12" ht="18" customHeight="1" x14ac:dyDescent="0.35">
      <c r="C393" s="38"/>
      <c r="D393" s="645"/>
    </row>
    <row r="394" spans="1:12" s="95" customFormat="1" ht="18" customHeight="1" x14ac:dyDescent="0.35">
      <c r="B394" s="2"/>
      <c r="C394" s="3"/>
      <c r="D394" s="582"/>
      <c r="E394" s="3"/>
      <c r="F394" s="3"/>
      <c r="G394" s="3"/>
      <c r="H394" s="3"/>
      <c r="I394" s="3"/>
      <c r="J394" s="3"/>
      <c r="K394" s="2"/>
      <c r="L394" s="2"/>
    </row>
    <row r="395" spans="1:12" s="95" customFormat="1" ht="18" customHeight="1" x14ac:dyDescent="0.35">
      <c r="B395" s="2"/>
      <c r="C395" s="3"/>
      <c r="D395" s="582"/>
      <c r="E395" s="3"/>
      <c r="F395" s="3"/>
      <c r="G395" s="3"/>
      <c r="H395" s="3"/>
      <c r="I395" s="3"/>
      <c r="J395" s="3"/>
      <c r="K395" s="2"/>
      <c r="L395" s="2"/>
    </row>
    <row r="396" spans="1:12" s="95" customFormat="1" ht="18" customHeight="1" x14ac:dyDescent="0.35">
      <c r="B396" s="2"/>
      <c r="C396" s="3"/>
      <c r="D396" s="582"/>
      <c r="E396" s="3"/>
      <c r="F396" s="3"/>
      <c r="G396" s="3"/>
      <c r="H396" s="3"/>
      <c r="I396" s="3"/>
      <c r="J396" s="3"/>
      <c r="K396" s="2"/>
      <c r="L396" s="2"/>
    </row>
    <row r="397" spans="1:12" s="95" customFormat="1" ht="18" customHeight="1" x14ac:dyDescent="0.35">
      <c r="B397" s="2"/>
      <c r="C397" s="3"/>
      <c r="D397" s="582"/>
      <c r="E397" s="3"/>
      <c r="F397" s="3"/>
      <c r="G397" s="3"/>
      <c r="H397" s="3"/>
      <c r="I397" s="3"/>
      <c r="J397" s="3"/>
      <c r="K397" s="2"/>
      <c r="L397" s="2"/>
    </row>
    <row r="398" spans="1:12" s="95" customFormat="1" ht="18" customHeight="1" x14ac:dyDescent="0.35">
      <c r="B398" s="2"/>
      <c r="C398" s="3"/>
      <c r="D398" s="582"/>
      <c r="E398" s="3"/>
      <c r="F398" s="3"/>
      <c r="G398" s="3"/>
      <c r="H398" s="3"/>
      <c r="I398" s="3"/>
      <c r="J398" s="3"/>
      <c r="K398" s="2"/>
      <c r="L398" s="2"/>
    </row>
    <row r="399" spans="1:12" s="95" customFormat="1" ht="18" customHeight="1" x14ac:dyDescent="0.35">
      <c r="B399" s="2"/>
      <c r="C399" s="3"/>
      <c r="D399" s="582"/>
      <c r="E399" s="3"/>
      <c r="F399" s="3"/>
      <c r="G399" s="3"/>
      <c r="H399" s="3"/>
      <c r="I399" s="3"/>
      <c r="J399" s="3"/>
      <c r="K399" s="2"/>
      <c r="L399" s="2"/>
    </row>
    <row r="400" spans="1:12" s="95" customFormat="1" ht="18" customHeight="1" x14ac:dyDescent="0.35">
      <c r="B400" s="2"/>
      <c r="C400" s="3"/>
      <c r="D400" s="582"/>
      <c r="E400" s="3"/>
      <c r="F400" s="3"/>
      <c r="G400" s="3"/>
      <c r="H400" s="3"/>
      <c r="I400" s="3"/>
      <c r="J400" s="3"/>
      <c r="K400" s="2"/>
      <c r="L400" s="2"/>
    </row>
    <row r="401" spans="2:12" s="95" customFormat="1" ht="18" customHeight="1" x14ac:dyDescent="0.35">
      <c r="B401" s="2"/>
      <c r="C401" s="3"/>
      <c r="D401" s="582"/>
      <c r="E401" s="3"/>
      <c r="F401" s="3"/>
      <c r="G401" s="3"/>
      <c r="H401" s="3"/>
      <c r="I401" s="3"/>
      <c r="J401" s="3"/>
      <c r="K401" s="2"/>
      <c r="L401" s="2"/>
    </row>
    <row r="402" spans="2:12" s="95" customFormat="1" ht="18" customHeight="1" x14ac:dyDescent="0.35">
      <c r="B402" s="2"/>
      <c r="C402" s="3"/>
      <c r="D402" s="582"/>
      <c r="E402" s="3"/>
      <c r="F402" s="3"/>
      <c r="G402" s="3"/>
      <c r="H402" s="3"/>
      <c r="I402" s="3"/>
      <c r="J402" s="3"/>
      <c r="K402" s="2"/>
      <c r="L402" s="2"/>
    </row>
    <row r="403" spans="2:12" s="95" customFormat="1" ht="18" customHeight="1" x14ac:dyDescent="0.35">
      <c r="B403" s="2"/>
      <c r="C403" s="3"/>
      <c r="D403" s="582"/>
      <c r="E403" s="3"/>
      <c r="F403" s="3"/>
      <c r="G403" s="3"/>
      <c r="H403" s="3"/>
      <c r="I403" s="3"/>
      <c r="J403" s="3"/>
      <c r="K403" s="2"/>
      <c r="L403" s="2"/>
    </row>
    <row r="404" spans="2:12" s="95" customFormat="1" ht="18" customHeight="1" x14ac:dyDescent="0.35">
      <c r="B404" s="2"/>
      <c r="C404" s="3"/>
      <c r="D404" s="582"/>
      <c r="E404" s="3"/>
      <c r="F404" s="3"/>
      <c r="G404" s="3"/>
      <c r="H404" s="3"/>
      <c r="I404" s="3"/>
      <c r="J404" s="3"/>
      <c r="K404" s="2"/>
      <c r="L404" s="2"/>
    </row>
    <row r="405" spans="2:12" s="95" customFormat="1" ht="18" customHeight="1" x14ac:dyDescent="0.35">
      <c r="B405" s="2"/>
      <c r="C405" s="3"/>
      <c r="D405" s="582"/>
      <c r="E405" s="3"/>
      <c r="F405" s="3"/>
      <c r="G405" s="3"/>
      <c r="H405" s="3"/>
      <c r="I405" s="3"/>
      <c r="J405" s="3"/>
      <c r="K405" s="2"/>
      <c r="L405" s="2"/>
    </row>
    <row r="406" spans="2:12" s="95" customFormat="1" ht="18" customHeight="1" x14ac:dyDescent="0.35">
      <c r="B406" s="2"/>
      <c r="C406" s="3"/>
      <c r="D406" s="582"/>
      <c r="E406" s="3"/>
      <c r="F406" s="3"/>
      <c r="G406" s="3"/>
      <c r="H406" s="3"/>
      <c r="I406" s="3"/>
      <c r="J406" s="3"/>
      <c r="K406" s="2"/>
      <c r="L406" s="2"/>
    </row>
    <row r="407" spans="2:12" s="95" customFormat="1" ht="18" customHeight="1" x14ac:dyDescent="0.35">
      <c r="B407" s="2"/>
      <c r="C407" s="3"/>
      <c r="D407" s="582"/>
      <c r="E407" s="3"/>
      <c r="F407" s="3"/>
      <c r="G407" s="3"/>
      <c r="H407" s="3"/>
      <c r="I407" s="3"/>
      <c r="J407" s="3"/>
      <c r="K407" s="2"/>
      <c r="L407" s="2"/>
    </row>
    <row r="408" spans="2:12" s="95" customFormat="1" ht="18" customHeight="1" x14ac:dyDescent="0.35">
      <c r="B408" s="2"/>
      <c r="C408" s="3"/>
      <c r="D408" s="582"/>
      <c r="E408" s="3"/>
      <c r="F408" s="3"/>
      <c r="G408" s="3"/>
      <c r="H408" s="3"/>
      <c r="I408" s="3"/>
      <c r="J408" s="3"/>
      <c r="K408" s="2"/>
      <c r="L408" s="2"/>
    </row>
    <row r="409" spans="2:12" s="95" customFormat="1" ht="18" customHeight="1" x14ac:dyDescent="0.35">
      <c r="B409" s="2"/>
      <c r="C409" s="3"/>
      <c r="D409" s="582"/>
      <c r="E409" s="3"/>
      <c r="F409" s="3"/>
      <c r="G409" s="3"/>
      <c r="H409" s="3"/>
      <c r="I409" s="3"/>
      <c r="J409" s="3"/>
      <c r="K409" s="2"/>
      <c r="L409" s="2"/>
    </row>
    <row r="410" spans="2:12" s="95" customFormat="1" ht="18" customHeight="1" x14ac:dyDescent="0.35">
      <c r="B410" s="2"/>
      <c r="C410" s="3"/>
      <c r="D410" s="582"/>
      <c r="E410" s="3"/>
      <c r="F410" s="3"/>
      <c r="G410" s="3"/>
      <c r="H410" s="3"/>
      <c r="I410" s="3"/>
      <c r="J410" s="3"/>
      <c r="K410" s="2"/>
      <c r="L410" s="2"/>
    </row>
    <row r="411" spans="2:12" s="95" customFormat="1" ht="18" customHeight="1" x14ac:dyDescent="0.35">
      <c r="B411" s="2"/>
      <c r="C411" s="3"/>
      <c r="D411" s="582"/>
      <c r="E411" s="3"/>
      <c r="F411" s="3"/>
      <c r="G411" s="3"/>
      <c r="H411" s="3"/>
      <c r="I411" s="3"/>
      <c r="J411" s="3"/>
      <c r="K411" s="2"/>
      <c r="L411" s="2"/>
    </row>
    <row r="412" spans="2:12" s="95" customFormat="1" ht="18" customHeight="1" x14ac:dyDescent="0.35">
      <c r="B412" s="2"/>
      <c r="C412" s="3"/>
      <c r="D412" s="582"/>
      <c r="E412" s="3"/>
      <c r="F412" s="3"/>
      <c r="G412" s="3"/>
      <c r="H412" s="3"/>
      <c r="I412" s="3"/>
      <c r="J412" s="3"/>
      <c r="K412" s="2"/>
      <c r="L412" s="2"/>
    </row>
    <row r="413" spans="2:12" s="95" customFormat="1" ht="18" customHeight="1" x14ac:dyDescent="0.35">
      <c r="B413" s="2"/>
      <c r="C413" s="3"/>
      <c r="D413" s="582"/>
      <c r="E413" s="3"/>
      <c r="F413" s="3"/>
      <c r="G413" s="3"/>
      <c r="H413" s="3"/>
      <c r="I413" s="3"/>
      <c r="J413" s="3"/>
      <c r="K413" s="2"/>
      <c r="L413" s="2"/>
    </row>
    <row r="414" spans="2:12" s="95" customFormat="1" ht="18" customHeight="1" x14ac:dyDescent="0.35">
      <c r="B414" s="2"/>
      <c r="C414" s="3"/>
      <c r="D414" s="582"/>
      <c r="E414" s="3"/>
      <c r="F414" s="3"/>
      <c r="G414" s="3"/>
      <c r="H414" s="3"/>
      <c r="I414" s="3"/>
      <c r="J414" s="3"/>
      <c r="K414" s="2"/>
      <c r="L414" s="2"/>
    </row>
    <row r="415" spans="2:12" s="95" customFormat="1" ht="18" customHeight="1" x14ac:dyDescent="0.35">
      <c r="B415" s="2"/>
      <c r="C415" s="3"/>
      <c r="D415" s="582"/>
      <c r="E415" s="3"/>
      <c r="F415" s="3"/>
      <c r="G415" s="3"/>
      <c r="H415" s="3"/>
      <c r="I415" s="3"/>
      <c r="J415" s="3"/>
      <c r="K415" s="2"/>
      <c r="L415" s="2"/>
    </row>
    <row r="416" spans="2:12" s="95" customFormat="1" ht="18" customHeight="1" x14ac:dyDescent="0.35">
      <c r="B416" s="2"/>
      <c r="C416" s="3"/>
      <c r="D416" s="582"/>
      <c r="E416" s="3"/>
      <c r="F416" s="3"/>
      <c r="G416" s="3"/>
      <c r="H416" s="3"/>
      <c r="I416" s="3"/>
      <c r="J416" s="3"/>
      <c r="K416" s="2"/>
      <c r="L416" s="2"/>
    </row>
    <row r="417" spans="2:12" s="95" customFormat="1" ht="18" customHeight="1" x14ac:dyDescent="0.35">
      <c r="B417" s="2"/>
      <c r="C417" s="3"/>
      <c r="D417" s="582"/>
      <c r="E417" s="3"/>
      <c r="F417" s="3"/>
      <c r="G417" s="3"/>
      <c r="H417" s="3"/>
      <c r="I417" s="3"/>
      <c r="J417" s="3"/>
      <c r="K417" s="2"/>
      <c r="L417" s="2"/>
    </row>
    <row r="418" spans="2:12" s="95" customFormat="1" ht="18" customHeight="1" x14ac:dyDescent="0.35">
      <c r="B418" s="2"/>
      <c r="C418" s="3"/>
      <c r="D418" s="582"/>
      <c r="E418" s="3"/>
      <c r="F418" s="3"/>
      <c r="G418" s="3"/>
      <c r="H418" s="3"/>
      <c r="I418" s="3"/>
      <c r="J418" s="3"/>
      <c r="K418" s="2"/>
      <c r="L418" s="2"/>
    </row>
    <row r="419" spans="2:12" s="95" customFormat="1" ht="18" customHeight="1" x14ac:dyDescent="0.35">
      <c r="B419" s="2"/>
      <c r="C419" s="3"/>
      <c r="D419" s="582"/>
      <c r="E419" s="3"/>
      <c r="F419" s="3"/>
      <c r="G419" s="3"/>
      <c r="H419" s="3"/>
      <c r="I419" s="3"/>
      <c r="J419" s="3"/>
      <c r="K419" s="2"/>
      <c r="L419" s="2"/>
    </row>
    <row r="420" spans="2:12" s="95" customFormat="1" ht="18" customHeight="1" x14ac:dyDescent="0.35">
      <c r="B420" s="2"/>
      <c r="C420" s="3"/>
      <c r="D420" s="582"/>
      <c r="E420" s="3"/>
      <c r="F420" s="3"/>
      <c r="G420" s="3"/>
      <c r="H420" s="3"/>
      <c r="I420" s="3"/>
      <c r="J420" s="3"/>
      <c r="K420" s="2"/>
      <c r="L420" s="2"/>
    </row>
    <row r="421" spans="2:12" s="95" customFormat="1" ht="18" customHeight="1" x14ac:dyDescent="0.35">
      <c r="B421" s="2"/>
      <c r="C421" s="3"/>
      <c r="D421" s="582"/>
      <c r="E421" s="3"/>
      <c r="F421" s="3"/>
      <c r="G421" s="3"/>
      <c r="H421" s="3"/>
      <c r="I421" s="3"/>
      <c r="J421" s="3"/>
      <c r="K421" s="2"/>
      <c r="L421" s="2"/>
    </row>
    <row r="422" spans="2:12" s="95" customFormat="1" ht="18" customHeight="1" x14ac:dyDescent="0.35">
      <c r="B422" s="2"/>
      <c r="C422" s="3"/>
      <c r="D422" s="582"/>
      <c r="E422" s="3"/>
      <c r="F422" s="3"/>
      <c r="G422" s="3"/>
      <c r="H422" s="3"/>
      <c r="I422" s="3"/>
      <c r="J422" s="3"/>
      <c r="K422" s="2"/>
      <c r="L422" s="2"/>
    </row>
    <row r="423" spans="2:12" s="95" customFormat="1" ht="18" customHeight="1" x14ac:dyDescent="0.35">
      <c r="B423" s="2"/>
      <c r="C423" s="3"/>
      <c r="D423" s="582"/>
      <c r="E423" s="3"/>
      <c r="F423" s="3"/>
      <c r="G423" s="3"/>
      <c r="H423" s="3"/>
      <c r="I423" s="3"/>
      <c r="J423" s="3"/>
      <c r="K423" s="2"/>
      <c r="L423" s="2"/>
    </row>
    <row r="424" spans="2:12" s="95" customFormat="1" ht="18" customHeight="1" x14ac:dyDescent="0.35">
      <c r="B424" s="2"/>
      <c r="C424" s="3"/>
      <c r="D424" s="582"/>
      <c r="E424" s="3"/>
      <c r="F424" s="3"/>
      <c r="G424" s="3"/>
      <c r="H424" s="3"/>
      <c r="I424" s="3"/>
      <c r="J424" s="3"/>
      <c r="K424" s="2"/>
      <c r="L424" s="2"/>
    </row>
    <row r="425" spans="2:12" s="95" customFormat="1" ht="18" customHeight="1" x14ac:dyDescent="0.35">
      <c r="B425" s="2"/>
      <c r="C425" s="3"/>
      <c r="D425" s="582"/>
      <c r="E425" s="3"/>
      <c r="F425" s="3"/>
      <c r="G425" s="3"/>
      <c r="H425" s="3"/>
      <c r="I425" s="3"/>
      <c r="J425" s="3"/>
      <c r="K425" s="2"/>
      <c r="L425" s="2"/>
    </row>
    <row r="426" spans="2:12" s="95" customFormat="1" ht="18" customHeight="1" x14ac:dyDescent="0.35">
      <c r="B426" s="2"/>
      <c r="C426" s="3"/>
      <c r="D426" s="582"/>
      <c r="E426" s="3"/>
      <c r="F426" s="3"/>
      <c r="G426" s="3"/>
      <c r="H426" s="3"/>
      <c r="I426" s="3"/>
      <c r="J426" s="3"/>
      <c r="K426" s="2"/>
      <c r="L426" s="2"/>
    </row>
    <row r="427" spans="2:12" s="95" customFormat="1" ht="18" customHeight="1" x14ac:dyDescent="0.35">
      <c r="B427" s="2"/>
      <c r="C427" s="3"/>
      <c r="D427" s="582"/>
      <c r="E427" s="3"/>
      <c r="F427" s="3"/>
      <c r="G427" s="3"/>
      <c r="H427" s="3"/>
      <c r="I427" s="3"/>
      <c r="J427" s="3"/>
      <c r="K427" s="2"/>
      <c r="L427" s="2"/>
    </row>
    <row r="428" spans="2:12" s="95" customFormat="1" ht="18" customHeight="1" x14ac:dyDescent="0.35">
      <c r="B428" s="2"/>
      <c r="C428" s="3"/>
      <c r="D428" s="582"/>
      <c r="E428" s="3"/>
      <c r="F428" s="3"/>
      <c r="G428" s="3"/>
      <c r="H428" s="3"/>
      <c r="I428" s="3"/>
      <c r="J428" s="3"/>
      <c r="K428" s="2"/>
      <c r="L428" s="2"/>
    </row>
    <row r="429" spans="2:12" s="95" customFormat="1" ht="18" customHeight="1" x14ac:dyDescent="0.35">
      <c r="B429" s="2"/>
      <c r="C429" s="3"/>
      <c r="D429" s="582"/>
      <c r="E429" s="3"/>
      <c r="F429" s="3"/>
      <c r="G429" s="3"/>
      <c r="H429" s="3"/>
      <c r="I429" s="3"/>
      <c r="J429" s="3"/>
      <c r="K429" s="2"/>
      <c r="L429" s="2"/>
    </row>
    <row r="430" spans="2:12" s="95" customFormat="1" ht="18" customHeight="1" x14ac:dyDescent="0.35">
      <c r="B430" s="2"/>
      <c r="C430" s="3"/>
      <c r="D430" s="582"/>
      <c r="E430" s="3"/>
      <c r="F430" s="3"/>
      <c r="G430" s="3"/>
      <c r="H430" s="3"/>
      <c r="I430" s="3"/>
      <c r="J430" s="3"/>
      <c r="K430" s="2"/>
      <c r="L430" s="2"/>
    </row>
    <row r="431" spans="2:12" s="95" customFormat="1" ht="18" customHeight="1" x14ac:dyDescent="0.35">
      <c r="B431" s="2"/>
      <c r="C431" s="3"/>
      <c r="D431" s="582"/>
      <c r="E431" s="3"/>
      <c r="F431" s="3"/>
      <c r="G431" s="3"/>
      <c r="H431" s="3"/>
      <c r="I431" s="3"/>
      <c r="J431" s="3"/>
      <c r="K431" s="2"/>
      <c r="L431" s="2"/>
    </row>
    <row r="432" spans="2:12" s="95" customFormat="1" ht="18" customHeight="1" x14ac:dyDescent="0.35">
      <c r="B432" s="2"/>
      <c r="C432" s="3"/>
      <c r="D432" s="582"/>
      <c r="E432" s="3"/>
      <c r="F432" s="3"/>
      <c r="G432" s="3"/>
      <c r="H432" s="3"/>
      <c r="I432" s="3"/>
      <c r="J432" s="3"/>
      <c r="K432" s="2"/>
      <c r="L432" s="2"/>
    </row>
    <row r="433" spans="2:12" s="95" customFormat="1" ht="18" customHeight="1" x14ac:dyDescent="0.35">
      <c r="B433" s="2"/>
      <c r="C433" s="3"/>
      <c r="D433" s="582"/>
      <c r="E433" s="3"/>
      <c r="F433" s="3"/>
      <c r="G433" s="3"/>
      <c r="H433" s="3"/>
      <c r="I433" s="3"/>
      <c r="J433" s="3"/>
      <c r="K433" s="2"/>
      <c r="L433" s="2"/>
    </row>
    <row r="434" spans="2:12" s="95" customFormat="1" ht="18" customHeight="1" x14ac:dyDescent="0.35">
      <c r="B434" s="2"/>
      <c r="C434" s="3"/>
      <c r="D434" s="582"/>
      <c r="E434" s="3"/>
      <c r="F434" s="3"/>
      <c r="G434" s="3"/>
      <c r="H434" s="3"/>
      <c r="I434" s="3"/>
      <c r="J434" s="3"/>
      <c r="K434" s="2"/>
      <c r="L434" s="2"/>
    </row>
    <row r="435" spans="2:12" s="95" customFormat="1" ht="18" customHeight="1" x14ac:dyDescent="0.35">
      <c r="B435" s="2"/>
      <c r="C435" s="3"/>
      <c r="D435" s="582"/>
      <c r="E435" s="3"/>
      <c r="F435" s="3"/>
      <c r="G435" s="3"/>
      <c r="H435" s="3"/>
      <c r="I435" s="3"/>
      <c r="J435" s="3"/>
      <c r="K435" s="2"/>
      <c r="L435" s="2"/>
    </row>
    <row r="436" spans="2:12" s="95" customFormat="1" ht="18" customHeight="1" x14ac:dyDescent="0.35">
      <c r="B436" s="2"/>
      <c r="C436" s="3"/>
      <c r="D436" s="582"/>
      <c r="E436" s="3"/>
      <c r="F436" s="3"/>
      <c r="G436" s="3"/>
      <c r="H436" s="3"/>
      <c r="I436" s="3"/>
      <c r="J436" s="3"/>
      <c r="K436" s="2"/>
      <c r="L436" s="2"/>
    </row>
    <row r="437" spans="2:12" s="95" customFormat="1" ht="18" customHeight="1" x14ac:dyDescent="0.35">
      <c r="B437" s="2"/>
      <c r="C437" s="3"/>
      <c r="D437" s="582"/>
      <c r="E437" s="3"/>
      <c r="F437" s="3"/>
      <c r="G437" s="3"/>
      <c r="H437" s="3"/>
      <c r="I437" s="3"/>
      <c r="J437" s="3"/>
      <c r="K437" s="2"/>
      <c r="L437" s="2"/>
    </row>
    <row r="438" spans="2:12" s="95" customFormat="1" ht="18" customHeight="1" x14ac:dyDescent="0.35">
      <c r="B438" s="2"/>
      <c r="C438" s="3"/>
      <c r="D438" s="582"/>
      <c r="E438" s="3"/>
      <c r="F438" s="3"/>
      <c r="G438" s="3"/>
      <c r="H438" s="3"/>
      <c r="I438" s="3"/>
      <c r="J438" s="3"/>
      <c r="K438" s="2"/>
      <c r="L438" s="2"/>
    </row>
    <row r="439" spans="2:12" s="95" customFormat="1" ht="18" customHeight="1" x14ac:dyDescent="0.35">
      <c r="B439" s="2"/>
      <c r="C439" s="3"/>
      <c r="D439" s="582"/>
      <c r="E439" s="3"/>
      <c r="F439" s="3"/>
      <c r="G439" s="3"/>
      <c r="H439" s="3"/>
      <c r="I439" s="3"/>
      <c r="J439" s="3"/>
      <c r="K439" s="2"/>
      <c r="L439" s="2"/>
    </row>
    <row r="440" spans="2:12" s="95" customFormat="1" ht="18" customHeight="1" x14ac:dyDescent="0.35">
      <c r="B440" s="2"/>
      <c r="C440" s="3"/>
      <c r="D440" s="582"/>
      <c r="E440" s="3"/>
      <c r="F440" s="3"/>
      <c r="G440" s="3"/>
      <c r="H440" s="3"/>
      <c r="I440" s="3"/>
      <c r="J440" s="3"/>
      <c r="K440" s="2"/>
      <c r="L440" s="2"/>
    </row>
    <row r="441" spans="2:12" s="95" customFormat="1" ht="18" customHeight="1" x14ac:dyDescent="0.35">
      <c r="B441" s="2"/>
      <c r="C441" s="3"/>
      <c r="D441" s="582"/>
      <c r="E441" s="3"/>
      <c r="F441" s="3"/>
      <c r="G441" s="3"/>
      <c r="H441" s="3"/>
      <c r="I441" s="3"/>
      <c r="J441" s="3"/>
      <c r="K441" s="2"/>
      <c r="L441" s="2"/>
    </row>
    <row r="442" spans="2:12" s="95" customFormat="1" ht="18" customHeight="1" x14ac:dyDescent="0.35">
      <c r="B442" s="2"/>
      <c r="C442" s="3"/>
      <c r="D442" s="582"/>
      <c r="E442" s="3"/>
      <c r="F442" s="3"/>
      <c r="G442" s="3"/>
      <c r="H442" s="3"/>
      <c r="I442" s="3"/>
      <c r="J442" s="3"/>
      <c r="K442" s="2"/>
      <c r="L442" s="2"/>
    </row>
    <row r="443" spans="2:12" s="95" customFormat="1" ht="18" customHeight="1" x14ac:dyDescent="0.35">
      <c r="B443" s="2"/>
      <c r="C443" s="3"/>
      <c r="D443" s="582"/>
      <c r="E443" s="3"/>
      <c r="F443" s="3"/>
      <c r="G443" s="3"/>
      <c r="H443" s="3"/>
      <c r="I443" s="3"/>
      <c r="J443" s="3"/>
      <c r="K443" s="2"/>
      <c r="L443" s="2"/>
    </row>
    <row r="444" spans="2:12" s="95" customFormat="1" ht="18" customHeight="1" x14ac:dyDescent="0.35">
      <c r="B444" s="2"/>
      <c r="C444" s="3"/>
      <c r="D444" s="582"/>
      <c r="E444" s="3"/>
      <c r="F444" s="3"/>
      <c r="G444" s="3"/>
      <c r="H444" s="3"/>
      <c r="I444" s="3"/>
      <c r="J444" s="3"/>
      <c r="K444" s="2"/>
      <c r="L444" s="2"/>
    </row>
    <row r="445" spans="2:12" s="95" customFormat="1" ht="18" customHeight="1" x14ac:dyDescent="0.35">
      <c r="B445" s="2"/>
      <c r="C445" s="3"/>
      <c r="D445" s="582"/>
      <c r="E445" s="3"/>
      <c r="F445" s="3"/>
      <c r="G445" s="3"/>
      <c r="H445" s="3"/>
      <c r="I445" s="3"/>
      <c r="J445" s="3"/>
      <c r="K445" s="2"/>
      <c r="L445" s="2"/>
    </row>
    <row r="446" spans="2:12" s="95" customFormat="1" ht="18" customHeight="1" x14ac:dyDescent="0.35">
      <c r="B446" s="2"/>
      <c r="C446" s="3"/>
      <c r="D446" s="582"/>
      <c r="E446" s="3"/>
      <c r="F446" s="3"/>
      <c r="G446" s="3"/>
      <c r="H446" s="3"/>
      <c r="I446" s="3"/>
      <c r="J446" s="3"/>
      <c r="K446" s="2"/>
      <c r="L446" s="2"/>
    </row>
    <row r="447" spans="2:12" s="95" customFormat="1" ht="18" customHeight="1" x14ac:dyDescent="0.35">
      <c r="B447" s="2"/>
      <c r="C447" s="3"/>
      <c r="D447" s="582"/>
      <c r="E447" s="3"/>
      <c r="F447" s="3"/>
      <c r="G447" s="3"/>
      <c r="H447" s="3"/>
      <c r="I447" s="3"/>
      <c r="J447" s="3"/>
      <c r="K447" s="2"/>
      <c r="L447" s="2"/>
    </row>
    <row r="448" spans="2:12" s="95" customFormat="1" ht="18" customHeight="1" x14ac:dyDescent="0.35">
      <c r="B448" s="2"/>
      <c r="C448" s="3"/>
      <c r="D448" s="582"/>
      <c r="E448" s="3"/>
      <c r="F448" s="3"/>
      <c r="G448" s="3"/>
      <c r="H448" s="3"/>
      <c r="I448" s="3"/>
      <c r="J448" s="3"/>
      <c r="K448" s="2"/>
      <c r="L448" s="2"/>
    </row>
    <row r="449" spans="1:12" s="95" customFormat="1" ht="18" customHeight="1" x14ac:dyDescent="0.35">
      <c r="B449" s="2"/>
      <c r="C449" s="3"/>
      <c r="D449" s="582"/>
      <c r="E449" s="3"/>
      <c r="F449" s="3"/>
      <c r="G449" s="3"/>
      <c r="H449" s="3"/>
      <c r="I449" s="3"/>
      <c r="J449" s="3"/>
      <c r="K449" s="2"/>
      <c r="L449" s="2"/>
    </row>
    <row r="450" spans="1:12" s="95" customFormat="1" ht="18" customHeight="1" x14ac:dyDescent="0.35">
      <c r="B450" s="2"/>
      <c r="C450" s="3"/>
      <c r="D450" s="582"/>
      <c r="E450" s="3"/>
      <c r="F450" s="3"/>
      <c r="G450" s="3"/>
      <c r="H450" s="3"/>
      <c r="I450" s="3"/>
      <c r="J450" s="3"/>
      <c r="K450" s="2"/>
      <c r="L450" s="2"/>
    </row>
    <row r="451" spans="1:12" s="95" customFormat="1" ht="18" customHeight="1" x14ac:dyDescent="0.35">
      <c r="B451" s="2"/>
      <c r="C451" s="3"/>
      <c r="D451" s="582"/>
      <c r="E451" s="3"/>
      <c r="F451" s="3"/>
      <c r="G451" s="3"/>
      <c r="H451" s="3"/>
      <c r="I451" s="3"/>
      <c r="J451" s="3"/>
      <c r="K451" s="2"/>
      <c r="L451" s="2"/>
    </row>
    <row r="452" spans="1:12" s="95" customFormat="1" ht="18" customHeight="1" x14ac:dyDescent="0.35">
      <c r="B452" s="2"/>
      <c r="C452" s="3"/>
      <c r="D452" s="582"/>
      <c r="E452" s="3"/>
      <c r="F452" s="3"/>
      <c r="G452" s="3"/>
      <c r="H452" s="3"/>
      <c r="I452" s="3"/>
      <c r="J452" s="3"/>
      <c r="K452" s="2"/>
      <c r="L452" s="2"/>
    </row>
    <row r="453" spans="1:12" s="95" customFormat="1" ht="18" customHeight="1" x14ac:dyDescent="0.35">
      <c r="B453" s="2"/>
      <c r="C453" s="3"/>
      <c r="D453" s="582"/>
      <c r="E453" s="3"/>
      <c r="F453" s="3"/>
      <c r="G453" s="3"/>
      <c r="H453" s="3"/>
      <c r="I453" s="3"/>
      <c r="J453" s="3"/>
      <c r="K453" s="2"/>
      <c r="L453" s="2"/>
    </row>
    <row r="454" spans="1:12" s="95" customFormat="1" ht="18" customHeight="1" x14ac:dyDescent="0.35">
      <c r="B454" s="2"/>
      <c r="C454" s="3"/>
      <c r="D454" s="582"/>
      <c r="E454" s="3"/>
      <c r="F454" s="3"/>
      <c r="G454" s="3"/>
      <c r="H454" s="3"/>
      <c r="I454" s="3"/>
      <c r="J454" s="3"/>
      <c r="K454" s="2"/>
      <c r="L454" s="2"/>
    </row>
    <row r="455" spans="1:12" s="95" customFormat="1" ht="18" customHeight="1" x14ac:dyDescent="0.35">
      <c r="B455" s="2"/>
      <c r="C455" s="3"/>
      <c r="D455" s="582"/>
      <c r="E455" s="3"/>
      <c r="F455" s="3"/>
      <c r="G455" s="3"/>
      <c r="H455" s="3"/>
      <c r="I455" s="3"/>
      <c r="J455" s="3"/>
      <c r="K455" s="2"/>
      <c r="L455" s="2"/>
    </row>
    <row r="456" spans="1:12" s="95" customFormat="1" ht="18" customHeight="1" x14ac:dyDescent="0.35">
      <c r="B456" s="2"/>
      <c r="C456" s="3"/>
      <c r="D456" s="582"/>
      <c r="E456" s="3"/>
      <c r="F456" s="3"/>
      <c r="G456" s="3"/>
      <c r="H456" s="3"/>
      <c r="I456" s="3"/>
      <c r="J456" s="3"/>
      <c r="K456" s="2"/>
      <c r="L456" s="2"/>
    </row>
    <row r="457" spans="1:12" s="95" customFormat="1" ht="18" customHeight="1" x14ac:dyDescent="0.35">
      <c r="B457" s="2"/>
      <c r="C457" s="3"/>
      <c r="D457" s="582"/>
      <c r="E457" s="3"/>
      <c r="F457" s="3"/>
      <c r="G457" s="3"/>
      <c r="H457" s="3"/>
      <c r="I457" s="3"/>
      <c r="J457" s="3"/>
      <c r="K457" s="2"/>
      <c r="L457" s="2"/>
    </row>
    <row r="458" spans="1:12" ht="18" customHeight="1" x14ac:dyDescent="0.35"/>
    <row r="459" spans="1:12" ht="18" customHeight="1" x14ac:dyDescent="0.35"/>
    <row r="460" spans="1:12" ht="18" customHeight="1" x14ac:dyDescent="0.35"/>
    <row r="461" spans="1:12" ht="18" customHeight="1" x14ac:dyDescent="0.35"/>
    <row r="462" spans="1:12" ht="18" customHeight="1" x14ac:dyDescent="0.35"/>
    <row r="463" spans="1:12" ht="18" customHeight="1" x14ac:dyDescent="0.35"/>
    <row r="464" spans="1:12" ht="18" customHeight="1" x14ac:dyDescent="0.35">
      <c r="A464" s="95" t="s">
        <v>614</v>
      </c>
      <c r="B464" s="37"/>
      <c r="C464" s="38"/>
      <c r="D464" s="645"/>
      <c r="E464" s="38"/>
      <c r="F464" s="38"/>
      <c r="G464" s="38"/>
      <c r="H464" s="38"/>
      <c r="I464" s="38"/>
    </row>
    <row r="465" spans="1:12" ht="18" customHeight="1" x14ac:dyDescent="0.35">
      <c r="A465" s="544"/>
      <c r="B465" s="35"/>
      <c r="C465" s="22"/>
      <c r="D465" s="610"/>
      <c r="E465" s="22"/>
      <c r="F465" s="22"/>
      <c r="G465" s="22"/>
      <c r="H465" s="22"/>
      <c r="I465" s="22"/>
      <c r="J465" s="1"/>
      <c r="K465" s="21"/>
      <c r="L465" s="21"/>
    </row>
    <row r="466" spans="1:12" ht="18" customHeight="1" x14ac:dyDescent="0.35">
      <c r="A466" s="544"/>
      <c r="B466" s="21" t="s">
        <v>157</v>
      </c>
      <c r="C466" s="22"/>
      <c r="D466" s="610"/>
      <c r="E466" s="22"/>
      <c r="F466" s="22"/>
      <c r="G466" s="22"/>
      <c r="H466" s="22"/>
      <c r="I466" s="22"/>
      <c r="J466" s="1"/>
      <c r="K466" s="21"/>
      <c r="L466" s="21"/>
    </row>
    <row r="467" spans="1:12" ht="18" customHeight="1" x14ac:dyDescent="0.35">
      <c r="A467" s="544"/>
      <c r="B467" s="2" t="s">
        <v>158</v>
      </c>
      <c r="C467" s="22"/>
      <c r="D467" s="610"/>
      <c r="E467" s="22"/>
      <c r="F467" s="22"/>
      <c r="G467" s="22"/>
      <c r="H467" s="22"/>
      <c r="I467" s="22"/>
      <c r="J467" s="1"/>
    </row>
    <row r="468" spans="1:12" ht="18" customHeight="1" x14ac:dyDescent="0.35">
      <c r="A468" s="544"/>
      <c r="B468" s="35"/>
      <c r="C468" s="22"/>
      <c r="D468" s="610"/>
      <c r="E468" s="22"/>
      <c r="F468" s="22"/>
      <c r="G468" s="22"/>
      <c r="H468" s="22"/>
      <c r="I468" s="22"/>
      <c r="J468" s="1"/>
      <c r="K468" s="21"/>
      <c r="L468" s="21"/>
    </row>
    <row r="469" spans="1:12" ht="18" customHeight="1" x14ac:dyDescent="0.35">
      <c r="A469" s="544"/>
      <c r="B469" s="35"/>
      <c r="C469" s="22"/>
      <c r="D469" s="610"/>
      <c r="E469" s="22"/>
      <c r="F469" s="22"/>
      <c r="G469" s="22"/>
      <c r="H469" s="22"/>
      <c r="I469" s="22"/>
      <c r="J469" s="1"/>
      <c r="K469" s="21"/>
      <c r="L469" s="21"/>
    </row>
    <row r="470" spans="1:12" x14ac:dyDescent="0.35">
      <c r="E470" s="38"/>
    </row>
    <row r="471" spans="1:12" x14ac:dyDescent="0.35">
      <c r="A471" s="544" t="s">
        <v>615</v>
      </c>
      <c r="E471" s="38"/>
    </row>
    <row r="472" spans="1:12" x14ac:dyDescent="0.35">
      <c r="A472" s="95" t="s">
        <v>616</v>
      </c>
      <c r="B472" s="2" t="s">
        <v>159</v>
      </c>
      <c r="E472" s="38"/>
    </row>
    <row r="473" spans="1:12" ht="31" x14ac:dyDescent="0.35">
      <c r="A473" s="95" t="s">
        <v>617</v>
      </c>
      <c r="B473" s="2" t="s">
        <v>160</v>
      </c>
      <c r="E473" s="38"/>
    </row>
    <row r="474" spans="1:12" ht="31" x14ac:dyDescent="0.35">
      <c r="A474" s="95" t="s">
        <v>618</v>
      </c>
      <c r="B474" s="2" t="s">
        <v>161</v>
      </c>
      <c r="E474" s="38"/>
    </row>
    <row r="475" spans="1:12" x14ac:dyDescent="0.35">
      <c r="A475" s="95" t="s">
        <v>619</v>
      </c>
      <c r="B475" s="2" t="s">
        <v>162</v>
      </c>
      <c r="E475" s="38"/>
    </row>
    <row r="476" spans="1:12" x14ac:dyDescent="0.35">
      <c r="E476" s="38"/>
    </row>
    <row r="477" spans="1:12" x14ac:dyDescent="0.35">
      <c r="A477" s="95" t="s">
        <v>620</v>
      </c>
      <c r="E477" s="38"/>
    </row>
    <row r="478" spans="1:12" x14ac:dyDescent="0.35">
      <c r="A478" s="95" t="s">
        <v>621</v>
      </c>
      <c r="E478" s="38"/>
    </row>
    <row r="479" spans="1:12" x14ac:dyDescent="0.35">
      <c r="E479" s="38"/>
    </row>
    <row r="480" spans="1:12" x14ac:dyDescent="0.35">
      <c r="A480" s="544" t="s">
        <v>622</v>
      </c>
      <c r="B480" s="21"/>
      <c r="E480" s="38"/>
    </row>
    <row r="481" spans="1:6" ht="46.5" x14ac:dyDescent="0.35">
      <c r="A481" s="95" t="s">
        <v>10</v>
      </c>
      <c r="B481" s="2" t="s">
        <v>163</v>
      </c>
      <c r="E481" s="38"/>
    </row>
    <row r="482" spans="1:6" ht="46.5" x14ac:dyDescent="0.35">
      <c r="A482" s="95" t="s">
        <v>12</v>
      </c>
      <c r="B482" s="2" t="s">
        <v>164</v>
      </c>
      <c r="E482" s="38"/>
    </row>
    <row r="483" spans="1:6" ht="31" x14ac:dyDescent="0.35">
      <c r="A483" s="95" t="s">
        <v>33</v>
      </c>
      <c r="B483" s="2" t="s">
        <v>165</v>
      </c>
      <c r="E483" s="38"/>
    </row>
    <row r="484" spans="1:6" ht="46.5" x14ac:dyDescent="0.35">
      <c r="A484" s="95" t="s">
        <v>41</v>
      </c>
      <c r="B484" s="2" t="s">
        <v>166</v>
      </c>
      <c r="E484" s="38"/>
    </row>
    <row r="485" spans="1:6" x14ac:dyDescent="0.35">
      <c r="E485" s="38"/>
    </row>
    <row r="486" spans="1:6" x14ac:dyDescent="0.35">
      <c r="A486" s="544" t="s">
        <v>623</v>
      </c>
      <c r="B486" s="21"/>
      <c r="E486" s="38"/>
    </row>
    <row r="487" spans="1:6" ht="46.5" x14ac:dyDescent="0.35">
      <c r="A487" s="95" t="s">
        <v>10</v>
      </c>
      <c r="B487" s="2" t="s">
        <v>167</v>
      </c>
      <c r="E487" s="38"/>
    </row>
    <row r="488" spans="1:6" ht="46.5" x14ac:dyDescent="0.35">
      <c r="A488" s="95" t="s">
        <v>12</v>
      </c>
      <c r="B488" s="2" t="s">
        <v>168</v>
      </c>
      <c r="E488" s="38"/>
    </row>
    <row r="489" spans="1:6" ht="31" x14ac:dyDescent="0.35">
      <c r="A489" s="95" t="s">
        <v>33</v>
      </c>
      <c r="B489" s="2" t="s">
        <v>169</v>
      </c>
      <c r="E489" s="38"/>
    </row>
    <row r="490" spans="1:6" x14ac:dyDescent="0.35">
      <c r="A490" s="95" t="s">
        <v>41</v>
      </c>
      <c r="B490" s="2" t="s">
        <v>170</v>
      </c>
      <c r="E490" s="38"/>
    </row>
    <row r="491" spans="1:6" x14ac:dyDescent="0.35">
      <c r="E491" s="38"/>
    </row>
    <row r="492" spans="1:6" x14ac:dyDescent="0.35">
      <c r="A492" s="544" t="s">
        <v>624</v>
      </c>
      <c r="B492" s="21"/>
      <c r="E492" s="1" t="s">
        <v>625</v>
      </c>
      <c r="F492" s="1"/>
    </row>
    <row r="493" spans="1:6" x14ac:dyDescent="0.35">
      <c r="A493" s="95" t="s">
        <v>10</v>
      </c>
      <c r="B493" s="2" t="s">
        <v>171</v>
      </c>
      <c r="E493" s="3" t="s">
        <v>10</v>
      </c>
      <c r="F493" s="3" t="s">
        <v>626</v>
      </c>
    </row>
    <row r="494" spans="1:6" x14ac:dyDescent="0.35">
      <c r="A494" s="95" t="s">
        <v>12</v>
      </c>
      <c r="B494" s="2" t="s">
        <v>172</v>
      </c>
      <c r="E494" s="3" t="s">
        <v>12</v>
      </c>
      <c r="F494" s="3" t="s">
        <v>627</v>
      </c>
    </row>
    <row r="495" spans="1:6" ht="31" x14ac:dyDescent="0.35">
      <c r="A495" s="95" t="s">
        <v>33</v>
      </c>
      <c r="B495" s="2" t="s">
        <v>173</v>
      </c>
      <c r="E495" s="3" t="s">
        <v>33</v>
      </c>
      <c r="F495" s="3" t="s">
        <v>628</v>
      </c>
    </row>
    <row r="496" spans="1:6" x14ac:dyDescent="0.35">
      <c r="A496" s="95" t="s">
        <v>629</v>
      </c>
      <c r="B496" s="2" t="s">
        <v>174</v>
      </c>
      <c r="E496" s="3" t="s">
        <v>41</v>
      </c>
      <c r="F496" s="3" t="s">
        <v>630</v>
      </c>
    </row>
    <row r="497" spans="1:12" x14ac:dyDescent="0.35">
      <c r="F497" s="38"/>
    </row>
    <row r="498" spans="1:12" x14ac:dyDescent="0.35">
      <c r="A498" s="544" t="s">
        <v>631</v>
      </c>
      <c r="B498" s="21"/>
      <c r="E498" s="1" t="s">
        <v>632</v>
      </c>
      <c r="F498" s="38"/>
    </row>
    <row r="499" spans="1:12" x14ac:dyDescent="0.35">
      <c r="A499" s="95" t="s">
        <v>10</v>
      </c>
      <c r="B499" s="2" t="s">
        <v>175</v>
      </c>
      <c r="E499" s="3" t="s">
        <v>633</v>
      </c>
      <c r="F499" s="3" t="s">
        <v>634</v>
      </c>
    </row>
    <row r="500" spans="1:12" x14ac:dyDescent="0.35">
      <c r="A500" s="95" t="s">
        <v>635</v>
      </c>
      <c r="B500" s="2" t="s">
        <v>176</v>
      </c>
      <c r="E500" s="3" t="s">
        <v>636</v>
      </c>
      <c r="F500" s="3" t="s">
        <v>637</v>
      </c>
    </row>
    <row r="501" spans="1:12" ht="31" x14ac:dyDescent="0.35">
      <c r="A501" s="95" t="s">
        <v>638</v>
      </c>
      <c r="B501" s="2" t="s">
        <v>177</v>
      </c>
      <c r="E501" s="3" t="s">
        <v>639</v>
      </c>
    </row>
    <row r="502" spans="1:12" ht="31" x14ac:dyDescent="0.35">
      <c r="A502" s="95" t="s">
        <v>640</v>
      </c>
      <c r="B502" s="2" t="s">
        <v>178</v>
      </c>
      <c r="E502" s="38"/>
    </row>
    <row r="503" spans="1:12" x14ac:dyDescent="0.35">
      <c r="C503" s="96"/>
      <c r="D503" s="746"/>
      <c r="G503" s="3" t="s">
        <v>641</v>
      </c>
    </row>
    <row r="510" spans="1:12" s="1" customFormat="1" ht="18" customHeight="1" x14ac:dyDescent="0.35">
      <c r="A510" s="747"/>
      <c r="B510" s="97" t="s">
        <v>179</v>
      </c>
      <c r="C510" s="98" t="s">
        <v>180</v>
      </c>
      <c r="D510" s="748"/>
      <c r="E510" s="98" t="s">
        <v>642</v>
      </c>
      <c r="F510" s="98" t="s">
        <v>643</v>
      </c>
      <c r="G510" s="98" t="s">
        <v>644</v>
      </c>
      <c r="H510" s="98" t="s">
        <v>645</v>
      </c>
      <c r="I510" s="98"/>
      <c r="J510" s="98"/>
      <c r="K510" s="97"/>
      <c r="L510" s="21"/>
    </row>
    <row r="511" spans="1:12" s="1" customFormat="1" ht="18" customHeight="1" x14ac:dyDescent="0.35">
      <c r="A511" s="749"/>
      <c r="B511" s="99"/>
      <c r="C511" s="100" t="s">
        <v>181</v>
      </c>
      <c r="D511" s="750"/>
      <c r="E511" s="100" t="s">
        <v>646</v>
      </c>
      <c r="F511" s="100" t="s">
        <v>646</v>
      </c>
      <c r="G511" s="100" t="s">
        <v>646</v>
      </c>
      <c r="H511" s="100" t="s">
        <v>646</v>
      </c>
      <c r="I511" s="100"/>
      <c r="J511" s="101"/>
      <c r="K511" s="751"/>
      <c r="L511" s="21"/>
    </row>
    <row r="512" spans="1:12" ht="18" customHeight="1" x14ac:dyDescent="0.35">
      <c r="A512" s="752"/>
      <c r="B512" s="28" t="s">
        <v>182</v>
      </c>
      <c r="C512" s="10">
        <f t="shared" ref="C512:C535" si="30">SUM(E512:H512)</f>
        <v>98.73</v>
      </c>
      <c r="D512" s="615"/>
      <c r="E512" s="10">
        <f>+E33</f>
        <v>45.43</v>
      </c>
      <c r="F512" s="10"/>
      <c r="G512" s="10">
        <f>+G33</f>
        <v>0</v>
      </c>
      <c r="H512" s="10">
        <f>+H33</f>
        <v>53.300000000000004</v>
      </c>
      <c r="I512" s="10"/>
      <c r="J512" s="102"/>
      <c r="K512" s="653"/>
      <c r="L512" s="21"/>
    </row>
    <row r="513" spans="1:12" ht="18" customHeight="1" x14ac:dyDescent="0.35">
      <c r="A513" s="752"/>
      <c r="B513" s="28" t="s">
        <v>183</v>
      </c>
      <c r="C513" s="10">
        <f t="shared" si="30"/>
        <v>102.34</v>
      </c>
      <c r="D513" s="615"/>
      <c r="E513" s="10">
        <f>+E67</f>
        <v>29.064</v>
      </c>
      <c r="F513" s="10"/>
      <c r="G513" s="10"/>
      <c r="H513" s="10">
        <f>+H67</f>
        <v>73.275999999999996</v>
      </c>
      <c r="I513" s="10"/>
      <c r="J513" s="103"/>
      <c r="K513" s="28"/>
    </row>
    <row r="514" spans="1:12" ht="18" customHeight="1" x14ac:dyDescent="0.35">
      <c r="A514" s="752"/>
      <c r="B514" s="28" t="s">
        <v>184</v>
      </c>
      <c r="C514" s="10">
        <f t="shared" si="30"/>
        <v>42.16</v>
      </c>
      <c r="D514" s="615"/>
      <c r="E514" s="10">
        <f>+E80</f>
        <v>3.4400000000000004</v>
      </c>
      <c r="F514" s="10"/>
      <c r="G514" s="10"/>
      <c r="H514" s="10">
        <f>+H80</f>
        <v>38.72</v>
      </c>
      <c r="I514" s="10"/>
      <c r="J514" s="102"/>
      <c r="K514" s="653"/>
      <c r="L514" s="21"/>
    </row>
    <row r="515" spans="1:12" ht="18" customHeight="1" x14ac:dyDescent="0.35">
      <c r="A515" s="753"/>
      <c r="B515" s="104" t="s">
        <v>185</v>
      </c>
      <c r="C515" s="10">
        <f t="shared" si="30"/>
        <v>3.28</v>
      </c>
      <c r="D515" s="656"/>
      <c r="E515" s="11">
        <f>+E87</f>
        <v>0.48</v>
      </c>
      <c r="F515" s="11"/>
      <c r="G515" s="11"/>
      <c r="H515" s="11">
        <f>+H87</f>
        <v>2.8</v>
      </c>
      <c r="I515" s="11"/>
      <c r="J515" s="102"/>
      <c r="K515" s="653"/>
      <c r="L515" s="21"/>
    </row>
    <row r="516" spans="1:12" ht="18" customHeight="1" x14ac:dyDescent="0.35">
      <c r="A516" s="753"/>
      <c r="B516" s="104" t="s">
        <v>186</v>
      </c>
      <c r="C516" s="10">
        <f t="shared" si="30"/>
        <v>53.199999999999996</v>
      </c>
      <c r="D516" s="656"/>
      <c r="E516" s="11">
        <f>+E104</f>
        <v>12.000000000000002</v>
      </c>
      <c r="F516" s="11"/>
      <c r="G516" s="11"/>
      <c r="H516" s="11">
        <f>+H104</f>
        <v>41.199999999999996</v>
      </c>
      <c r="I516" s="11"/>
      <c r="J516" s="102"/>
      <c r="K516" s="653"/>
      <c r="L516" s="21"/>
    </row>
    <row r="517" spans="1:12" ht="18" customHeight="1" x14ac:dyDescent="0.35">
      <c r="A517" s="753"/>
      <c r="B517" s="104" t="s">
        <v>187</v>
      </c>
      <c r="C517" s="10">
        <f t="shared" si="30"/>
        <v>112.6</v>
      </c>
      <c r="D517" s="656"/>
      <c r="E517" s="11">
        <f>+E143</f>
        <v>37.29</v>
      </c>
      <c r="F517" s="11"/>
      <c r="G517" s="11"/>
      <c r="H517" s="11">
        <f>+H143</f>
        <v>75.31</v>
      </c>
      <c r="I517" s="11"/>
      <c r="J517" s="102"/>
      <c r="K517" s="653"/>
      <c r="L517" s="21"/>
    </row>
    <row r="518" spans="1:12" ht="18" customHeight="1" x14ac:dyDescent="0.35">
      <c r="A518" s="753"/>
      <c r="B518" s="104" t="s">
        <v>188</v>
      </c>
      <c r="C518" s="10">
        <f t="shared" si="30"/>
        <v>45.31</v>
      </c>
      <c r="D518" s="656"/>
      <c r="E518" s="11">
        <f>+E164</f>
        <v>5.6300000000000008</v>
      </c>
      <c r="F518" s="11"/>
      <c r="G518" s="11"/>
      <c r="H518" s="11">
        <f>+H164</f>
        <v>39.68</v>
      </c>
      <c r="I518" s="11"/>
      <c r="J518" s="102"/>
      <c r="K518" s="653"/>
      <c r="L518" s="21"/>
    </row>
    <row r="519" spans="1:12" ht="18" customHeight="1" x14ac:dyDescent="0.35">
      <c r="A519" s="753"/>
      <c r="B519" s="104" t="s">
        <v>189</v>
      </c>
      <c r="C519" s="10">
        <f t="shared" si="30"/>
        <v>18.670000000000002</v>
      </c>
      <c r="D519" s="656"/>
      <c r="E519" s="11">
        <f>+E172</f>
        <v>13</v>
      </c>
      <c r="F519" s="11"/>
      <c r="G519" s="11"/>
      <c r="H519" s="11">
        <f>+H172</f>
        <v>5.67</v>
      </c>
      <c r="I519" s="11"/>
      <c r="J519" s="102"/>
      <c r="K519" s="653"/>
      <c r="L519" s="21"/>
    </row>
    <row r="520" spans="1:12" s="1" customFormat="1" ht="18" customHeight="1" x14ac:dyDescent="0.35">
      <c r="A520" s="753"/>
      <c r="B520" s="81" t="s">
        <v>190</v>
      </c>
      <c r="C520" s="51">
        <f t="shared" si="30"/>
        <v>476.29</v>
      </c>
      <c r="D520" s="708"/>
      <c r="E520" s="82">
        <f>SUM(E512:E519)</f>
        <v>146.334</v>
      </c>
      <c r="F520" s="82">
        <f>SUM(F512:F519)</f>
        <v>0</v>
      </c>
      <c r="G520" s="82">
        <f>SUM(G512:G519)</f>
        <v>0</v>
      </c>
      <c r="H520" s="82">
        <f>SUM(H512:H519)</f>
        <v>329.95600000000002</v>
      </c>
      <c r="I520" s="82"/>
      <c r="J520" s="102"/>
      <c r="K520" s="653"/>
      <c r="L520" s="21"/>
    </row>
    <row r="521" spans="1:12" ht="18" customHeight="1" x14ac:dyDescent="0.35">
      <c r="A521" s="753"/>
      <c r="B521" s="104" t="s">
        <v>191</v>
      </c>
      <c r="C521" s="10">
        <f t="shared" si="30"/>
        <v>135.63</v>
      </c>
      <c r="D521" s="656"/>
      <c r="E521" s="11">
        <f>+E198</f>
        <v>37.329000000000001</v>
      </c>
      <c r="F521" s="11">
        <f>+F198</f>
        <v>0</v>
      </c>
      <c r="G521" s="11"/>
      <c r="H521" s="11">
        <f>+H198</f>
        <v>98.301000000000002</v>
      </c>
      <c r="I521" s="11"/>
      <c r="J521" s="102"/>
      <c r="K521" s="653"/>
      <c r="L521" s="21"/>
    </row>
    <row r="522" spans="1:12" ht="18" customHeight="1" x14ac:dyDescent="0.35">
      <c r="A522" s="753"/>
      <c r="B522" s="104" t="s">
        <v>192</v>
      </c>
      <c r="C522" s="10">
        <f t="shared" si="30"/>
        <v>82.89</v>
      </c>
      <c r="D522" s="656"/>
      <c r="E522" s="11">
        <f>+E213</f>
        <v>33.61</v>
      </c>
      <c r="F522" s="11"/>
      <c r="G522" s="11"/>
      <c r="H522" s="11">
        <f>+H213</f>
        <v>49.28</v>
      </c>
      <c r="I522" s="11"/>
      <c r="J522" s="102"/>
      <c r="K522" s="653"/>
      <c r="L522" s="21"/>
    </row>
    <row r="523" spans="1:12" ht="18" customHeight="1" x14ac:dyDescent="0.35">
      <c r="A523" s="753"/>
      <c r="B523" s="104" t="s">
        <v>193</v>
      </c>
      <c r="C523" s="10">
        <f t="shared" si="30"/>
        <v>90.497</v>
      </c>
      <c r="D523" s="656"/>
      <c r="E523" s="11">
        <f>+E228</f>
        <v>12.41</v>
      </c>
      <c r="F523" s="11"/>
      <c r="G523" s="11"/>
      <c r="H523" s="11">
        <f>+H228</f>
        <v>78.087000000000003</v>
      </c>
      <c r="I523" s="11"/>
      <c r="J523" s="102"/>
      <c r="K523" s="653"/>
      <c r="L523" s="21"/>
    </row>
    <row r="524" spans="1:12" ht="18" customHeight="1" x14ac:dyDescent="0.35">
      <c r="A524" s="753"/>
      <c r="B524" s="104" t="s">
        <v>194</v>
      </c>
      <c r="C524" s="10">
        <f t="shared" si="30"/>
        <v>28.17</v>
      </c>
      <c r="D524" s="656"/>
      <c r="E524" s="11">
        <f>+E240</f>
        <v>3.5600000000000005</v>
      </c>
      <c r="F524" s="11"/>
      <c r="G524" s="11"/>
      <c r="H524" s="11">
        <f>+H240</f>
        <v>24.61</v>
      </c>
      <c r="I524" s="11"/>
      <c r="J524" s="102"/>
      <c r="K524" s="653"/>
      <c r="L524" s="21"/>
    </row>
    <row r="525" spans="1:12" ht="18" customHeight="1" x14ac:dyDescent="0.35">
      <c r="A525" s="753"/>
      <c r="B525" s="104" t="s">
        <v>195</v>
      </c>
      <c r="C525" s="10">
        <f t="shared" si="30"/>
        <v>74.634999999999991</v>
      </c>
      <c r="D525" s="656"/>
      <c r="E525" s="11">
        <f>+E261</f>
        <v>18.555</v>
      </c>
      <c r="F525" s="11"/>
      <c r="G525" s="11"/>
      <c r="H525" s="11">
        <f>+H261</f>
        <v>56.079999999999991</v>
      </c>
      <c r="I525" s="11"/>
      <c r="J525" s="102"/>
      <c r="K525" s="653"/>
      <c r="L525" s="21"/>
    </row>
    <row r="526" spans="1:12" ht="18" customHeight="1" x14ac:dyDescent="0.35">
      <c r="A526" s="753"/>
      <c r="B526" s="104" t="s">
        <v>196</v>
      </c>
      <c r="C526" s="10">
        <f t="shared" si="30"/>
        <v>62</v>
      </c>
      <c r="D526" s="656"/>
      <c r="E526" s="11">
        <f>+E279</f>
        <v>14.170000000000002</v>
      </c>
      <c r="F526" s="11">
        <f>+F279</f>
        <v>0</v>
      </c>
      <c r="G526" s="11"/>
      <c r="H526" s="11">
        <f>+H279</f>
        <v>47.83</v>
      </c>
      <c r="I526" s="11"/>
      <c r="J526" s="102"/>
      <c r="K526" s="653"/>
      <c r="L526" s="21"/>
    </row>
    <row r="527" spans="1:12" ht="18" customHeight="1" x14ac:dyDescent="0.35">
      <c r="A527" s="753"/>
      <c r="B527" s="104" t="s">
        <v>197</v>
      </c>
      <c r="C527" s="10">
        <f t="shared" si="30"/>
        <v>45.13</v>
      </c>
      <c r="D527" s="656"/>
      <c r="E527" s="11">
        <f>+E294</f>
        <v>30.66</v>
      </c>
      <c r="F527" s="11">
        <f>+F294</f>
        <v>1.45</v>
      </c>
      <c r="G527" s="11"/>
      <c r="H527" s="11">
        <f>+H294</f>
        <v>13.020000000000001</v>
      </c>
      <c r="I527" s="11"/>
      <c r="J527" s="102"/>
      <c r="K527" s="653"/>
      <c r="L527" s="21"/>
    </row>
    <row r="528" spans="1:12" ht="18" customHeight="1" x14ac:dyDescent="0.35">
      <c r="A528" s="753"/>
      <c r="B528" s="104" t="s">
        <v>198</v>
      </c>
      <c r="C528" s="10">
        <f t="shared" si="30"/>
        <v>32.799999999999997</v>
      </c>
      <c r="D528" s="656"/>
      <c r="E528" s="11">
        <f>+E312</f>
        <v>15.01</v>
      </c>
      <c r="F528" s="11">
        <f>+F312</f>
        <v>3.29</v>
      </c>
      <c r="G528" s="11"/>
      <c r="H528" s="11">
        <f>+H312</f>
        <v>14.5</v>
      </c>
      <c r="I528" s="11"/>
      <c r="J528" s="102"/>
      <c r="K528" s="653"/>
      <c r="L528" s="21"/>
    </row>
    <row r="529" spans="1:12" ht="18" customHeight="1" x14ac:dyDescent="0.35">
      <c r="A529" s="753"/>
      <c r="B529" s="104" t="s">
        <v>199</v>
      </c>
      <c r="C529" s="10">
        <f t="shared" si="30"/>
        <v>7.25</v>
      </c>
      <c r="D529" s="656"/>
      <c r="E529" s="11">
        <f>+E321</f>
        <v>3.3</v>
      </c>
      <c r="F529" s="11"/>
      <c r="G529" s="11"/>
      <c r="H529" s="11">
        <f>+H321</f>
        <v>3.9499999999999997</v>
      </c>
      <c r="I529" s="11"/>
      <c r="J529" s="102"/>
      <c r="K529" s="653"/>
      <c r="L529" s="21"/>
    </row>
    <row r="530" spans="1:12" ht="18" customHeight="1" x14ac:dyDescent="0.35">
      <c r="A530" s="753"/>
      <c r="B530" s="104" t="s">
        <v>200</v>
      </c>
      <c r="C530" s="10">
        <f t="shared" si="30"/>
        <v>116.49000000000001</v>
      </c>
      <c r="D530" s="656"/>
      <c r="E530" s="11">
        <f>+E341</f>
        <v>56.6</v>
      </c>
      <c r="F530" s="11"/>
      <c r="G530" s="11"/>
      <c r="H530" s="11">
        <f>+H341</f>
        <v>59.890000000000008</v>
      </c>
      <c r="I530" s="11"/>
      <c r="J530" s="102"/>
      <c r="K530" s="653"/>
      <c r="L530" s="21"/>
    </row>
    <row r="531" spans="1:12" ht="18" customHeight="1" x14ac:dyDescent="0.35">
      <c r="A531" s="753"/>
      <c r="B531" s="104" t="s">
        <v>201</v>
      </c>
      <c r="C531" s="10">
        <f t="shared" si="30"/>
        <v>46.961999999999996</v>
      </c>
      <c r="D531" s="656"/>
      <c r="E531" s="11">
        <f>+E356</f>
        <v>11.612</v>
      </c>
      <c r="F531" s="11"/>
      <c r="G531" s="11"/>
      <c r="H531" s="11">
        <f>+H356</f>
        <v>35.349999999999994</v>
      </c>
      <c r="I531" s="11"/>
      <c r="J531" s="102"/>
      <c r="K531" s="653"/>
      <c r="L531" s="21"/>
    </row>
    <row r="532" spans="1:12" ht="18" customHeight="1" x14ac:dyDescent="0.35">
      <c r="A532" s="753"/>
      <c r="B532" s="104" t="s">
        <v>202</v>
      </c>
      <c r="C532" s="10">
        <f t="shared" si="30"/>
        <v>24.679999999999996</v>
      </c>
      <c r="D532" s="656"/>
      <c r="E532" s="11">
        <f>+E367</f>
        <v>16.819999999999997</v>
      </c>
      <c r="F532" s="11"/>
      <c r="G532" s="11"/>
      <c r="H532" s="11">
        <f>+H367</f>
        <v>7.86</v>
      </c>
      <c r="I532" s="11"/>
      <c r="J532" s="102"/>
      <c r="K532" s="653"/>
      <c r="L532" s="21"/>
    </row>
    <row r="533" spans="1:12" ht="18" customHeight="1" x14ac:dyDescent="0.35">
      <c r="A533" s="753"/>
      <c r="B533" s="104" t="s">
        <v>203</v>
      </c>
      <c r="C533" s="10">
        <f t="shared" si="30"/>
        <v>8.7409999999999997</v>
      </c>
      <c r="D533" s="656"/>
      <c r="E533" s="11">
        <f>+E375</f>
        <v>1.18</v>
      </c>
      <c r="F533" s="11"/>
      <c r="G533" s="11"/>
      <c r="H533" s="11">
        <f>+H375</f>
        <v>7.5609999999999999</v>
      </c>
      <c r="I533" s="11"/>
      <c r="J533" s="102"/>
      <c r="K533" s="653"/>
      <c r="L533" s="21"/>
    </row>
    <row r="534" spans="1:12" s="1" customFormat="1" ht="18" customHeight="1" x14ac:dyDescent="0.35">
      <c r="A534" s="753"/>
      <c r="B534" s="81" t="s">
        <v>190</v>
      </c>
      <c r="C534" s="51">
        <f t="shared" si="30"/>
        <v>755.87499999999989</v>
      </c>
      <c r="D534" s="708"/>
      <c r="E534" s="82">
        <f>SUM(E521:E533)</f>
        <v>254.816</v>
      </c>
      <c r="F534" s="82">
        <f>SUM(F521:F533)</f>
        <v>4.74</v>
      </c>
      <c r="G534" s="82"/>
      <c r="H534" s="82">
        <f>SUM(H521:H533)</f>
        <v>496.3189999999999</v>
      </c>
      <c r="I534" s="82"/>
      <c r="J534" s="102"/>
      <c r="K534" s="653"/>
      <c r="L534" s="21"/>
    </row>
    <row r="535" spans="1:12" ht="18" customHeight="1" x14ac:dyDescent="0.35">
      <c r="A535" s="752"/>
      <c r="B535" s="105" t="s">
        <v>204</v>
      </c>
      <c r="C535" s="51">
        <f t="shared" si="30"/>
        <v>1232.165</v>
      </c>
      <c r="D535" s="708"/>
      <c r="E535" s="82">
        <f>+E534+E520</f>
        <v>401.15</v>
      </c>
      <c r="F535" s="82">
        <f>+F534+F520</f>
        <v>4.74</v>
      </c>
      <c r="G535" s="82">
        <f>+G534+G520</f>
        <v>0</v>
      </c>
      <c r="H535" s="82">
        <f>+H534+H520</f>
        <v>826.27499999999986</v>
      </c>
      <c r="I535" s="82"/>
      <c r="J535" s="102"/>
      <c r="K535" s="105"/>
      <c r="L535" s="21"/>
    </row>
    <row r="537" spans="1:12" ht="31" x14ac:dyDescent="0.35">
      <c r="C537" s="96">
        <v>1149.9349999999999</v>
      </c>
      <c r="D537" s="746"/>
      <c r="K537" s="2" t="s">
        <v>647</v>
      </c>
    </row>
  </sheetData>
  <autoFilter ref="J1:J550" xr:uid="{00000000-0009-0000-0000-000010000000}"/>
  <mergeCells count="175">
    <mergeCell ref="A377:B377"/>
    <mergeCell ref="A378:B378"/>
    <mergeCell ref="A369:L369"/>
    <mergeCell ref="A371:A372"/>
    <mergeCell ref="B371:B372"/>
    <mergeCell ref="C371:C372"/>
    <mergeCell ref="E371:I371"/>
    <mergeCell ref="J371:J372"/>
    <mergeCell ref="K371:K372"/>
    <mergeCell ref="L371:L372"/>
    <mergeCell ref="A358:L358"/>
    <mergeCell ref="A360:A361"/>
    <mergeCell ref="B360:B361"/>
    <mergeCell ref="C360:C361"/>
    <mergeCell ref="E360:I360"/>
    <mergeCell ref="J360:J361"/>
    <mergeCell ref="K360:K361"/>
    <mergeCell ref="L360:L361"/>
    <mergeCell ref="A343:L343"/>
    <mergeCell ref="A345:A346"/>
    <mergeCell ref="B345:B346"/>
    <mergeCell ref="C345:C346"/>
    <mergeCell ref="E345:I345"/>
    <mergeCell ref="J345:J346"/>
    <mergeCell ref="K345:K346"/>
    <mergeCell ref="L345:L346"/>
    <mergeCell ref="A325:A326"/>
    <mergeCell ref="B325:B326"/>
    <mergeCell ref="C325:C326"/>
    <mergeCell ref="E325:I325"/>
    <mergeCell ref="J325:J326"/>
    <mergeCell ref="K325:K326"/>
    <mergeCell ref="L325:L326"/>
    <mergeCell ref="A314:L314"/>
    <mergeCell ref="A316:A317"/>
    <mergeCell ref="B316:B317"/>
    <mergeCell ref="C316:C317"/>
    <mergeCell ref="E316:I316"/>
    <mergeCell ref="J316:J317"/>
    <mergeCell ref="K316:K317"/>
    <mergeCell ref="L316:L317"/>
    <mergeCell ref="A296:L296"/>
    <mergeCell ref="A298:A299"/>
    <mergeCell ref="B298:B299"/>
    <mergeCell ref="C298:C299"/>
    <mergeCell ref="E298:I298"/>
    <mergeCell ref="J298:J299"/>
    <mergeCell ref="K298:K299"/>
    <mergeCell ref="L298:L299"/>
    <mergeCell ref="A323:L323"/>
    <mergeCell ref="A283:A284"/>
    <mergeCell ref="B283:B284"/>
    <mergeCell ref="C283:C284"/>
    <mergeCell ref="E283:I283"/>
    <mergeCell ref="J283:J284"/>
    <mergeCell ref="K283:K284"/>
    <mergeCell ref="A263:L263"/>
    <mergeCell ref="A265:A266"/>
    <mergeCell ref="B265:B266"/>
    <mergeCell ref="C265:C266"/>
    <mergeCell ref="E265:I265"/>
    <mergeCell ref="J265:J266"/>
    <mergeCell ref="K265:K266"/>
    <mergeCell ref="L265:L266"/>
    <mergeCell ref="L283:L284"/>
    <mergeCell ref="A242:K242"/>
    <mergeCell ref="A244:A245"/>
    <mergeCell ref="B244:B245"/>
    <mergeCell ref="C244:C245"/>
    <mergeCell ref="E244:I244"/>
    <mergeCell ref="J244:J245"/>
    <mergeCell ref="K244:K245"/>
    <mergeCell ref="L244:L245"/>
    <mergeCell ref="A281:K281"/>
    <mergeCell ref="A230:K230"/>
    <mergeCell ref="A232:A233"/>
    <mergeCell ref="B232:B233"/>
    <mergeCell ref="C232:C233"/>
    <mergeCell ref="E232:I232"/>
    <mergeCell ref="J232:J233"/>
    <mergeCell ref="K232:K233"/>
    <mergeCell ref="L202:L203"/>
    <mergeCell ref="A215:K215"/>
    <mergeCell ref="A217:A218"/>
    <mergeCell ref="B217:B218"/>
    <mergeCell ref="C217:C218"/>
    <mergeCell ref="E217:I217"/>
    <mergeCell ref="J217:J218"/>
    <mergeCell ref="K217:K218"/>
    <mergeCell ref="L217:L218"/>
    <mergeCell ref="L232:L233"/>
    <mergeCell ref="A200:K200"/>
    <mergeCell ref="A202:A203"/>
    <mergeCell ref="B202:B203"/>
    <mergeCell ref="C202:C203"/>
    <mergeCell ref="E202:I202"/>
    <mergeCell ref="J202:J203"/>
    <mergeCell ref="K202:K203"/>
    <mergeCell ref="A174:B174"/>
    <mergeCell ref="A176:L176"/>
    <mergeCell ref="A178:A179"/>
    <mergeCell ref="B178:B179"/>
    <mergeCell ref="C178:C179"/>
    <mergeCell ref="E178:I178"/>
    <mergeCell ref="J178:J179"/>
    <mergeCell ref="K178:K179"/>
    <mergeCell ref="L178:L179"/>
    <mergeCell ref="A166:L166"/>
    <mergeCell ref="A168:A169"/>
    <mergeCell ref="B168:B169"/>
    <mergeCell ref="C168:C169"/>
    <mergeCell ref="E168:I168"/>
    <mergeCell ref="J168:J169"/>
    <mergeCell ref="K168:K169"/>
    <mergeCell ref="L168:L169"/>
    <mergeCell ref="A145:L145"/>
    <mergeCell ref="A147:A148"/>
    <mergeCell ref="B147:B148"/>
    <mergeCell ref="C147:C148"/>
    <mergeCell ref="E147:I147"/>
    <mergeCell ref="J147:J148"/>
    <mergeCell ref="K147:K148"/>
    <mergeCell ref="L147:L148"/>
    <mergeCell ref="A106:L106"/>
    <mergeCell ref="A108:A109"/>
    <mergeCell ref="B108:B109"/>
    <mergeCell ref="C108:C109"/>
    <mergeCell ref="E108:I108"/>
    <mergeCell ref="J108:J109"/>
    <mergeCell ref="K108:K109"/>
    <mergeCell ref="L108:L109"/>
    <mergeCell ref="A89:L89"/>
    <mergeCell ref="A91:A92"/>
    <mergeCell ref="B91:B92"/>
    <mergeCell ref="C91:C92"/>
    <mergeCell ref="E91:I91"/>
    <mergeCell ref="J91:J92"/>
    <mergeCell ref="K91:K92"/>
    <mergeCell ref="L91:L92"/>
    <mergeCell ref="A84:A85"/>
    <mergeCell ref="B84:B85"/>
    <mergeCell ref="C84:C85"/>
    <mergeCell ref="E84:I84"/>
    <mergeCell ref="J84:J85"/>
    <mergeCell ref="K84:K85"/>
    <mergeCell ref="L84:L85"/>
    <mergeCell ref="A68:L68"/>
    <mergeCell ref="A70:A71"/>
    <mergeCell ref="B70:B71"/>
    <mergeCell ref="C70:C71"/>
    <mergeCell ref="E70:I70"/>
    <mergeCell ref="J70:J71"/>
    <mergeCell ref="K70:K71"/>
    <mergeCell ref="L70:L71"/>
    <mergeCell ref="A35:L35"/>
    <mergeCell ref="A37:A38"/>
    <mergeCell ref="B37:B38"/>
    <mergeCell ref="C37:C38"/>
    <mergeCell ref="E37:I37"/>
    <mergeCell ref="J37:J38"/>
    <mergeCell ref="K37:K38"/>
    <mergeCell ref="L37:L38"/>
    <mergeCell ref="A82:L82"/>
    <mergeCell ref="A1:K1"/>
    <mergeCell ref="A2:K2"/>
    <mergeCell ref="A3:K3"/>
    <mergeCell ref="A4:L4"/>
    <mergeCell ref="A6:A7"/>
    <mergeCell ref="B6:B7"/>
    <mergeCell ref="C6:C7"/>
    <mergeCell ref="D6:D7"/>
    <mergeCell ref="E6:I6"/>
    <mergeCell ref="J6:J7"/>
    <mergeCell ref="K6:K7"/>
    <mergeCell ref="L6:L7"/>
  </mergeCells>
  <pageMargins left="0.11811023622047245" right="0.11811023622047245" top="0.74803149606299213" bottom="0.74803149606299213" header="0.31496062992125984" footer="0.31496062992125984"/>
  <pageSetup paperSize="9" scale="81" fitToHeight="0" orientation="landscape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1">
    <tabColor theme="5" tint="-0.499984740745262"/>
  </sheetPr>
  <dimension ref="A1:P462"/>
  <sheetViews>
    <sheetView view="pageBreakPreview" topLeftCell="A304" zoomScaleNormal="100" zoomScaleSheetLayoutView="100" workbookViewId="0">
      <selection activeCell="L336" activeCellId="1" sqref="F308 L336"/>
    </sheetView>
  </sheetViews>
  <sheetFormatPr defaultRowHeight="15.5" x14ac:dyDescent="0.35"/>
  <cols>
    <col min="1" max="1" width="22.81640625" style="95" customWidth="1"/>
    <col min="2" max="2" width="27.453125" style="2" customWidth="1"/>
    <col min="3" max="3" width="11.26953125" style="3" customWidth="1"/>
    <col min="4" max="4" width="10" style="582" hidden="1" customWidth="1"/>
    <col min="5" max="5" width="10.54296875" style="3" customWidth="1"/>
    <col min="6" max="6" width="9.7265625" style="3" customWidth="1"/>
    <col min="7" max="7" width="9.54296875" style="3" customWidth="1"/>
    <col min="8" max="9" width="12.54296875" style="3" customWidth="1"/>
    <col min="10" max="10" width="11.54296875" style="3" customWidth="1"/>
    <col min="11" max="12" width="27.1796875" style="2" customWidth="1"/>
    <col min="13" max="251" width="9.1796875" style="3"/>
    <col min="252" max="252" width="13.26953125" style="3" customWidth="1"/>
    <col min="253" max="253" width="27.453125" style="3" customWidth="1"/>
    <col min="254" max="255" width="9.54296875" style="3" customWidth="1"/>
    <col min="256" max="256" width="9.7265625" style="3" customWidth="1"/>
    <col min="257" max="257" width="9.54296875" style="3" customWidth="1"/>
    <col min="258" max="258" width="12.54296875" style="3" customWidth="1"/>
    <col min="259" max="259" width="10" style="3" customWidth="1"/>
    <col min="260" max="260" width="9.7265625" style="3" customWidth="1"/>
    <col min="261" max="263" width="0" style="3" hidden="1" customWidth="1"/>
    <col min="264" max="507" width="9.1796875" style="3"/>
    <col min="508" max="508" width="13.26953125" style="3" customWidth="1"/>
    <col min="509" max="509" width="27.453125" style="3" customWidth="1"/>
    <col min="510" max="511" width="9.54296875" style="3" customWidth="1"/>
    <col min="512" max="512" width="9.7265625" style="3" customWidth="1"/>
    <col min="513" max="513" width="9.54296875" style="3" customWidth="1"/>
    <col min="514" max="514" width="12.54296875" style="3" customWidth="1"/>
    <col min="515" max="515" width="10" style="3" customWidth="1"/>
    <col min="516" max="516" width="9.7265625" style="3" customWidth="1"/>
    <col min="517" max="519" width="0" style="3" hidden="1" customWidth="1"/>
    <col min="520" max="763" width="9.1796875" style="3"/>
    <col min="764" max="764" width="13.26953125" style="3" customWidth="1"/>
    <col min="765" max="765" width="27.453125" style="3" customWidth="1"/>
    <col min="766" max="767" width="9.54296875" style="3" customWidth="1"/>
    <col min="768" max="768" width="9.7265625" style="3" customWidth="1"/>
    <col min="769" max="769" width="9.54296875" style="3" customWidth="1"/>
    <col min="770" max="770" width="12.54296875" style="3" customWidth="1"/>
    <col min="771" max="771" width="10" style="3" customWidth="1"/>
    <col min="772" max="772" width="9.7265625" style="3" customWidth="1"/>
    <col min="773" max="775" width="0" style="3" hidden="1" customWidth="1"/>
    <col min="776" max="1019" width="9.1796875" style="3"/>
    <col min="1020" max="1020" width="13.26953125" style="3" customWidth="1"/>
    <col min="1021" max="1021" width="27.453125" style="3" customWidth="1"/>
    <col min="1022" max="1023" width="9.54296875" style="3" customWidth="1"/>
    <col min="1024" max="1024" width="9.7265625" style="3" customWidth="1"/>
    <col min="1025" max="1025" width="9.54296875" style="3" customWidth="1"/>
    <col min="1026" max="1026" width="12.54296875" style="3" customWidth="1"/>
    <col min="1027" max="1027" width="10" style="3" customWidth="1"/>
    <col min="1028" max="1028" width="9.7265625" style="3" customWidth="1"/>
    <col min="1029" max="1031" width="0" style="3" hidden="1" customWidth="1"/>
    <col min="1032" max="1275" width="9.1796875" style="3"/>
    <col min="1276" max="1276" width="13.26953125" style="3" customWidth="1"/>
    <col min="1277" max="1277" width="27.453125" style="3" customWidth="1"/>
    <col min="1278" max="1279" width="9.54296875" style="3" customWidth="1"/>
    <col min="1280" max="1280" width="9.7265625" style="3" customWidth="1"/>
    <col min="1281" max="1281" width="9.54296875" style="3" customWidth="1"/>
    <col min="1282" max="1282" width="12.54296875" style="3" customWidth="1"/>
    <col min="1283" max="1283" width="10" style="3" customWidth="1"/>
    <col min="1284" max="1284" width="9.7265625" style="3" customWidth="1"/>
    <col min="1285" max="1287" width="0" style="3" hidden="1" customWidth="1"/>
    <col min="1288" max="1531" width="9.1796875" style="3"/>
    <col min="1532" max="1532" width="13.26953125" style="3" customWidth="1"/>
    <col min="1533" max="1533" width="27.453125" style="3" customWidth="1"/>
    <col min="1534" max="1535" width="9.54296875" style="3" customWidth="1"/>
    <col min="1536" max="1536" width="9.7265625" style="3" customWidth="1"/>
    <col min="1537" max="1537" width="9.54296875" style="3" customWidth="1"/>
    <col min="1538" max="1538" width="12.54296875" style="3" customWidth="1"/>
    <col min="1539" max="1539" width="10" style="3" customWidth="1"/>
    <col min="1540" max="1540" width="9.7265625" style="3" customWidth="1"/>
    <col min="1541" max="1543" width="0" style="3" hidden="1" customWidth="1"/>
    <col min="1544" max="1787" width="9.1796875" style="3"/>
    <col min="1788" max="1788" width="13.26953125" style="3" customWidth="1"/>
    <col min="1789" max="1789" width="27.453125" style="3" customWidth="1"/>
    <col min="1790" max="1791" width="9.54296875" style="3" customWidth="1"/>
    <col min="1792" max="1792" width="9.7265625" style="3" customWidth="1"/>
    <col min="1793" max="1793" width="9.54296875" style="3" customWidth="1"/>
    <col min="1794" max="1794" width="12.54296875" style="3" customWidth="1"/>
    <col min="1795" max="1795" width="10" style="3" customWidth="1"/>
    <col min="1796" max="1796" width="9.7265625" style="3" customWidth="1"/>
    <col min="1797" max="1799" width="0" style="3" hidden="1" customWidth="1"/>
    <col min="1800" max="2043" width="9.1796875" style="3"/>
    <col min="2044" max="2044" width="13.26953125" style="3" customWidth="1"/>
    <col min="2045" max="2045" width="27.453125" style="3" customWidth="1"/>
    <col min="2046" max="2047" width="9.54296875" style="3" customWidth="1"/>
    <col min="2048" max="2048" width="9.7265625" style="3" customWidth="1"/>
    <col min="2049" max="2049" width="9.54296875" style="3" customWidth="1"/>
    <col min="2050" max="2050" width="12.54296875" style="3" customWidth="1"/>
    <col min="2051" max="2051" width="10" style="3" customWidth="1"/>
    <col min="2052" max="2052" width="9.7265625" style="3" customWidth="1"/>
    <col min="2053" max="2055" width="0" style="3" hidden="1" customWidth="1"/>
    <col min="2056" max="2299" width="9.1796875" style="3"/>
    <col min="2300" max="2300" width="13.26953125" style="3" customWidth="1"/>
    <col min="2301" max="2301" width="27.453125" style="3" customWidth="1"/>
    <col min="2302" max="2303" width="9.54296875" style="3" customWidth="1"/>
    <col min="2304" max="2304" width="9.7265625" style="3" customWidth="1"/>
    <col min="2305" max="2305" width="9.54296875" style="3" customWidth="1"/>
    <col min="2306" max="2306" width="12.54296875" style="3" customWidth="1"/>
    <col min="2307" max="2307" width="10" style="3" customWidth="1"/>
    <col min="2308" max="2308" width="9.7265625" style="3" customWidth="1"/>
    <col min="2309" max="2311" width="0" style="3" hidden="1" customWidth="1"/>
    <col min="2312" max="2555" width="9.1796875" style="3"/>
    <col min="2556" max="2556" width="13.26953125" style="3" customWidth="1"/>
    <col min="2557" max="2557" width="27.453125" style="3" customWidth="1"/>
    <col min="2558" max="2559" width="9.54296875" style="3" customWidth="1"/>
    <col min="2560" max="2560" width="9.7265625" style="3" customWidth="1"/>
    <col min="2561" max="2561" width="9.54296875" style="3" customWidth="1"/>
    <col min="2562" max="2562" width="12.54296875" style="3" customWidth="1"/>
    <col min="2563" max="2563" width="10" style="3" customWidth="1"/>
    <col min="2564" max="2564" width="9.7265625" style="3" customWidth="1"/>
    <col min="2565" max="2567" width="0" style="3" hidden="1" customWidth="1"/>
    <col min="2568" max="2811" width="9.1796875" style="3"/>
    <col min="2812" max="2812" width="13.26953125" style="3" customWidth="1"/>
    <col min="2813" max="2813" width="27.453125" style="3" customWidth="1"/>
    <col min="2814" max="2815" width="9.54296875" style="3" customWidth="1"/>
    <col min="2816" max="2816" width="9.7265625" style="3" customWidth="1"/>
    <col min="2817" max="2817" width="9.54296875" style="3" customWidth="1"/>
    <col min="2818" max="2818" width="12.54296875" style="3" customWidth="1"/>
    <col min="2819" max="2819" width="10" style="3" customWidth="1"/>
    <col min="2820" max="2820" width="9.7265625" style="3" customWidth="1"/>
    <col min="2821" max="2823" width="0" style="3" hidden="1" customWidth="1"/>
    <col min="2824" max="3067" width="9.1796875" style="3"/>
    <col min="3068" max="3068" width="13.26953125" style="3" customWidth="1"/>
    <col min="3069" max="3069" width="27.453125" style="3" customWidth="1"/>
    <col min="3070" max="3071" width="9.54296875" style="3" customWidth="1"/>
    <col min="3072" max="3072" width="9.7265625" style="3" customWidth="1"/>
    <col min="3073" max="3073" width="9.54296875" style="3" customWidth="1"/>
    <col min="3074" max="3074" width="12.54296875" style="3" customWidth="1"/>
    <col min="3075" max="3075" width="10" style="3" customWidth="1"/>
    <col min="3076" max="3076" width="9.7265625" style="3" customWidth="1"/>
    <col min="3077" max="3079" width="0" style="3" hidden="1" customWidth="1"/>
    <col min="3080" max="3323" width="9.1796875" style="3"/>
    <col min="3324" max="3324" width="13.26953125" style="3" customWidth="1"/>
    <col min="3325" max="3325" width="27.453125" style="3" customWidth="1"/>
    <col min="3326" max="3327" width="9.54296875" style="3" customWidth="1"/>
    <col min="3328" max="3328" width="9.7265625" style="3" customWidth="1"/>
    <col min="3329" max="3329" width="9.54296875" style="3" customWidth="1"/>
    <col min="3330" max="3330" width="12.54296875" style="3" customWidth="1"/>
    <col min="3331" max="3331" width="10" style="3" customWidth="1"/>
    <col min="3332" max="3332" width="9.7265625" style="3" customWidth="1"/>
    <col min="3333" max="3335" width="0" style="3" hidden="1" customWidth="1"/>
    <col min="3336" max="3579" width="9.1796875" style="3"/>
    <col min="3580" max="3580" width="13.26953125" style="3" customWidth="1"/>
    <col min="3581" max="3581" width="27.453125" style="3" customWidth="1"/>
    <col min="3582" max="3583" width="9.54296875" style="3" customWidth="1"/>
    <col min="3584" max="3584" width="9.7265625" style="3" customWidth="1"/>
    <col min="3585" max="3585" width="9.54296875" style="3" customWidth="1"/>
    <col min="3586" max="3586" width="12.54296875" style="3" customWidth="1"/>
    <col min="3587" max="3587" width="10" style="3" customWidth="1"/>
    <col min="3588" max="3588" width="9.7265625" style="3" customWidth="1"/>
    <col min="3589" max="3591" width="0" style="3" hidden="1" customWidth="1"/>
    <col min="3592" max="3835" width="9.1796875" style="3"/>
    <col min="3836" max="3836" width="13.26953125" style="3" customWidth="1"/>
    <col min="3837" max="3837" width="27.453125" style="3" customWidth="1"/>
    <col min="3838" max="3839" width="9.54296875" style="3" customWidth="1"/>
    <col min="3840" max="3840" width="9.7265625" style="3" customWidth="1"/>
    <col min="3841" max="3841" width="9.54296875" style="3" customWidth="1"/>
    <col min="3842" max="3842" width="12.54296875" style="3" customWidth="1"/>
    <col min="3843" max="3843" width="10" style="3" customWidth="1"/>
    <col min="3844" max="3844" width="9.7265625" style="3" customWidth="1"/>
    <col min="3845" max="3847" width="0" style="3" hidden="1" customWidth="1"/>
    <col min="3848" max="4091" width="9.1796875" style="3"/>
    <col min="4092" max="4092" width="13.26953125" style="3" customWidth="1"/>
    <col min="4093" max="4093" width="27.453125" style="3" customWidth="1"/>
    <col min="4094" max="4095" width="9.54296875" style="3" customWidth="1"/>
    <col min="4096" max="4096" width="9.7265625" style="3" customWidth="1"/>
    <col min="4097" max="4097" width="9.54296875" style="3" customWidth="1"/>
    <col min="4098" max="4098" width="12.54296875" style="3" customWidth="1"/>
    <col min="4099" max="4099" width="10" style="3" customWidth="1"/>
    <col min="4100" max="4100" width="9.7265625" style="3" customWidth="1"/>
    <col min="4101" max="4103" width="0" style="3" hidden="1" customWidth="1"/>
    <col min="4104" max="4347" width="9.1796875" style="3"/>
    <col min="4348" max="4348" width="13.26953125" style="3" customWidth="1"/>
    <col min="4349" max="4349" width="27.453125" style="3" customWidth="1"/>
    <col min="4350" max="4351" width="9.54296875" style="3" customWidth="1"/>
    <col min="4352" max="4352" width="9.7265625" style="3" customWidth="1"/>
    <col min="4353" max="4353" width="9.54296875" style="3" customWidth="1"/>
    <col min="4354" max="4354" width="12.54296875" style="3" customWidth="1"/>
    <col min="4355" max="4355" width="10" style="3" customWidth="1"/>
    <col min="4356" max="4356" width="9.7265625" style="3" customWidth="1"/>
    <col min="4357" max="4359" width="0" style="3" hidden="1" customWidth="1"/>
    <col min="4360" max="4603" width="9.1796875" style="3"/>
    <col min="4604" max="4604" width="13.26953125" style="3" customWidth="1"/>
    <col min="4605" max="4605" width="27.453125" style="3" customWidth="1"/>
    <col min="4606" max="4607" width="9.54296875" style="3" customWidth="1"/>
    <col min="4608" max="4608" width="9.7265625" style="3" customWidth="1"/>
    <col min="4609" max="4609" width="9.54296875" style="3" customWidth="1"/>
    <col min="4610" max="4610" width="12.54296875" style="3" customWidth="1"/>
    <col min="4611" max="4611" width="10" style="3" customWidth="1"/>
    <col min="4612" max="4612" width="9.7265625" style="3" customWidth="1"/>
    <col min="4613" max="4615" width="0" style="3" hidden="1" customWidth="1"/>
    <col min="4616" max="4859" width="9.1796875" style="3"/>
    <col min="4860" max="4860" width="13.26953125" style="3" customWidth="1"/>
    <col min="4861" max="4861" width="27.453125" style="3" customWidth="1"/>
    <col min="4862" max="4863" width="9.54296875" style="3" customWidth="1"/>
    <col min="4864" max="4864" width="9.7265625" style="3" customWidth="1"/>
    <col min="4865" max="4865" width="9.54296875" style="3" customWidth="1"/>
    <col min="4866" max="4866" width="12.54296875" style="3" customWidth="1"/>
    <col min="4867" max="4867" width="10" style="3" customWidth="1"/>
    <col min="4868" max="4868" width="9.7265625" style="3" customWidth="1"/>
    <col min="4869" max="4871" width="0" style="3" hidden="1" customWidth="1"/>
    <col min="4872" max="5115" width="9.1796875" style="3"/>
    <col min="5116" max="5116" width="13.26953125" style="3" customWidth="1"/>
    <col min="5117" max="5117" width="27.453125" style="3" customWidth="1"/>
    <col min="5118" max="5119" width="9.54296875" style="3" customWidth="1"/>
    <col min="5120" max="5120" width="9.7265625" style="3" customWidth="1"/>
    <col min="5121" max="5121" width="9.54296875" style="3" customWidth="1"/>
    <col min="5122" max="5122" width="12.54296875" style="3" customWidth="1"/>
    <col min="5123" max="5123" width="10" style="3" customWidth="1"/>
    <col min="5124" max="5124" width="9.7265625" style="3" customWidth="1"/>
    <col min="5125" max="5127" width="0" style="3" hidden="1" customWidth="1"/>
    <col min="5128" max="5371" width="9.1796875" style="3"/>
    <col min="5372" max="5372" width="13.26953125" style="3" customWidth="1"/>
    <col min="5373" max="5373" width="27.453125" style="3" customWidth="1"/>
    <col min="5374" max="5375" width="9.54296875" style="3" customWidth="1"/>
    <col min="5376" max="5376" width="9.7265625" style="3" customWidth="1"/>
    <col min="5377" max="5377" width="9.54296875" style="3" customWidth="1"/>
    <col min="5378" max="5378" width="12.54296875" style="3" customWidth="1"/>
    <col min="5379" max="5379" width="10" style="3" customWidth="1"/>
    <col min="5380" max="5380" width="9.7265625" style="3" customWidth="1"/>
    <col min="5381" max="5383" width="0" style="3" hidden="1" customWidth="1"/>
    <col min="5384" max="5627" width="9.1796875" style="3"/>
    <col min="5628" max="5628" width="13.26953125" style="3" customWidth="1"/>
    <col min="5629" max="5629" width="27.453125" style="3" customWidth="1"/>
    <col min="5630" max="5631" width="9.54296875" style="3" customWidth="1"/>
    <col min="5632" max="5632" width="9.7265625" style="3" customWidth="1"/>
    <col min="5633" max="5633" width="9.54296875" style="3" customWidth="1"/>
    <col min="5634" max="5634" width="12.54296875" style="3" customWidth="1"/>
    <col min="5635" max="5635" width="10" style="3" customWidth="1"/>
    <col min="5636" max="5636" width="9.7265625" style="3" customWidth="1"/>
    <col min="5637" max="5639" width="0" style="3" hidden="1" customWidth="1"/>
    <col min="5640" max="5883" width="9.1796875" style="3"/>
    <col min="5884" max="5884" width="13.26953125" style="3" customWidth="1"/>
    <col min="5885" max="5885" width="27.453125" style="3" customWidth="1"/>
    <col min="5886" max="5887" width="9.54296875" style="3" customWidth="1"/>
    <col min="5888" max="5888" width="9.7265625" style="3" customWidth="1"/>
    <col min="5889" max="5889" width="9.54296875" style="3" customWidth="1"/>
    <col min="5890" max="5890" width="12.54296875" style="3" customWidth="1"/>
    <col min="5891" max="5891" width="10" style="3" customWidth="1"/>
    <col min="5892" max="5892" width="9.7265625" style="3" customWidth="1"/>
    <col min="5893" max="5895" width="0" style="3" hidden="1" customWidth="1"/>
    <col min="5896" max="6139" width="9.1796875" style="3"/>
    <col min="6140" max="6140" width="13.26953125" style="3" customWidth="1"/>
    <col min="6141" max="6141" width="27.453125" style="3" customWidth="1"/>
    <col min="6142" max="6143" width="9.54296875" style="3" customWidth="1"/>
    <col min="6144" max="6144" width="9.7265625" style="3" customWidth="1"/>
    <col min="6145" max="6145" width="9.54296875" style="3" customWidth="1"/>
    <col min="6146" max="6146" width="12.54296875" style="3" customWidth="1"/>
    <col min="6147" max="6147" width="10" style="3" customWidth="1"/>
    <col min="6148" max="6148" width="9.7265625" style="3" customWidth="1"/>
    <col min="6149" max="6151" width="0" style="3" hidden="1" customWidth="1"/>
    <col min="6152" max="6395" width="9.1796875" style="3"/>
    <col min="6396" max="6396" width="13.26953125" style="3" customWidth="1"/>
    <col min="6397" max="6397" width="27.453125" style="3" customWidth="1"/>
    <col min="6398" max="6399" width="9.54296875" style="3" customWidth="1"/>
    <col min="6400" max="6400" width="9.7265625" style="3" customWidth="1"/>
    <col min="6401" max="6401" width="9.54296875" style="3" customWidth="1"/>
    <col min="6402" max="6402" width="12.54296875" style="3" customWidth="1"/>
    <col min="6403" max="6403" width="10" style="3" customWidth="1"/>
    <col min="6404" max="6404" width="9.7265625" style="3" customWidth="1"/>
    <col min="6405" max="6407" width="0" style="3" hidden="1" customWidth="1"/>
    <col min="6408" max="6651" width="9.1796875" style="3"/>
    <col min="6652" max="6652" width="13.26953125" style="3" customWidth="1"/>
    <col min="6653" max="6653" width="27.453125" style="3" customWidth="1"/>
    <col min="6654" max="6655" width="9.54296875" style="3" customWidth="1"/>
    <col min="6656" max="6656" width="9.7265625" style="3" customWidth="1"/>
    <col min="6657" max="6657" width="9.54296875" style="3" customWidth="1"/>
    <col min="6658" max="6658" width="12.54296875" style="3" customWidth="1"/>
    <col min="6659" max="6659" width="10" style="3" customWidth="1"/>
    <col min="6660" max="6660" width="9.7265625" style="3" customWidth="1"/>
    <col min="6661" max="6663" width="0" style="3" hidden="1" customWidth="1"/>
    <col min="6664" max="6907" width="9.1796875" style="3"/>
    <col min="6908" max="6908" width="13.26953125" style="3" customWidth="1"/>
    <col min="6909" max="6909" width="27.453125" style="3" customWidth="1"/>
    <col min="6910" max="6911" width="9.54296875" style="3" customWidth="1"/>
    <col min="6912" max="6912" width="9.7265625" style="3" customWidth="1"/>
    <col min="6913" max="6913" width="9.54296875" style="3" customWidth="1"/>
    <col min="6914" max="6914" width="12.54296875" style="3" customWidth="1"/>
    <col min="6915" max="6915" width="10" style="3" customWidth="1"/>
    <col min="6916" max="6916" width="9.7265625" style="3" customWidth="1"/>
    <col min="6917" max="6919" width="0" style="3" hidden="1" customWidth="1"/>
    <col min="6920" max="7163" width="9.1796875" style="3"/>
    <col min="7164" max="7164" width="13.26953125" style="3" customWidth="1"/>
    <col min="7165" max="7165" width="27.453125" style="3" customWidth="1"/>
    <col min="7166" max="7167" width="9.54296875" style="3" customWidth="1"/>
    <col min="7168" max="7168" width="9.7265625" style="3" customWidth="1"/>
    <col min="7169" max="7169" width="9.54296875" style="3" customWidth="1"/>
    <col min="7170" max="7170" width="12.54296875" style="3" customWidth="1"/>
    <col min="7171" max="7171" width="10" style="3" customWidth="1"/>
    <col min="7172" max="7172" width="9.7265625" style="3" customWidth="1"/>
    <col min="7173" max="7175" width="0" style="3" hidden="1" customWidth="1"/>
    <col min="7176" max="7419" width="9.1796875" style="3"/>
    <col min="7420" max="7420" width="13.26953125" style="3" customWidth="1"/>
    <col min="7421" max="7421" width="27.453125" style="3" customWidth="1"/>
    <col min="7422" max="7423" width="9.54296875" style="3" customWidth="1"/>
    <col min="7424" max="7424" width="9.7265625" style="3" customWidth="1"/>
    <col min="7425" max="7425" width="9.54296875" style="3" customWidth="1"/>
    <col min="7426" max="7426" width="12.54296875" style="3" customWidth="1"/>
    <col min="7427" max="7427" width="10" style="3" customWidth="1"/>
    <col min="7428" max="7428" width="9.7265625" style="3" customWidth="1"/>
    <col min="7429" max="7431" width="0" style="3" hidden="1" customWidth="1"/>
    <col min="7432" max="7675" width="9.1796875" style="3"/>
    <col min="7676" max="7676" width="13.26953125" style="3" customWidth="1"/>
    <col min="7677" max="7677" width="27.453125" style="3" customWidth="1"/>
    <col min="7678" max="7679" width="9.54296875" style="3" customWidth="1"/>
    <col min="7680" max="7680" width="9.7265625" style="3" customWidth="1"/>
    <col min="7681" max="7681" width="9.54296875" style="3" customWidth="1"/>
    <col min="7682" max="7682" width="12.54296875" style="3" customWidth="1"/>
    <col min="7683" max="7683" width="10" style="3" customWidth="1"/>
    <col min="7684" max="7684" width="9.7265625" style="3" customWidth="1"/>
    <col min="7685" max="7687" width="0" style="3" hidden="1" customWidth="1"/>
    <col min="7688" max="7931" width="9.1796875" style="3"/>
    <col min="7932" max="7932" width="13.26953125" style="3" customWidth="1"/>
    <col min="7933" max="7933" width="27.453125" style="3" customWidth="1"/>
    <col min="7934" max="7935" width="9.54296875" style="3" customWidth="1"/>
    <col min="7936" max="7936" width="9.7265625" style="3" customWidth="1"/>
    <col min="7937" max="7937" width="9.54296875" style="3" customWidth="1"/>
    <col min="7938" max="7938" width="12.54296875" style="3" customWidth="1"/>
    <col min="7939" max="7939" width="10" style="3" customWidth="1"/>
    <col min="7940" max="7940" width="9.7265625" style="3" customWidth="1"/>
    <col min="7941" max="7943" width="0" style="3" hidden="1" customWidth="1"/>
    <col min="7944" max="8187" width="9.1796875" style="3"/>
    <col min="8188" max="8188" width="13.26953125" style="3" customWidth="1"/>
    <col min="8189" max="8189" width="27.453125" style="3" customWidth="1"/>
    <col min="8190" max="8191" width="9.54296875" style="3" customWidth="1"/>
    <col min="8192" max="8192" width="9.7265625" style="3" customWidth="1"/>
    <col min="8193" max="8193" width="9.54296875" style="3" customWidth="1"/>
    <col min="8194" max="8194" width="12.54296875" style="3" customWidth="1"/>
    <col min="8195" max="8195" width="10" style="3" customWidth="1"/>
    <col min="8196" max="8196" width="9.7265625" style="3" customWidth="1"/>
    <col min="8197" max="8199" width="0" style="3" hidden="1" customWidth="1"/>
    <col min="8200" max="8443" width="9.1796875" style="3"/>
    <col min="8444" max="8444" width="13.26953125" style="3" customWidth="1"/>
    <col min="8445" max="8445" width="27.453125" style="3" customWidth="1"/>
    <col min="8446" max="8447" width="9.54296875" style="3" customWidth="1"/>
    <col min="8448" max="8448" width="9.7265625" style="3" customWidth="1"/>
    <col min="8449" max="8449" width="9.54296875" style="3" customWidth="1"/>
    <col min="8450" max="8450" width="12.54296875" style="3" customWidth="1"/>
    <col min="8451" max="8451" width="10" style="3" customWidth="1"/>
    <col min="8452" max="8452" width="9.7265625" style="3" customWidth="1"/>
    <col min="8453" max="8455" width="0" style="3" hidden="1" customWidth="1"/>
    <col min="8456" max="8699" width="9.1796875" style="3"/>
    <col min="8700" max="8700" width="13.26953125" style="3" customWidth="1"/>
    <col min="8701" max="8701" width="27.453125" style="3" customWidth="1"/>
    <col min="8702" max="8703" width="9.54296875" style="3" customWidth="1"/>
    <col min="8704" max="8704" width="9.7265625" style="3" customWidth="1"/>
    <col min="8705" max="8705" width="9.54296875" style="3" customWidth="1"/>
    <col min="8706" max="8706" width="12.54296875" style="3" customWidth="1"/>
    <col min="8707" max="8707" width="10" style="3" customWidth="1"/>
    <col min="8708" max="8708" width="9.7265625" style="3" customWidth="1"/>
    <col min="8709" max="8711" width="0" style="3" hidden="1" customWidth="1"/>
    <col min="8712" max="8955" width="9.1796875" style="3"/>
    <col min="8956" max="8956" width="13.26953125" style="3" customWidth="1"/>
    <col min="8957" max="8957" width="27.453125" style="3" customWidth="1"/>
    <col min="8958" max="8959" width="9.54296875" style="3" customWidth="1"/>
    <col min="8960" max="8960" width="9.7265625" style="3" customWidth="1"/>
    <col min="8961" max="8961" width="9.54296875" style="3" customWidth="1"/>
    <col min="8962" max="8962" width="12.54296875" style="3" customWidth="1"/>
    <col min="8963" max="8963" width="10" style="3" customWidth="1"/>
    <col min="8964" max="8964" width="9.7265625" style="3" customWidth="1"/>
    <col min="8965" max="8967" width="0" style="3" hidden="1" customWidth="1"/>
    <col min="8968" max="9211" width="9.1796875" style="3"/>
    <col min="9212" max="9212" width="13.26953125" style="3" customWidth="1"/>
    <col min="9213" max="9213" width="27.453125" style="3" customWidth="1"/>
    <col min="9214" max="9215" width="9.54296875" style="3" customWidth="1"/>
    <col min="9216" max="9216" width="9.7265625" style="3" customWidth="1"/>
    <col min="9217" max="9217" width="9.54296875" style="3" customWidth="1"/>
    <col min="9218" max="9218" width="12.54296875" style="3" customWidth="1"/>
    <col min="9219" max="9219" width="10" style="3" customWidth="1"/>
    <col min="9220" max="9220" width="9.7265625" style="3" customWidth="1"/>
    <col min="9221" max="9223" width="0" style="3" hidden="1" customWidth="1"/>
    <col min="9224" max="9467" width="9.1796875" style="3"/>
    <col min="9468" max="9468" width="13.26953125" style="3" customWidth="1"/>
    <col min="9469" max="9469" width="27.453125" style="3" customWidth="1"/>
    <col min="9470" max="9471" width="9.54296875" style="3" customWidth="1"/>
    <col min="9472" max="9472" width="9.7265625" style="3" customWidth="1"/>
    <col min="9473" max="9473" width="9.54296875" style="3" customWidth="1"/>
    <col min="9474" max="9474" width="12.54296875" style="3" customWidth="1"/>
    <col min="9475" max="9475" width="10" style="3" customWidth="1"/>
    <col min="9476" max="9476" width="9.7265625" style="3" customWidth="1"/>
    <col min="9477" max="9479" width="0" style="3" hidden="1" customWidth="1"/>
    <col min="9480" max="9723" width="9.1796875" style="3"/>
    <col min="9724" max="9724" width="13.26953125" style="3" customWidth="1"/>
    <col min="9725" max="9725" width="27.453125" style="3" customWidth="1"/>
    <col min="9726" max="9727" width="9.54296875" style="3" customWidth="1"/>
    <col min="9728" max="9728" width="9.7265625" style="3" customWidth="1"/>
    <col min="9729" max="9729" width="9.54296875" style="3" customWidth="1"/>
    <col min="9730" max="9730" width="12.54296875" style="3" customWidth="1"/>
    <col min="9731" max="9731" width="10" style="3" customWidth="1"/>
    <col min="9732" max="9732" width="9.7265625" style="3" customWidth="1"/>
    <col min="9733" max="9735" width="0" style="3" hidden="1" customWidth="1"/>
    <col min="9736" max="9979" width="9.1796875" style="3"/>
    <col min="9980" max="9980" width="13.26953125" style="3" customWidth="1"/>
    <col min="9981" max="9981" width="27.453125" style="3" customWidth="1"/>
    <col min="9982" max="9983" width="9.54296875" style="3" customWidth="1"/>
    <col min="9984" max="9984" width="9.7265625" style="3" customWidth="1"/>
    <col min="9985" max="9985" width="9.54296875" style="3" customWidth="1"/>
    <col min="9986" max="9986" width="12.54296875" style="3" customWidth="1"/>
    <col min="9987" max="9987" width="10" style="3" customWidth="1"/>
    <col min="9988" max="9988" width="9.7265625" style="3" customWidth="1"/>
    <col min="9989" max="9991" width="0" style="3" hidden="1" customWidth="1"/>
    <col min="9992" max="10235" width="9.1796875" style="3"/>
    <col min="10236" max="10236" width="13.26953125" style="3" customWidth="1"/>
    <col min="10237" max="10237" width="27.453125" style="3" customWidth="1"/>
    <col min="10238" max="10239" width="9.54296875" style="3" customWidth="1"/>
    <col min="10240" max="10240" width="9.7265625" style="3" customWidth="1"/>
    <col min="10241" max="10241" width="9.54296875" style="3" customWidth="1"/>
    <col min="10242" max="10242" width="12.54296875" style="3" customWidth="1"/>
    <col min="10243" max="10243" width="10" style="3" customWidth="1"/>
    <col min="10244" max="10244" width="9.7265625" style="3" customWidth="1"/>
    <col min="10245" max="10247" width="0" style="3" hidden="1" customWidth="1"/>
    <col min="10248" max="10491" width="9.1796875" style="3"/>
    <col min="10492" max="10492" width="13.26953125" style="3" customWidth="1"/>
    <col min="10493" max="10493" width="27.453125" style="3" customWidth="1"/>
    <col min="10494" max="10495" width="9.54296875" style="3" customWidth="1"/>
    <col min="10496" max="10496" width="9.7265625" style="3" customWidth="1"/>
    <col min="10497" max="10497" width="9.54296875" style="3" customWidth="1"/>
    <col min="10498" max="10498" width="12.54296875" style="3" customWidth="1"/>
    <col min="10499" max="10499" width="10" style="3" customWidth="1"/>
    <col min="10500" max="10500" width="9.7265625" style="3" customWidth="1"/>
    <col min="10501" max="10503" width="0" style="3" hidden="1" customWidth="1"/>
    <col min="10504" max="10747" width="9.1796875" style="3"/>
    <col min="10748" max="10748" width="13.26953125" style="3" customWidth="1"/>
    <col min="10749" max="10749" width="27.453125" style="3" customWidth="1"/>
    <col min="10750" max="10751" width="9.54296875" style="3" customWidth="1"/>
    <col min="10752" max="10752" width="9.7265625" style="3" customWidth="1"/>
    <col min="10753" max="10753" width="9.54296875" style="3" customWidth="1"/>
    <col min="10754" max="10754" width="12.54296875" style="3" customWidth="1"/>
    <col min="10755" max="10755" width="10" style="3" customWidth="1"/>
    <col min="10756" max="10756" width="9.7265625" style="3" customWidth="1"/>
    <col min="10757" max="10759" width="0" style="3" hidden="1" customWidth="1"/>
    <col min="10760" max="11003" width="9.1796875" style="3"/>
    <col min="11004" max="11004" width="13.26953125" style="3" customWidth="1"/>
    <col min="11005" max="11005" width="27.453125" style="3" customWidth="1"/>
    <col min="11006" max="11007" width="9.54296875" style="3" customWidth="1"/>
    <col min="11008" max="11008" width="9.7265625" style="3" customWidth="1"/>
    <col min="11009" max="11009" width="9.54296875" style="3" customWidth="1"/>
    <col min="11010" max="11010" width="12.54296875" style="3" customWidth="1"/>
    <col min="11011" max="11011" width="10" style="3" customWidth="1"/>
    <col min="11012" max="11012" width="9.7265625" style="3" customWidth="1"/>
    <col min="11013" max="11015" width="0" style="3" hidden="1" customWidth="1"/>
    <col min="11016" max="11259" width="9.1796875" style="3"/>
    <col min="11260" max="11260" width="13.26953125" style="3" customWidth="1"/>
    <col min="11261" max="11261" width="27.453125" style="3" customWidth="1"/>
    <col min="11262" max="11263" width="9.54296875" style="3" customWidth="1"/>
    <col min="11264" max="11264" width="9.7265625" style="3" customWidth="1"/>
    <col min="11265" max="11265" width="9.54296875" style="3" customWidth="1"/>
    <col min="11266" max="11266" width="12.54296875" style="3" customWidth="1"/>
    <col min="11267" max="11267" width="10" style="3" customWidth="1"/>
    <col min="11268" max="11268" width="9.7265625" style="3" customWidth="1"/>
    <col min="11269" max="11271" width="0" style="3" hidden="1" customWidth="1"/>
    <col min="11272" max="11515" width="9.1796875" style="3"/>
    <col min="11516" max="11516" width="13.26953125" style="3" customWidth="1"/>
    <col min="11517" max="11517" width="27.453125" style="3" customWidth="1"/>
    <col min="11518" max="11519" width="9.54296875" style="3" customWidth="1"/>
    <col min="11520" max="11520" width="9.7265625" style="3" customWidth="1"/>
    <col min="11521" max="11521" width="9.54296875" style="3" customWidth="1"/>
    <col min="11522" max="11522" width="12.54296875" style="3" customWidth="1"/>
    <col min="11523" max="11523" width="10" style="3" customWidth="1"/>
    <col min="11524" max="11524" width="9.7265625" style="3" customWidth="1"/>
    <col min="11525" max="11527" width="0" style="3" hidden="1" customWidth="1"/>
    <col min="11528" max="11771" width="9.1796875" style="3"/>
    <col min="11772" max="11772" width="13.26953125" style="3" customWidth="1"/>
    <col min="11773" max="11773" width="27.453125" style="3" customWidth="1"/>
    <col min="11774" max="11775" width="9.54296875" style="3" customWidth="1"/>
    <col min="11776" max="11776" width="9.7265625" style="3" customWidth="1"/>
    <col min="11777" max="11777" width="9.54296875" style="3" customWidth="1"/>
    <col min="11778" max="11778" width="12.54296875" style="3" customWidth="1"/>
    <col min="11779" max="11779" width="10" style="3" customWidth="1"/>
    <col min="11780" max="11780" width="9.7265625" style="3" customWidth="1"/>
    <col min="11781" max="11783" width="0" style="3" hidden="1" customWidth="1"/>
    <col min="11784" max="12027" width="9.1796875" style="3"/>
    <col min="12028" max="12028" width="13.26953125" style="3" customWidth="1"/>
    <col min="12029" max="12029" width="27.453125" style="3" customWidth="1"/>
    <col min="12030" max="12031" width="9.54296875" style="3" customWidth="1"/>
    <col min="12032" max="12032" width="9.7265625" style="3" customWidth="1"/>
    <col min="12033" max="12033" width="9.54296875" style="3" customWidth="1"/>
    <col min="12034" max="12034" width="12.54296875" style="3" customWidth="1"/>
    <col min="12035" max="12035" width="10" style="3" customWidth="1"/>
    <col min="12036" max="12036" width="9.7265625" style="3" customWidth="1"/>
    <col min="12037" max="12039" width="0" style="3" hidden="1" customWidth="1"/>
    <col min="12040" max="12283" width="9.1796875" style="3"/>
    <col min="12284" max="12284" width="13.26953125" style="3" customWidth="1"/>
    <col min="12285" max="12285" width="27.453125" style="3" customWidth="1"/>
    <col min="12286" max="12287" width="9.54296875" style="3" customWidth="1"/>
    <col min="12288" max="12288" width="9.7265625" style="3" customWidth="1"/>
    <col min="12289" max="12289" width="9.54296875" style="3" customWidth="1"/>
    <col min="12290" max="12290" width="12.54296875" style="3" customWidth="1"/>
    <col min="12291" max="12291" width="10" style="3" customWidth="1"/>
    <col min="12292" max="12292" width="9.7265625" style="3" customWidth="1"/>
    <col min="12293" max="12295" width="0" style="3" hidden="1" customWidth="1"/>
    <col min="12296" max="12539" width="9.1796875" style="3"/>
    <col min="12540" max="12540" width="13.26953125" style="3" customWidth="1"/>
    <col min="12541" max="12541" width="27.453125" style="3" customWidth="1"/>
    <col min="12542" max="12543" width="9.54296875" style="3" customWidth="1"/>
    <col min="12544" max="12544" width="9.7265625" style="3" customWidth="1"/>
    <col min="12545" max="12545" width="9.54296875" style="3" customWidth="1"/>
    <col min="12546" max="12546" width="12.54296875" style="3" customWidth="1"/>
    <col min="12547" max="12547" width="10" style="3" customWidth="1"/>
    <col min="12548" max="12548" width="9.7265625" style="3" customWidth="1"/>
    <col min="12549" max="12551" width="0" style="3" hidden="1" customWidth="1"/>
    <col min="12552" max="12795" width="9.1796875" style="3"/>
    <col min="12796" max="12796" width="13.26953125" style="3" customWidth="1"/>
    <col min="12797" max="12797" width="27.453125" style="3" customWidth="1"/>
    <col min="12798" max="12799" width="9.54296875" style="3" customWidth="1"/>
    <col min="12800" max="12800" width="9.7265625" style="3" customWidth="1"/>
    <col min="12801" max="12801" width="9.54296875" style="3" customWidth="1"/>
    <col min="12802" max="12802" width="12.54296875" style="3" customWidth="1"/>
    <col min="12803" max="12803" width="10" style="3" customWidth="1"/>
    <col min="12804" max="12804" width="9.7265625" style="3" customWidth="1"/>
    <col min="12805" max="12807" width="0" style="3" hidden="1" customWidth="1"/>
    <col min="12808" max="13051" width="9.1796875" style="3"/>
    <col min="13052" max="13052" width="13.26953125" style="3" customWidth="1"/>
    <col min="13053" max="13053" width="27.453125" style="3" customWidth="1"/>
    <col min="13054" max="13055" width="9.54296875" style="3" customWidth="1"/>
    <col min="13056" max="13056" width="9.7265625" style="3" customWidth="1"/>
    <col min="13057" max="13057" width="9.54296875" style="3" customWidth="1"/>
    <col min="13058" max="13058" width="12.54296875" style="3" customWidth="1"/>
    <col min="13059" max="13059" width="10" style="3" customWidth="1"/>
    <col min="13060" max="13060" width="9.7265625" style="3" customWidth="1"/>
    <col min="13061" max="13063" width="0" style="3" hidden="1" customWidth="1"/>
    <col min="13064" max="13307" width="9.1796875" style="3"/>
    <col min="13308" max="13308" width="13.26953125" style="3" customWidth="1"/>
    <col min="13309" max="13309" width="27.453125" style="3" customWidth="1"/>
    <col min="13310" max="13311" width="9.54296875" style="3" customWidth="1"/>
    <col min="13312" max="13312" width="9.7265625" style="3" customWidth="1"/>
    <col min="13313" max="13313" width="9.54296875" style="3" customWidth="1"/>
    <col min="13314" max="13314" width="12.54296875" style="3" customWidth="1"/>
    <col min="13315" max="13315" width="10" style="3" customWidth="1"/>
    <col min="13316" max="13316" width="9.7265625" style="3" customWidth="1"/>
    <col min="13317" max="13319" width="0" style="3" hidden="1" customWidth="1"/>
    <col min="13320" max="13563" width="9.1796875" style="3"/>
    <col min="13564" max="13564" width="13.26953125" style="3" customWidth="1"/>
    <col min="13565" max="13565" width="27.453125" style="3" customWidth="1"/>
    <col min="13566" max="13567" width="9.54296875" style="3" customWidth="1"/>
    <col min="13568" max="13568" width="9.7265625" style="3" customWidth="1"/>
    <col min="13569" max="13569" width="9.54296875" style="3" customWidth="1"/>
    <col min="13570" max="13570" width="12.54296875" style="3" customWidth="1"/>
    <col min="13571" max="13571" width="10" style="3" customWidth="1"/>
    <col min="13572" max="13572" width="9.7265625" style="3" customWidth="1"/>
    <col min="13573" max="13575" width="0" style="3" hidden="1" customWidth="1"/>
    <col min="13576" max="13819" width="9.1796875" style="3"/>
    <col min="13820" max="13820" width="13.26953125" style="3" customWidth="1"/>
    <col min="13821" max="13821" width="27.453125" style="3" customWidth="1"/>
    <col min="13822" max="13823" width="9.54296875" style="3" customWidth="1"/>
    <col min="13824" max="13824" width="9.7265625" style="3" customWidth="1"/>
    <col min="13825" max="13825" width="9.54296875" style="3" customWidth="1"/>
    <col min="13826" max="13826" width="12.54296875" style="3" customWidth="1"/>
    <col min="13827" max="13827" width="10" style="3" customWidth="1"/>
    <col min="13828" max="13828" width="9.7265625" style="3" customWidth="1"/>
    <col min="13829" max="13831" width="0" style="3" hidden="1" customWidth="1"/>
    <col min="13832" max="14075" width="9.1796875" style="3"/>
    <col min="14076" max="14076" width="13.26953125" style="3" customWidth="1"/>
    <col min="14077" max="14077" width="27.453125" style="3" customWidth="1"/>
    <col min="14078" max="14079" width="9.54296875" style="3" customWidth="1"/>
    <col min="14080" max="14080" width="9.7265625" style="3" customWidth="1"/>
    <col min="14081" max="14081" width="9.54296875" style="3" customWidth="1"/>
    <col min="14082" max="14082" width="12.54296875" style="3" customWidth="1"/>
    <col min="14083" max="14083" width="10" style="3" customWidth="1"/>
    <col min="14084" max="14084" width="9.7265625" style="3" customWidth="1"/>
    <col min="14085" max="14087" width="0" style="3" hidden="1" customWidth="1"/>
    <col min="14088" max="14331" width="9.1796875" style="3"/>
    <col min="14332" max="14332" width="13.26953125" style="3" customWidth="1"/>
    <col min="14333" max="14333" width="27.453125" style="3" customWidth="1"/>
    <col min="14334" max="14335" width="9.54296875" style="3" customWidth="1"/>
    <col min="14336" max="14336" width="9.7265625" style="3" customWidth="1"/>
    <col min="14337" max="14337" width="9.54296875" style="3" customWidth="1"/>
    <col min="14338" max="14338" width="12.54296875" style="3" customWidth="1"/>
    <col min="14339" max="14339" width="10" style="3" customWidth="1"/>
    <col min="14340" max="14340" width="9.7265625" style="3" customWidth="1"/>
    <col min="14341" max="14343" width="0" style="3" hidden="1" customWidth="1"/>
    <col min="14344" max="14587" width="9.1796875" style="3"/>
    <col min="14588" max="14588" width="13.26953125" style="3" customWidth="1"/>
    <col min="14589" max="14589" width="27.453125" style="3" customWidth="1"/>
    <col min="14590" max="14591" width="9.54296875" style="3" customWidth="1"/>
    <col min="14592" max="14592" width="9.7265625" style="3" customWidth="1"/>
    <col min="14593" max="14593" width="9.54296875" style="3" customWidth="1"/>
    <col min="14594" max="14594" width="12.54296875" style="3" customWidth="1"/>
    <col min="14595" max="14595" width="10" style="3" customWidth="1"/>
    <col min="14596" max="14596" width="9.7265625" style="3" customWidth="1"/>
    <col min="14597" max="14599" width="0" style="3" hidden="1" customWidth="1"/>
    <col min="14600" max="14843" width="9.1796875" style="3"/>
    <col min="14844" max="14844" width="13.26953125" style="3" customWidth="1"/>
    <col min="14845" max="14845" width="27.453125" style="3" customWidth="1"/>
    <col min="14846" max="14847" width="9.54296875" style="3" customWidth="1"/>
    <col min="14848" max="14848" width="9.7265625" style="3" customWidth="1"/>
    <col min="14849" max="14849" width="9.54296875" style="3" customWidth="1"/>
    <col min="14850" max="14850" width="12.54296875" style="3" customWidth="1"/>
    <col min="14851" max="14851" width="10" style="3" customWidth="1"/>
    <col min="14852" max="14852" width="9.7265625" style="3" customWidth="1"/>
    <col min="14853" max="14855" width="0" style="3" hidden="1" customWidth="1"/>
    <col min="14856" max="15099" width="9.1796875" style="3"/>
    <col min="15100" max="15100" width="13.26953125" style="3" customWidth="1"/>
    <col min="15101" max="15101" width="27.453125" style="3" customWidth="1"/>
    <col min="15102" max="15103" width="9.54296875" style="3" customWidth="1"/>
    <col min="15104" max="15104" width="9.7265625" style="3" customWidth="1"/>
    <col min="15105" max="15105" width="9.54296875" style="3" customWidth="1"/>
    <col min="15106" max="15106" width="12.54296875" style="3" customWidth="1"/>
    <col min="15107" max="15107" width="10" style="3" customWidth="1"/>
    <col min="15108" max="15108" width="9.7265625" style="3" customWidth="1"/>
    <col min="15109" max="15111" width="0" style="3" hidden="1" customWidth="1"/>
    <col min="15112" max="15355" width="9.1796875" style="3"/>
    <col min="15356" max="15356" width="13.26953125" style="3" customWidth="1"/>
    <col min="15357" max="15357" width="27.453125" style="3" customWidth="1"/>
    <col min="15358" max="15359" width="9.54296875" style="3" customWidth="1"/>
    <col min="15360" max="15360" width="9.7265625" style="3" customWidth="1"/>
    <col min="15361" max="15361" width="9.54296875" style="3" customWidth="1"/>
    <col min="15362" max="15362" width="12.54296875" style="3" customWidth="1"/>
    <col min="15363" max="15363" width="10" style="3" customWidth="1"/>
    <col min="15364" max="15364" width="9.7265625" style="3" customWidth="1"/>
    <col min="15365" max="15367" width="0" style="3" hidden="1" customWidth="1"/>
    <col min="15368" max="15611" width="9.1796875" style="3"/>
    <col min="15612" max="15612" width="13.26953125" style="3" customWidth="1"/>
    <col min="15613" max="15613" width="27.453125" style="3" customWidth="1"/>
    <col min="15614" max="15615" width="9.54296875" style="3" customWidth="1"/>
    <col min="15616" max="15616" width="9.7265625" style="3" customWidth="1"/>
    <col min="15617" max="15617" width="9.54296875" style="3" customWidth="1"/>
    <col min="15618" max="15618" width="12.54296875" style="3" customWidth="1"/>
    <col min="15619" max="15619" width="10" style="3" customWidth="1"/>
    <col min="15620" max="15620" width="9.7265625" style="3" customWidth="1"/>
    <col min="15621" max="15623" width="0" style="3" hidden="1" customWidth="1"/>
    <col min="15624" max="15867" width="9.1796875" style="3"/>
    <col min="15868" max="15868" width="13.26953125" style="3" customWidth="1"/>
    <col min="15869" max="15869" width="27.453125" style="3" customWidth="1"/>
    <col min="15870" max="15871" width="9.54296875" style="3" customWidth="1"/>
    <col min="15872" max="15872" width="9.7265625" style="3" customWidth="1"/>
    <col min="15873" max="15873" width="9.54296875" style="3" customWidth="1"/>
    <col min="15874" max="15874" width="12.54296875" style="3" customWidth="1"/>
    <col min="15875" max="15875" width="10" style="3" customWidth="1"/>
    <col min="15876" max="15876" width="9.7265625" style="3" customWidth="1"/>
    <col min="15877" max="15879" width="0" style="3" hidden="1" customWidth="1"/>
    <col min="15880" max="16123" width="9.1796875" style="3"/>
    <col min="16124" max="16124" width="13.26953125" style="3" customWidth="1"/>
    <col min="16125" max="16125" width="27.453125" style="3" customWidth="1"/>
    <col min="16126" max="16127" width="9.54296875" style="3" customWidth="1"/>
    <col min="16128" max="16128" width="9.7265625" style="3" customWidth="1"/>
    <col min="16129" max="16129" width="9.54296875" style="3" customWidth="1"/>
    <col min="16130" max="16130" width="12.54296875" style="3" customWidth="1"/>
    <col min="16131" max="16131" width="10" style="3" customWidth="1"/>
    <col min="16132" max="16132" width="9.7265625" style="3" customWidth="1"/>
    <col min="16133" max="16135" width="0" style="3" hidden="1" customWidth="1"/>
    <col min="16136" max="16378" width="9.1796875" style="3"/>
    <col min="16379" max="16384" width="9.1796875" style="3" customWidth="1"/>
  </cols>
  <sheetData>
    <row r="1" spans="1:13" s="1" customFormat="1" x14ac:dyDescent="0.35">
      <c r="A1" s="1228" t="s">
        <v>0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279"/>
    </row>
    <row r="2" spans="1:13" s="1" customFormat="1" x14ac:dyDescent="0.35">
      <c r="A2" s="1228" t="s">
        <v>297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279"/>
    </row>
    <row r="3" spans="1:13" s="1" customFormat="1" x14ac:dyDescent="0.35">
      <c r="A3" s="1229">
        <v>2019</v>
      </c>
      <c r="B3" s="1229"/>
      <c r="C3" s="1229"/>
      <c r="D3" s="1229"/>
      <c r="E3" s="1229"/>
      <c r="F3" s="1229"/>
      <c r="G3" s="1229"/>
      <c r="H3" s="1229"/>
      <c r="I3" s="1229"/>
      <c r="J3" s="1229"/>
      <c r="K3" s="1229"/>
      <c r="L3" s="544"/>
    </row>
    <row r="5" spans="1:13" ht="9" customHeight="1" thickBot="1" x14ac:dyDescent="0.4"/>
    <row r="6" spans="1:13" s="1" customFormat="1" x14ac:dyDescent="0.35">
      <c r="A6" s="1217" t="s">
        <v>3</v>
      </c>
      <c r="B6" s="1218"/>
      <c r="C6" s="1218"/>
      <c r="D6" s="1218"/>
      <c r="E6" s="1218"/>
      <c r="F6" s="1218"/>
      <c r="G6" s="1218"/>
      <c r="H6" s="1218"/>
      <c r="I6" s="1218"/>
      <c r="J6" s="1218"/>
      <c r="K6" s="1218"/>
      <c r="L6" s="1230"/>
      <c r="M6" s="1" t="s">
        <v>301</v>
      </c>
    </row>
    <row r="7" spans="1:13" s="1" customFormat="1" ht="16" thickBot="1" x14ac:dyDescent="0.4">
      <c r="A7" s="585"/>
      <c r="B7" s="2"/>
      <c r="C7" s="5"/>
      <c r="D7" s="586"/>
      <c r="E7" s="5"/>
      <c r="F7" s="5"/>
      <c r="G7" s="5"/>
      <c r="H7" s="5"/>
      <c r="I7" s="5"/>
      <c r="J7" s="3"/>
      <c r="K7" s="21"/>
      <c r="L7" s="587"/>
      <c r="M7" s="22">
        <f>C143+C238+C251+C276+C288+C299</f>
        <v>193.49799999999999</v>
      </c>
    </row>
    <row r="8" spans="1:13" s="1" customFormat="1" ht="21" customHeight="1" x14ac:dyDescent="0.35">
      <c r="A8" s="1206" t="s">
        <v>302</v>
      </c>
      <c r="B8" s="1208" t="s">
        <v>28</v>
      </c>
      <c r="C8" s="1210" t="s">
        <v>303</v>
      </c>
      <c r="D8" s="1231" t="s">
        <v>304</v>
      </c>
      <c r="E8" s="1212" t="s">
        <v>305</v>
      </c>
      <c r="F8" s="1212"/>
      <c r="G8" s="1212"/>
      <c r="H8" s="1212"/>
      <c r="I8" s="1212"/>
      <c r="J8" s="1208" t="s">
        <v>29</v>
      </c>
      <c r="K8" s="1213" t="s">
        <v>306</v>
      </c>
      <c r="L8" s="1222" t="s">
        <v>307</v>
      </c>
    </row>
    <row r="9" spans="1:13" s="1" customFormat="1" ht="31.5" customHeight="1" thickBot="1" x14ac:dyDescent="0.4">
      <c r="A9" s="1207"/>
      <c r="B9" s="1209"/>
      <c r="C9" s="1211"/>
      <c r="D9" s="1232"/>
      <c r="E9" s="7" t="s">
        <v>308</v>
      </c>
      <c r="F9" s="7" t="s">
        <v>309</v>
      </c>
      <c r="G9" s="7" t="s">
        <v>310</v>
      </c>
      <c r="H9" s="7" t="s">
        <v>311</v>
      </c>
      <c r="I9" s="7" t="s">
        <v>312</v>
      </c>
      <c r="J9" s="1209"/>
      <c r="K9" s="1214"/>
      <c r="L9" s="1223"/>
      <c r="M9" s="1" t="e">
        <f>(#REF!/#REF!)*100</f>
        <v>#REF!</v>
      </c>
    </row>
    <row r="10" spans="1:13" s="16" customFormat="1" ht="17.149999999999999" customHeight="1" x14ac:dyDescent="0.35">
      <c r="A10" s="589">
        <v>219</v>
      </c>
      <c r="B10" s="110" t="s">
        <v>214</v>
      </c>
      <c r="C10" s="15">
        <f>'inventory2019(REVISED)'!C8</f>
        <v>0.4</v>
      </c>
      <c r="D10" s="590">
        <f>'[23]road inventory 2018'!C10</f>
        <v>0.65</v>
      </c>
      <c r="E10" s="15">
        <v>0</v>
      </c>
      <c r="F10" s="15">
        <v>0</v>
      </c>
      <c r="G10" s="15">
        <v>0</v>
      </c>
      <c r="H10" s="15">
        <v>0.4</v>
      </c>
      <c r="I10" s="15">
        <v>0</v>
      </c>
      <c r="J10" s="106" t="s">
        <v>12</v>
      </c>
      <c r="K10" s="591" t="s">
        <v>313</v>
      </c>
      <c r="L10" s="592"/>
    </row>
    <row r="11" spans="1:13" s="16" customFormat="1" ht="16.5" customHeight="1" x14ac:dyDescent="0.35">
      <c r="A11" s="589">
        <v>1</v>
      </c>
      <c r="B11" s="14" t="s">
        <v>314</v>
      </c>
      <c r="C11" s="15">
        <f>'inventory2019(REVISED)'!C9</f>
        <v>5.48</v>
      </c>
      <c r="D11" s="590">
        <f>'[23]road inventory 2018'!C11</f>
        <v>5.5</v>
      </c>
      <c r="E11" s="594">
        <v>2.87</v>
      </c>
      <c r="F11" s="594">
        <v>0</v>
      </c>
      <c r="G11" s="15">
        <v>0</v>
      </c>
      <c r="H11" s="594">
        <v>2.61</v>
      </c>
      <c r="I11" s="594">
        <v>0</v>
      </c>
      <c r="J11" s="24" t="s">
        <v>12</v>
      </c>
      <c r="K11" s="591" t="s">
        <v>315</v>
      </c>
      <c r="L11" s="24"/>
      <c r="M11" s="595">
        <f>D143+D226+D238+D251+D276+D288+D299+C305</f>
        <v>216.613</v>
      </c>
    </row>
    <row r="12" spans="1:13" ht="16.5" customHeight="1" x14ac:dyDescent="0.35">
      <c r="A12" s="596">
        <v>2</v>
      </c>
      <c r="B12" s="9" t="s">
        <v>212</v>
      </c>
      <c r="C12" s="15">
        <f>'inventory2019(REVISED)'!C10</f>
        <v>0.91999999999999993</v>
      </c>
      <c r="D12" s="590">
        <f>'[23]road inventory 2018'!C12</f>
        <v>0.8</v>
      </c>
      <c r="E12" s="11">
        <v>7.0000000000000007E-2</v>
      </c>
      <c r="F12" s="11">
        <v>0</v>
      </c>
      <c r="G12" s="11">
        <v>0</v>
      </c>
      <c r="H12" s="11">
        <v>0.85</v>
      </c>
      <c r="I12" s="11">
        <v>0</v>
      </c>
      <c r="J12" s="28" t="s">
        <v>10</v>
      </c>
      <c r="K12" s="597" t="s">
        <v>316</v>
      </c>
      <c r="L12" s="28"/>
    </row>
    <row r="13" spans="1:13" s="16" customFormat="1" ht="17.149999999999999" customHeight="1" x14ac:dyDescent="0.35">
      <c r="A13" s="589">
        <v>3</v>
      </c>
      <c r="B13" s="14" t="s">
        <v>217</v>
      </c>
      <c r="C13" s="15">
        <f>'inventory2019(REVISED)'!C11</f>
        <v>4.97</v>
      </c>
      <c r="D13" s="590">
        <f>'[23]road inventory 2018'!C13</f>
        <v>4.9000000000000004</v>
      </c>
      <c r="E13" s="594">
        <v>0</v>
      </c>
      <c r="F13" s="594">
        <v>0</v>
      </c>
      <c r="G13" s="594">
        <v>0</v>
      </c>
      <c r="H13" s="594">
        <v>4.97</v>
      </c>
      <c r="I13" s="594">
        <v>0</v>
      </c>
      <c r="J13" s="106" t="s">
        <v>12</v>
      </c>
      <c r="K13" s="591" t="s">
        <v>318</v>
      </c>
      <c r="L13" s="24"/>
    </row>
    <row r="14" spans="1:13" ht="17.149999999999999" customHeight="1" x14ac:dyDescent="0.35">
      <c r="A14" s="596">
        <v>93</v>
      </c>
      <c r="B14" s="9" t="s">
        <v>13</v>
      </c>
      <c r="C14" s="15">
        <f>'inventory2019(REVISED)'!C13</f>
        <v>3.9</v>
      </c>
      <c r="D14" s="590">
        <f>'[23]road inventory 2018'!C15</f>
        <v>3.9</v>
      </c>
      <c r="E14" s="11">
        <v>3.9</v>
      </c>
      <c r="F14" s="11">
        <v>0</v>
      </c>
      <c r="G14" s="11">
        <v>0</v>
      </c>
      <c r="H14" s="11">
        <v>0</v>
      </c>
      <c r="I14" s="11">
        <v>0</v>
      </c>
      <c r="J14" s="103" t="str">
        <f>J12</f>
        <v>Good</v>
      </c>
      <c r="K14" s="597" t="s">
        <v>320</v>
      </c>
      <c r="L14" s="28"/>
    </row>
    <row r="15" spans="1:13" s="16" customFormat="1" ht="17.149999999999999" customHeight="1" x14ac:dyDescent="0.35">
      <c r="A15" s="589">
        <v>218</v>
      </c>
      <c r="B15" s="14" t="s">
        <v>213</v>
      </c>
      <c r="C15" s="15">
        <f>'inventory2019(REVISED)'!C14</f>
        <v>5.61</v>
      </c>
      <c r="D15" s="590">
        <f>'[23]road inventory 2018'!C16</f>
        <v>5.8</v>
      </c>
      <c r="E15" s="594">
        <v>0</v>
      </c>
      <c r="F15" s="594">
        <v>0</v>
      </c>
      <c r="G15" s="594">
        <v>0</v>
      </c>
      <c r="H15" s="594">
        <v>5.61</v>
      </c>
      <c r="I15" s="594">
        <v>0</v>
      </c>
      <c r="J15" s="106" t="s">
        <v>12</v>
      </c>
      <c r="K15" s="591" t="s">
        <v>316</v>
      </c>
      <c r="L15" s="24"/>
    </row>
    <row r="16" spans="1:13" s="16" customFormat="1" ht="17.149999999999999" customHeight="1" x14ac:dyDescent="0.35">
      <c r="A16" s="589">
        <v>5</v>
      </c>
      <c r="B16" s="14" t="s">
        <v>16</v>
      </c>
      <c r="C16" s="15">
        <f>'inventory2019(REVISED)'!C15</f>
        <v>2.85</v>
      </c>
      <c r="D16" s="590">
        <f>'[23]road inventory 2018'!C17</f>
        <v>2.8</v>
      </c>
      <c r="E16" s="594">
        <v>2.85</v>
      </c>
      <c r="F16" s="594">
        <v>0</v>
      </c>
      <c r="G16" s="594">
        <v>0</v>
      </c>
      <c r="H16" s="594">
        <v>0</v>
      </c>
      <c r="I16" s="594">
        <v>0</v>
      </c>
      <c r="J16" s="106" t="s">
        <v>10</v>
      </c>
      <c r="K16" s="591" t="s">
        <v>320</v>
      </c>
      <c r="L16" s="24"/>
    </row>
    <row r="17" spans="1:12" ht="17.149999999999999" customHeight="1" x14ac:dyDescent="0.35">
      <c r="A17" s="596">
        <v>6</v>
      </c>
      <c r="B17" s="9" t="s">
        <v>220</v>
      </c>
      <c r="C17" s="15">
        <f>'inventory2019(REVISED)'!C16</f>
        <v>3.96</v>
      </c>
      <c r="D17" s="590">
        <f>'[23]road inventory 2018'!C18</f>
        <v>3.9</v>
      </c>
      <c r="E17" s="11">
        <v>2.7</v>
      </c>
      <c r="F17" s="11">
        <v>0</v>
      </c>
      <c r="G17" s="11">
        <v>0</v>
      </c>
      <c r="H17" s="11">
        <v>1.26</v>
      </c>
      <c r="I17" s="11">
        <v>0</v>
      </c>
      <c r="J17" s="103" t="s">
        <v>10</v>
      </c>
      <c r="K17" s="597" t="s">
        <v>315</v>
      </c>
      <c r="L17" s="28"/>
    </row>
    <row r="18" spans="1:12" s="16" customFormat="1" ht="17.149999999999999" customHeight="1" x14ac:dyDescent="0.35">
      <c r="A18" s="589">
        <v>7</v>
      </c>
      <c r="B18" s="14" t="s">
        <v>205</v>
      </c>
      <c r="C18" s="15">
        <f>'inventory2019(REVISED)'!C17</f>
        <v>1.1499999999999999</v>
      </c>
      <c r="D18" s="590">
        <f>'[23]road inventory 2018'!C19</f>
        <v>1.1000000000000001</v>
      </c>
      <c r="E18" s="594">
        <v>1.1499999999999999</v>
      </c>
      <c r="F18" s="594">
        <v>0</v>
      </c>
      <c r="G18" s="594">
        <v>0</v>
      </c>
      <c r="H18" s="594">
        <v>0</v>
      </c>
      <c r="I18" s="594">
        <v>0</v>
      </c>
      <c r="J18" s="106" t="s">
        <v>10</v>
      </c>
      <c r="K18" s="591" t="s">
        <v>321</v>
      </c>
      <c r="L18" s="24"/>
    </row>
    <row r="19" spans="1:12" s="16" customFormat="1" ht="17.149999999999999" customHeight="1" x14ac:dyDescent="0.35">
      <c r="A19" s="589">
        <v>8</v>
      </c>
      <c r="B19" s="14" t="s">
        <v>324</v>
      </c>
      <c r="C19" s="15">
        <f>'inventory2019(REVISED)'!C18</f>
        <v>0.64</v>
      </c>
      <c r="D19" s="590">
        <f>'[23]road inventory 2018'!C20</f>
        <v>0.6</v>
      </c>
      <c r="E19" s="594">
        <v>0.64</v>
      </c>
      <c r="F19" s="594">
        <v>0</v>
      </c>
      <c r="G19" s="594">
        <v>0</v>
      </c>
      <c r="H19" s="594">
        <v>0</v>
      </c>
      <c r="I19" s="594">
        <v>0</v>
      </c>
      <c r="J19" s="106" t="s">
        <v>10</v>
      </c>
      <c r="K19" s="591" t="s">
        <v>325</v>
      </c>
      <c r="L19" s="24"/>
    </row>
    <row r="20" spans="1:12" s="16" customFormat="1" ht="17.149999999999999" customHeight="1" x14ac:dyDescent="0.35">
      <c r="A20" s="589">
        <v>9</v>
      </c>
      <c r="B20" s="14" t="s">
        <v>19</v>
      </c>
      <c r="C20" s="15">
        <f>'inventory2019(REVISED)'!C19</f>
        <v>9.3000000000000007</v>
      </c>
      <c r="D20" s="590">
        <f>'[23]road inventory 2018'!C21</f>
        <v>9</v>
      </c>
      <c r="E20" s="594">
        <v>9.3000000000000007</v>
      </c>
      <c r="F20" s="594">
        <v>0</v>
      </c>
      <c r="G20" s="594">
        <v>0</v>
      </c>
      <c r="H20" s="594">
        <v>0</v>
      </c>
      <c r="I20" s="594">
        <v>0</v>
      </c>
      <c r="J20" s="106" t="s">
        <v>10</v>
      </c>
      <c r="K20" s="591" t="s">
        <v>326</v>
      </c>
      <c r="L20" s="24"/>
    </row>
    <row r="21" spans="1:12" s="16" customFormat="1" ht="17.149999999999999" customHeight="1" x14ac:dyDescent="0.35">
      <c r="A21" s="589">
        <v>10</v>
      </c>
      <c r="B21" s="14" t="s">
        <v>23</v>
      </c>
      <c r="C21" s="15">
        <f>'inventory2019(REVISED)'!C20</f>
        <v>13.79</v>
      </c>
      <c r="D21" s="590">
        <f>'[23]road inventory 2018'!C22</f>
        <v>13.6</v>
      </c>
      <c r="E21" s="594">
        <v>8.7899999999999991</v>
      </c>
      <c r="F21" s="594">
        <v>0</v>
      </c>
      <c r="G21" s="594">
        <v>0</v>
      </c>
      <c r="H21" s="594">
        <v>5</v>
      </c>
      <c r="I21" s="594">
        <v>0</v>
      </c>
      <c r="J21" s="106" t="str">
        <f>J20</f>
        <v>Good</v>
      </c>
      <c r="K21" s="591" t="s">
        <v>327</v>
      </c>
      <c r="L21" s="24"/>
    </row>
    <row r="22" spans="1:12" s="16" customFormat="1" ht="17.149999999999999" customHeight="1" x14ac:dyDescent="0.35">
      <c r="A22" s="589">
        <v>11</v>
      </c>
      <c r="B22" s="14" t="s">
        <v>223</v>
      </c>
      <c r="C22" s="15">
        <f>'inventory2019(REVISED)'!C21</f>
        <v>2.27</v>
      </c>
      <c r="D22" s="590">
        <f>'[23]road inventory 2018'!C23</f>
        <v>2.2000000000000002</v>
      </c>
      <c r="E22" s="594">
        <v>0.21</v>
      </c>
      <c r="F22" s="594">
        <v>0</v>
      </c>
      <c r="G22" s="594">
        <v>0</v>
      </c>
      <c r="H22" s="594">
        <v>2.06</v>
      </c>
      <c r="I22" s="594">
        <v>0</v>
      </c>
      <c r="J22" s="106" t="s">
        <v>12</v>
      </c>
      <c r="K22" s="591" t="s">
        <v>328</v>
      </c>
      <c r="L22" s="24"/>
    </row>
    <row r="23" spans="1:12" s="16" customFormat="1" ht="17.149999999999999" customHeight="1" x14ac:dyDescent="0.35">
      <c r="A23" s="589">
        <v>13</v>
      </c>
      <c r="B23" s="14" t="s">
        <v>218</v>
      </c>
      <c r="C23" s="15">
        <f>'inventory2019(REVISED)'!C22</f>
        <v>1.72</v>
      </c>
      <c r="D23" s="590">
        <f>'[23]road inventory 2018'!C24</f>
        <v>1.7</v>
      </c>
      <c r="E23" s="594">
        <v>0</v>
      </c>
      <c r="F23" s="594">
        <v>0</v>
      </c>
      <c r="G23" s="594">
        <v>0</v>
      </c>
      <c r="H23" s="594">
        <v>1.72</v>
      </c>
      <c r="I23" s="594">
        <v>0</v>
      </c>
      <c r="J23" s="106" t="s">
        <v>12</v>
      </c>
      <c r="K23" s="591" t="s">
        <v>329</v>
      </c>
      <c r="L23" s="24"/>
    </row>
    <row r="24" spans="1:12" s="16" customFormat="1" ht="17.149999999999999" customHeight="1" x14ac:dyDescent="0.35">
      <c r="A24" s="589">
        <v>14</v>
      </c>
      <c r="B24" s="14" t="s">
        <v>215</v>
      </c>
      <c r="C24" s="15">
        <f>'inventory2019(REVISED)'!C25</f>
        <v>4.12</v>
      </c>
      <c r="D24" s="590">
        <f>'[23]road inventory 2018'!C27</f>
        <v>4</v>
      </c>
      <c r="E24" s="594">
        <v>4.12</v>
      </c>
      <c r="F24" s="594">
        <v>0</v>
      </c>
      <c r="G24" s="594">
        <v>0</v>
      </c>
      <c r="H24" s="594">
        <v>0</v>
      </c>
      <c r="I24" s="594">
        <v>0</v>
      </c>
      <c r="J24" s="106" t="s">
        <v>10</v>
      </c>
      <c r="K24" s="591" t="s">
        <v>327</v>
      </c>
      <c r="L24" s="24"/>
    </row>
    <row r="25" spans="1:12" s="16" customFormat="1" ht="17.149999999999999" customHeight="1" x14ac:dyDescent="0.35">
      <c r="A25" s="589">
        <v>16</v>
      </c>
      <c r="B25" s="14" t="s">
        <v>25</v>
      </c>
      <c r="C25" s="15">
        <f>'inventory2019(REVISED)'!C27</f>
        <v>1.05</v>
      </c>
      <c r="D25" s="590">
        <f>'[23]road inventory 2018'!C29</f>
        <v>1</v>
      </c>
      <c r="E25" s="594">
        <v>0</v>
      </c>
      <c r="F25" s="594">
        <v>0</v>
      </c>
      <c r="G25" s="594">
        <v>0</v>
      </c>
      <c r="H25" s="594">
        <v>1.05</v>
      </c>
      <c r="I25" s="594">
        <v>0</v>
      </c>
      <c r="J25" s="106" t="s">
        <v>12</v>
      </c>
      <c r="K25" s="591" t="s">
        <v>337</v>
      </c>
      <c r="L25" s="24"/>
    </row>
    <row r="26" spans="1:12" s="16" customFormat="1" ht="17.149999999999999" customHeight="1" x14ac:dyDescent="0.35">
      <c r="A26" s="589">
        <v>17</v>
      </c>
      <c r="B26" s="14" t="s">
        <v>216</v>
      </c>
      <c r="C26" s="15">
        <f>'inventory2019(REVISED)'!C28</f>
        <v>4.18</v>
      </c>
      <c r="D26" s="590">
        <f>'[23]road inventory 2018'!C30</f>
        <v>4</v>
      </c>
      <c r="E26" s="594">
        <v>4.18</v>
      </c>
      <c r="F26" s="594">
        <v>0</v>
      </c>
      <c r="G26" s="594">
        <v>0</v>
      </c>
      <c r="H26" s="594">
        <v>0</v>
      </c>
      <c r="I26" s="594">
        <v>0</v>
      </c>
      <c r="J26" s="106" t="s">
        <v>12</v>
      </c>
      <c r="K26" s="591" t="s">
        <v>339</v>
      </c>
      <c r="L26" s="24"/>
    </row>
    <row r="27" spans="1:12" s="16" customFormat="1" ht="16.149999999999999" customHeight="1" x14ac:dyDescent="0.35">
      <c r="A27" s="589">
        <v>18</v>
      </c>
      <c r="B27" s="14" t="s">
        <v>27</v>
      </c>
      <c r="C27" s="15">
        <f>'inventory2019(REVISED)'!C29</f>
        <v>10.52</v>
      </c>
      <c r="D27" s="590">
        <f>'[23]road inventory 2018'!C31</f>
        <v>10.5</v>
      </c>
      <c r="E27" s="594">
        <v>4.54</v>
      </c>
      <c r="F27" s="594">
        <v>0</v>
      </c>
      <c r="G27" s="594">
        <v>0</v>
      </c>
      <c r="H27" s="594">
        <v>5.98</v>
      </c>
      <c r="I27" s="594">
        <v>0</v>
      </c>
      <c r="J27" s="106" t="s">
        <v>12</v>
      </c>
      <c r="K27" s="591" t="s">
        <v>335</v>
      </c>
      <c r="L27" s="24"/>
    </row>
    <row r="28" spans="1:12" s="16" customFormat="1" ht="27" customHeight="1" x14ac:dyDescent="0.35">
      <c r="A28" s="589">
        <v>221</v>
      </c>
      <c r="B28" s="14" t="s">
        <v>219</v>
      </c>
      <c r="C28" s="15">
        <f>'inventory2019(REVISED)'!C30</f>
        <v>4.53</v>
      </c>
      <c r="D28" s="590">
        <f>'[23]road inventory 2018'!C32</f>
        <v>5.2</v>
      </c>
      <c r="E28" s="594">
        <v>0</v>
      </c>
      <c r="F28" s="594">
        <v>0</v>
      </c>
      <c r="G28" s="594">
        <v>0</v>
      </c>
      <c r="H28" s="594">
        <v>4.53</v>
      </c>
      <c r="I28" s="594">
        <v>0</v>
      </c>
      <c r="J28" s="106" t="s">
        <v>12</v>
      </c>
      <c r="K28" s="591" t="s">
        <v>340</v>
      </c>
      <c r="L28" s="24"/>
    </row>
    <row r="29" spans="1:12" ht="22.5" customHeight="1" x14ac:dyDescent="0.35">
      <c r="A29" s="601"/>
      <c r="B29" s="602"/>
      <c r="C29" s="603">
        <f t="shared" ref="C29:I29" si="0">SUM(C10:C28)</f>
        <v>81.36</v>
      </c>
      <c r="D29" s="604">
        <f t="shared" si="0"/>
        <v>81.15000000000002</v>
      </c>
      <c r="E29" s="603">
        <f t="shared" si="0"/>
        <v>45.32</v>
      </c>
      <c r="F29" s="603">
        <f t="shared" si="0"/>
        <v>0</v>
      </c>
      <c r="G29" s="603">
        <f t="shared" si="0"/>
        <v>0</v>
      </c>
      <c r="H29" s="603">
        <f t="shared" si="0"/>
        <v>36.04</v>
      </c>
      <c r="I29" s="603">
        <f t="shared" si="0"/>
        <v>0</v>
      </c>
      <c r="J29" s="109"/>
      <c r="K29" s="605"/>
      <c r="L29" s="28"/>
    </row>
    <row r="30" spans="1:12" s="1" customFormat="1" ht="22.5" customHeight="1" thickBot="1" x14ac:dyDescent="0.4">
      <c r="A30" s="606" t="s">
        <v>341</v>
      </c>
      <c r="B30" s="18"/>
      <c r="C30" s="19">
        <f>E30+F30+G30+H30+I30</f>
        <v>81.36</v>
      </c>
      <c r="D30" s="607"/>
      <c r="E30" s="19">
        <f>SUM(E10:E28)</f>
        <v>45.32</v>
      </c>
      <c r="F30" s="19">
        <f>SUM(F10:F28)</f>
        <v>0</v>
      </c>
      <c r="G30" s="19">
        <f>SUM(G10:G28)</f>
        <v>0</v>
      </c>
      <c r="H30" s="19">
        <f>SUM(H10:H28)</f>
        <v>36.04</v>
      </c>
      <c r="I30" s="19">
        <f>SUM(I10:I28)</f>
        <v>0</v>
      </c>
      <c r="J30" s="608"/>
      <c r="K30" s="609"/>
      <c r="L30" s="97"/>
    </row>
    <row r="31" spans="1:12" s="1" customFormat="1" ht="16" thickBot="1" x14ac:dyDescent="0.4">
      <c r="A31" s="544"/>
      <c r="B31" s="21"/>
      <c r="C31" s="22"/>
      <c r="D31" s="610"/>
      <c r="E31" s="22"/>
      <c r="F31" s="22"/>
      <c r="G31" s="22"/>
      <c r="H31" s="22"/>
      <c r="I31" s="22"/>
      <c r="K31" s="21"/>
      <c r="L31" s="611"/>
    </row>
    <row r="32" spans="1:12" s="1" customFormat="1" x14ac:dyDescent="0.35">
      <c r="A32" s="1217" t="s">
        <v>342</v>
      </c>
      <c r="B32" s="1218"/>
      <c r="C32" s="1218"/>
      <c r="D32" s="1218"/>
      <c r="E32" s="1218"/>
      <c r="F32" s="1218"/>
      <c r="G32" s="1218"/>
      <c r="H32" s="1218"/>
      <c r="I32" s="1218"/>
      <c r="J32" s="1218"/>
      <c r="K32" s="1218"/>
      <c r="L32" s="1219"/>
    </row>
    <row r="33" spans="1:12" s="1" customFormat="1" ht="16" thickBot="1" x14ac:dyDescent="0.4">
      <c r="A33" s="585"/>
      <c r="B33" s="2"/>
      <c r="C33" s="5"/>
      <c r="D33" s="586"/>
      <c r="E33" s="5"/>
      <c r="F33" s="5"/>
      <c r="G33" s="5"/>
      <c r="H33" s="5"/>
      <c r="I33" s="5"/>
      <c r="J33" s="3"/>
      <c r="K33" s="21"/>
      <c r="L33" s="18"/>
    </row>
    <row r="34" spans="1:12" s="1" customFormat="1" ht="21" customHeight="1" x14ac:dyDescent="0.35">
      <c r="A34" s="1206" t="s">
        <v>302</v>
      </c>
      <c r="B34" s="1208" t="s">
        <v>28</v>
      </c>
      <c r="C34" s="1210" t="s">
        <v>343</v>
      </c>
      <c r="D34" s="613"/>
      <c r="E34" s="1212" t="s">
        <v>305</v>
      </c>
      <c r="F34" s="1212"/>
      <c r="G34" s="1212"/>
      <c r="H34" s="1212"/>
      <c r="I34" s="1212"/>
      <c r="J34" s="1208" t="s">
        <v>29</v>
      </c>
      <c r="K34" s="1213" t="s">
        <v>306</v>
      </c>
      <c r="L34" s="1222" t="s">
        <v>307</v>
      </c>
    </row>
    <row r="35" spans="1:12" s="1" customFormat="1" ht="21" customHeight="1" thickBot="1" x14ac:dyDescent="0.4">
      <c r="A35" s="1207"/>
      <c r="B35" s="1209"/>
      <c r="C35" s="1211"/>
      <c r="D35" s="614"/>
      <c r="E35" s="7" t="s">
        <v>308</v>
      </c>
      <c r="F35" s="7" t="s">
        <v>309</v>
      </c>
      <c r="G35" s="7" t="s">
        <v>310</v>
      </c>
      <c r="H35" s="7" t="s">
        <v>311</v>
      </c>
      <c r="I35" s="7" t="s">
        <v>312</v>
      </c>
      <c r="J35" s="1209"/>
      <c r="K35" s="1214"/>
      <c r="L35" s="1223"/>
    </row>
    <row r="36" spans="1:12" s="1" customFormat="1" ht="16.5" customHeight="1" x14ac:dyDescent="0.35">
      <c r="A36" s="596">
        <v>21</v>
      </c>
      <c r="B36" s="28" t="s">
        <v>241</v>
      </c>
      <c r="C36" s="10">
        <f>'inventory2019(REVISED)'!C39</f>
        <v>4.32</v>
      </c>
      <c r="D36" s="615">
        <f>'[23]road inventory 2018'!C41</f>
        <v>4.3</v>
      </c>
      <c r="E36" s="10">
        <v>4.1100000000000003</v>
      </c>
      <c r="F36" s="10">
        <v>0</v>
      </c>
      <c r="G36" s="10">
        <v>0</v>
      </c>
      <c r="H36" s="10">
        <v>0.21</v>
      </c>
      <c r="I36" s="10">
        <v>0</v>
      </c>
      <c r="J36" s="103" t="s">
        <v>10</v>
      </c>
      <c r="K36" s="597" t="s">
        <v>345</v>
      </c>
      <c r="L36" s="112"/>
    </row>
    <row r="37" spans="1:12" s="26" customFormat="1" ht="16.5" customHeight="1" x14ac:dyDescent="0.35">
      <c r="A37" s="589">
        <v>22</v>
      </c>
      <c r="B37" s="24" t="s">
        <v>225</v>
      </c>
      <c r="C37" s="10">
        <f>'inventory2019(REVISED)'!C40</f>
        <v>4.01</v>
      </c>
      <c r="D37" s="615">
        <f>'[23]road inventory 2018'!C42</f>
        <v>3.9</v>
      </c>
      <c r="E37" s="15">
        <v>0</v>
      </c>
      <c r="F37" s="15">
        <v>0</v>
      </c>
      <c r="G37" s="15">
        <v>0</v>
      </c>
      <c r="H37" s="15">
        <v>4.01</v>
      </c>
      <c r="I37" s="15">
        <v>0</v>
      </c>
      <c r="J37" s="106" t="s">
        <v>12</v>
      </c>
      <c r="K37" s="591" t="s">
        <v>346</v>
      </c>
      <c r="L37" s="24"/>
    </row>
    <row r="38" spans="1:12" s="26" customFormat="1" ht="16.5" customHeight="1" x14ac:dyDescent="0.35">
      <c r="A38" s="589">
        <v>23</v>
      </c>
      <c r="B38" s="24" t="s">
        <v>237</v>
      </c>
      <c r="C38" s="10">
        <f>'inventory2019(REVISED)'!C41</f>
        <v>4.42</v>
      </c>
      <c r="D38" s="615">
        <f>'[23]road inventory 2018'!C43</f>
        <v>4.3</v>
      </c>
      <c r="E38" s="15">
        <v>2.9</v>
      </c>
      <c r="F38" s="15">
        <v>0</v>
      </c>
      <c r="G38" s="15">
        <v>0</v>
      </c>
      <c r="H38" s="15">
        <v>1.52</v>
      </c>
      <c r="I38" s="15">
        <v>0</v>
      </c>
      <c r="J38" s="106" t="s">
        <v>12</v>
      </c>
      <c r="K38" s="591" t="s">
        <v>347</v>
      </c>
      <c r="L38" s="24"/>
    </row>
    <row r="39" spans="1:12" s="26" customFormat="1" ht="16.5" customHeight="1" x14ac:dyDescent="0.35">
      <c r="A39" s="589">
        <v>24</v>
      </c>
      <c r="B39" s="24" t="s">
        <v>236</v>
      </c>
      <c r="C39" s="10">
        <f>'inventory2019(REVISED)'!C42</f>
        <v>8.25</v>
      </c>
      <c r="D39" s="615">
        <f>'[23]road inventory 2018'!C44</f>
        <v>7.5</v>
      </c>
      <c r="E39" s="15">
        <v>8.25</v>
      </c>
      <c r="F39" s="15">
        <v>0</v>
      </c>
      <c r="G39" s="15">
        <v>0</v>
      </c>
      <c r="H39" s="15">
        <v>0</v>
      </c>
      <c r="I39" s="15">
        <v>0</v>
      </c>
      <c r="J39" s="106" t="s">
        <v>10</v>
      </c>
      <c r="K39" s="591" t="s">
        <v>347</v>
      </c>
      <c r="L39" s="24"/>
    </row>
    <row r="40" spans="1:12" s="1" customFormat="1" ht="16.5" customHeight="1" x14ac:dyDescent="0.35">
      <c r="A40" s="596">
        <v>25</v>
      </c>
      <c r="B40" s="28" t="s">
        <v>30</v>
      </c>
      <c r="C40" s="10">
        <f>'inventory2019(REVISED)'!C43</f>
        <v>0.88</v>
      </c>
      <c r="D40" s="10">
        <f>'[23]road inventory 2018'!C45</f>
        <v>1.7</v>
      </c>
      <c r="E40" s="10">
        <v>0</v>
      </c>
      <c r="F40" s="10">
        <v>0</v>
      </c>
      <c r="G40" s="10">
        <v>0</v>
      </c>
      <c r="H40" s="10">
        <v>0.88</v>
      </c>
      <c r="I40" s="10">
        <v>0</v>
      </c>
      <c r="J40" s="103" t="s">
        <v>12</v>
      </c>
      <c r="K40" s="597" t="s">
        <v>348</v>
      </c>
      <c r="L40" s="28" t="s">
        <v>833</v>
      </c>
    </row>
    <row r="41" spans="1:12" s="26" customFormat="1" ht="16.5" customHeight="1" x14ac:dyDescent="0.35">
      <c r="A41" s="589">
        <v>26</v>
      </c>
      <c r="B41" s="24" t="s">
        <v>350</v>
      </c>
      <c r="C41" s="10">
        <f>'inventory2019(REVISED)'!C44</f>
        <v>6.0600000000000005</v>
      </c>
      <c r="D41" s="615">
        <f>'[23]road inventory 2018'!C46</f>
        <v>5.9</v>
      </c>
      <c r="E41" s="15">
        <v>2.85</v>
      </c>
      <c r="F41" s="15">
        <v>0</v>
      </c>
      <c r="G41" s="15">
        <v>0</v>
      </c>
      <c r="H41" s="15">
        <v>3.21</v>
      </c>
      <c r="I41" s="15">
        <v>0</v>
      </c>
      <c r="J41" s="24" t="s">
        <v>12</v>
      </c>
      <c r="K41" s="591" t="s">
        <v>348</v>
      </c>
      <c r="L41" s="24"/>
    </row>
    <row r="42" spans="1:12" s="26" customFormat="1" ht="16.5" customHeight="1" x14ac:dyDescent="0.35">
      <c r="A42" s="589">
        <v>27</v>
      </c>
      <c r="B42" s="24" t="s">
        <v>224</v>
      </c>
      <c r="C42" s="10">
        <f>'inventory2019(REVISED)'!C45</f>
        <v>1.93</v>
      </c>
      <c r="D42" s="615">
        <f>'[23]road inventory 2018'!C47</f>
        <v>1.9</v>
      </c>
      <c r="E42" s="15">
        <v>0.28000000000000003</v>
      </c>
      <c r="F42" s="15">
        <v>0</v>
      </c>
      <c r="G42" s="15">
        <v>0</v>
      </c>
      <c r="H42" s="15">
        <v>1.65</v>
      </c>
      <c r="I42" s="15">
        <v>0</v>
      </c>
      <c r="J42" s="106" t="s">
        <v>12</v>
      </c>
      <c r="K42" s="591" t="s">
        <v>351</v>
      </c>
      <c r="L42" s="24"/>
    </row>
    <row r="43" spans="1:12" s="26" customFormat="1" ht="16.5" customHeight="1" x14ac:dyDescent="0.35">
      <c r="A43" s="589">
        <v>28</v>
      </c>
      <c r="B43" s="24" t="s">
        <v>233</v>
      </c>
      <c r="C43" s="10">
        <f>'inventory2019(REVISED)'!C46</f>
        <v>5.62</v>
      </c>
      <c r="D43" s="615">
        <f>'[23]road inventory 2018'!C48</f>
        <v>5.6</v>
      </c>
      <c r="E43" s="15">
        <v>1.54</v>
      </c>
      <c r="F43" s="15">
        <v>0</v>
      </c>
      <c r="G43" s="15">
        <v>0</v>
      </c>
      <c r="H43" s="15">
        <v>4.08</v>
      </c>
      <c r="I43" s="15">
        <v>0</v>
      </c>
      <c r="J43" s="106" t="s">
        <v>10</v>
      </c>
      <c r="K43" s="591" t="s">
        <v>352</v>
      </c>
      <c r="L43" s="24"/>
    </row>
    <row r="44" spans="1:12" s="26" customFormat="1" ht="16.5" customHeight="1" x14ac:dyDescent="0.35">
      <c r="A44" s="589">
        <v>29</v>
      </c>
      <c r="B44" s="24" t="s">
        <v>239</v>
      </c>
      <c r="C44" s="10">
        <f>'inventory2019(REVISED)'!C47</f>
        <v>0.86</v>
      </c>
      <c r="D44" s="615">
        <f>'[23]road inventory 2018'!C49</f>
        <v>0.8</v>
      </c>
      <c r="E44" s="15">
        <v>0.11</v>
      </c>
      <c r="F44" s="15">
        <v>0</v>
      </c>
      <c r="G44" s="15">
        <v>0</v>
      </c>
      <c r="H44" s="15">
        <v>0.75</v>
      </c>
      <c r="I44" s="15">
        <v>0</v>
      </c>
      <c r="J44" s="106" t="s">
        <v>12</v>
      </c>
      <c r="K44" s="591" t="s">
        <v>353</v>
      </c>
      <c r="L44" s="24"/>
    </row>
    <row r="45" spans="1:12" s="1" customFormat="1" ht="16.5" customHeight="1" x14ac:dyDescent="0.35">
      <c r="A45" s="596">
        <v>30</v>
      </c>
      <c r="B45" s="28" t="s">
        <v>354</v>
      </c>
      <c r="C45" s="10">
        <f>'inventory2019(REVISED)'!C48</f>
        <v>2</v>
      </c>
      <c r="D45" s="615">
        <f>'[23]road inventory 2018'!C50</f>
        <v>2</v>
      </c>
      <c r="E45" s="10">
        <v>1.5</v>
      </c>
      <c r="F45" s="10">
        <v>0</v>
      </c>
      <c r="G45" s="10">
        <v>0</v>
      </c>
      <c r="H45" s="10">
        <v>0.5</v>
      </c>
      <c r="I45" s="10">
        <v>0</v>
      </c>
      <c r="J45" s="103" t="s">
        <v>10</v>
      </c>
      <c r="K45" s="597" t="s">
        <v>355</v>
      </c>
      <c r="L45" s="28" t="s">
        <v>356</v>
      </c>
    </row>
    <row r="46" spans="1:12" s="26" customFormat="1" ht="16.5" customHeight="1" x14ac:dyDescent="0.35">
      <c r="A46" s="589">
        <v>106</v>
      </c>
      <c r="B46" s="24" t="s">
        <v>238</v>
      </c>
      <c r="C46" s="10">
        <f>'inventory2019(REVISED)'!C49</f>
        <v>3.21</v>
      </c>
      <c r="D46" s="615">
        <f>'[23]road inventory 2018'!C51</f>
        <v>3.2</v>
      </c>
      <c r="E46" s="15">
        <v>3.21</v>
      </c>
      <c r="F46" s="15">
        <v>0</v>
      </c>
      <c r="G46" s="15">
        <v>0</v>
      </c>
      <c r="H46" s="15">
        <v>0</v>
      </c>
      <c r="I46" s="15">
        <v>0</v>
      </c>
      <c r="J46" s="106" t="s">
        <v>10</v>
      </c>
      <c r="K46" s="591" t="s">
        <v>358</v>
      </c>
      <c r="L46" s="24"/>
    </row>
    <row r="47" spans="1:12" s="26" customFormat="1" ht="16.5" customHeight="1" x14ac:dyDescent="0.35">
      <c r="A47" s="589">
        <v>31</v>
      </c>
      <c r="B47" s="24" t="s">
        <v>359</v>
      </c>
      <c r="C47" s="10">
        <f>'inventory2019(REVISED)'!C50</f>
        <v>0.78</v>
      </c>
      <c r="D47" s="615">
        <f>'[23]road inventory 2018'!C52</f>
        <v>0.8</v>
      </c>
      <c r="E47" s="15">
        <v>0.78</v>
      </c>
      <c r="F47" s="15">
        <v>0</v>
      </c>
      <c r="G47" s="15">
        <v>0</v>
      </c>
      <c r="H47" s="15">
        <v>0</v>
      </c>
      <c r="I47" s="15">
        <v>0</v>
      </c>
      <c r="J47" s="106" t="s">
        <v>10</v>
      </c>
      <c r="K47" s="591" t="s">
        <v>360</v>
      </c>
      <c r="L47" s="24"/>
    </row>
    <row r="48" spans="1:12" s="1" customFormat="1" ht="16.5" customHeight="1" x14ac:dyDescent="0.35">
      <c r="A48" s="596">
        <v>34</v>
      </c>
      <c r="B48" s="28" t="s">
        <v>235</v>
      </c>
      <c r="C48" s="10">
        <f>'inventory2019(REVISED)'!C53</f>
        <v>4.3099999999999996</v>
      </c>
      <c r="D48" s="615">
        <f>'[23]road inventory 2018'!C55</f>
        <v>4.2</v>
      </c>
      <c r="E48" s="10">
        <v>0</v>
      </c>
      <c r="F48" s="10">
        <v>0</v>
      </c>
      <c r="G48" s="10">
        <v>0</v>
      </c>
      <c r="H48" s="10">
        <v>4.3099999999999996</v>
      </c>
      <c r="I48" s="10">
        <v>0</v>
      </c>
      <c r="J48" s="103" t="s">
        <v>12</v>
      </c>
      <c r="K48" s="597" t="s">
        <v>363</v>
      </c>
      <c r="L48" s="28"/>
    </row>
    <row r="49" spans="1:12" s="26" customFormat="1" ht="16.5" customHeight="1" x14ac:dyDescent="0.35">
      <c r="A49" s="589">
        <v>35</v>
      </c>
      <c r="B49" s="24" t="s">
        <v>364</v>
      </c>
      <c r="C49" s="10">
        <f>'inventory2019(REVISED)'!C54</f>
        <v>2.9699999999999998</v>
      </c>
      <c r="D49" s="615">
        <f>'[23]road inventory 2018'!C56</f>
        <v>3</v>
      </c>
      <c r="E49" s="15">
        <v>0.4</v>
      </c>
      <c r="F49" s="15">
        <v>0</v>
      </c>
      <c r="G49" s="15">
        <v>0</v>
      </c>
      <c r="H49" s="15">
        <v>2.57</v>
      </c>
      <c r="I49" s="15">
        <v>0</v>
      </c>
      <c r="J49" s="106" t="s">
        <v>12</v>
      </c>
      <c r="K49" s="591" t="s">
        <v>365</v>
      </c>
      <c r="L49" s="24"/>
    </row>
    <row r="50" spans="1:12" s="26" customFormat="1" ht="16.5" customHeight="1" x14ac:dyDescent="0.35">
      <c r="A50" s="589">
        <v>36</v>
      </c>
      <c r="B50" s="24" t="s">
        <v>366</v>
      </c>
      <c r="C50" s="10">
        <f>'inventory2019(REVISED)'!C55</f>
        <v>6.01</v>
      </c>
      <c r="D50" s="615">
        <f>'[23]road inventory 2018'!C57</f>
        <v>6.2</v>
      </c>
      <c r="E50" s="15">
        <v>0</v>
      </c>
      <c r="F50" s="15">
        <v>0</v>
      </c>
      <c r="G50" s="15">
        <v>0</v>
      </c>
      <c r="H50" s="15">
        <v>6.01</v>
      </c>
      <c r="I50" s="15">
        <v>0</v>
      </c>
      <c r="J50" s="106" t="s">
        <v>12</v>
      </c>
      <c r="K50" s="591" t="s">
        <v>367</v>
      </c>
      <c r="L50" s="24"/>
    </row>
    <row r="51" spans="1:12" s="26" customFormat="1" ht="28.5" customHeight="1" x14ac:dyDescent="0.35">
      <c r="A51" s="589">
        <v>37</v>
      </c>
      <c r="B51" s="24" t="s">
        <v>234</v>
      </c>
      <c r="C51" s="10">
        <f>'inventory2019(REVISED)'!C56</f>
        <v>1.6</v>
      </c>
      <c r="D51" s="615">
        <f>'[23]road inventory 2018'!C58</f>
        <v>1.6</v>
      </c>
      <c r="E51" s="15">
        <v>0</v>
      </c>
      <c r="F51" s="15">
        <v>0</v>
      </c>
      <c r="G51" s="15">
        <v>0</v>
      </c>
      <c r="H51" s="15">
        <v>1.6</v>
      </c>
      <c r="I51" s="15">
        <v>0</v>
      </c>
      <c r="J51" s="106" t="s">
        <v>12</v>
      </c>
      <c r="K51" s="591" t="s">
        <v>368</v>
      </c>
      <c r="L51" s="24"/>
    </row>
    <row r="52" spans="1:12" s="26" customFormat="1" ht="16.5" customHeight="1" x14ac:dyDescent="0.35">
      <c r="A52" s="589">
        <v>38</v>
      </c>
      <c r="B52" s="24" t="s">
        <v>36</v>
      </c>
      <c r="C52" s="10">
        <f>'inventory2019(REVISED)'!C57</f>
        <v>3.9</v>
      </c>
      <c r="D52" s="615">
        <f>'[23]road inventory 2018'!C59</f>
        <v>4.4000000000000004</v>
      </c>
      <c r="E52" s="15">
        <v>0</v>
      </c>
      <c r="F52" s="15">
        <v>0</v>
      </c>
      <c r="G52" s="15">
        <v>0</v>
      </c>
      <c r="H52" s="15">
        <v>3.9</v>
      </c>
      <c r="I52" s="15">
        <v>0</v>
      </c>
      <c r="J52" s="106" t="s">
        <v>12</v>
      </c>
      <c r="K52" s="591" t="s">
        <v>369</v>
      </c>
      <c r="L52" s="24"/>
    </row>
    <row r="53" spans="1:12" s="26" customFormat="1" ht="16.5" customHeight="1" x14ac:dyDescent="0.35">
      <c r="A53" s="589">
        <v>39</v>
      </c>
      <c r="B53" s="24" t="s">
        <v>370</v>
      </c>
      <c r="C53" s="10">
        <f>'inventory2019(REVISED)'!C58</f>
        <v>4.9400000000000004</v>
      </c>
      <c r="D53" s="615">
        <f>'[23]road inventory 2018'!C60</f>
        <v>4.9000000000000004</v>
      </c>
      <c r="E53" s="15">
        <v>0</v>
      </c>
      <c r="F53" s="15">
        <v>0</v>
      </c>
      <c r="G53" s="15">
        <v>0</v>
      </c>
      <c r="H53" s="15">
        <v>4.9400000000000004</v>
      </c>
      <c r="I53" s="15">
        <v>0</v>
      </c>
      <c r="J53" s="106" t="s">
        <v>12</v>
      </c>
      <c r="K53" s="591" t="s">
        <v>371</v>
      </c>
      <c r="L53" s="24"/>
    </row>
    <row r="54" spans="1:12" s="26" customFormat="1" ht="16.5" customHeight="1" x14ac:dyDescent="0.35">
      <c r="A54" s="589">
        <v>105</v>
      </c>
      <c r="B54" s="24" t="s">
        <v>228</v>
      </c>
      <c r="C54" s="10">
        <f>'inventory2019(REVISED)'!C59</f>
        <v>3.65</v>
      </c>
      <c r="D54" s="615">
        <f>'[23]road inventory 2018'!C61</f>
        <v>3.6</v>
      </c>
      <c r="E54" s="15">
        <v>0</v>
      </c>
      <c r="F54" s="15">
        <v>0</v>
      </c>
      <c r="G54" s="15">
        <v>0</v>
      </c>
      <c r="H54" s="15">
        <v>3.65</v>
      </c>
      <c r="I54" s="15">
        <v>0</v>
      </c>
      <c r="J54" s="106" t="s">
        <v>12</v>
      </c>
      <c r="K54" s="591" t="s">
        <v>372</v>
      </c>
      <c r="L54" s="24"/>
    </row>
    <row r="55" spans="1:12" s="26" customFormat="1" ht="16.5" customHeight="1" x14ac:dyDescent="0.35">
      <c r="A55" s="589">
        <v>42</v>
      </c>
      <c r="B55" s="24" t="s">
        <v>227</v>
      </c>
      <c r="C55" s="10">
        <f>'inventory2019(REVISED)'!C62</f>
        <v>1.5</v>
      </c>
      <c r="D55" s="615">
        <f>'[23]road inventory 2018'!C64</f>
        <v>1.5</v>
      </c>
      <c r="E55" s="15">
        <v>0</v>
      </c>
      <c r="F55" s="15">
        <v>0</v>
      </c>
      <c r="G55" s="15">
        <v>0</v>
      </c>
      <c r="H55" s="15">
        <v>1.5</v>
      </c>
      <c r="I55" s="15">
        <v>0</v>
      </c>
      <c r="J55" s="106" t="s">
        <v>12</v>
      </c>
      <c r="K55" s="591" t="s">
        <v>375</v>
      </c>
      <c r="L55" s="24"/>
    </row>
    <row r="56" spans="1:12" s="26" customFormat="1" ht="16.5" customHeight="1" x14ac:dyDescent="0.35">
      <c r="A56" s="589">
        <v>104</v>
      </c>
      <c r="B56" s="24" t="s">
        <v>240</v>
      </c>
      <c r="C56" s="10">
        <f>'inventory2019(REVISED)'!C65</f>
        <v>3.13</v>
      </c>
      <c r="D56" s="615">
        <f>'[23]road inventory 2018'!C67</f>
        <v>3.1</v>
      </c>
      <c r="E56" s="15">
        <v>0</v>
      </c>
      <c r="F56" s="15">
        <v>0</v>
      </c>
      <c r="G56" s="15">
        <v>0</v>
      </c>
      <c r="H56" s="15">
        <v>3.13</v>
      </c>
      <c r="I56" s="15">
        <v>0</v>
      </c>
      <c r="J56" s="106" t="s">
        <v>12</v>
      </c>
      <c r="K56" s="591" t="s">
        <v>379</v>
      </c>
      <c r="L56" s="24"/>
    </row>
    <row r="57" spans="1:12" s="26" customFormat="1" ht="15" customHeight="1" x14ac:dyDescent="0.35">
      <c r="A57" s="626"/>
      <c r="B57" s="60"/>
      <c r="C57" s="61">
        <f t="shared" ref="C57:I57" si="1">SUM(C36:C56)</f>
        <v>74.349999999999994</v>
      </c>
      <c r="D57" s="627">
        <f t="shared" si="1"/>
        <v>74.399999999999991</v>
      </c>
      <c r="E57" s="61">
        <f t="shared" si="1"/>
        <v>25.93</v>
      </c>
      <c r="F57" s="61">
        <f t="shared" si="1"/>
        <v>0</v>
      </c>
      <c r="G57" s="61">
        <f t="shared" si="1"/>
        <v>0</v>
      </c>
      <c r="H57" s="61">
        <f t="shared" si="1"/>
        <v>48.42</v>
      </c>
      <c r="I57" s="61">
        <f t="shared" si="1"/>
        <v>0</v>
      </c>
      <c r="J57" s="628"/>
      <c r="K57" s="629"/>
      <c r="L57" s="24"/>
    </row>
    <row r="58" spans="1:12" s="1" customFormat="1" ht="24" customHeight="1" thickBot="1" x14ac:dyDescent="0.4">
      <c r="A58" s="53" t="s">
        <v>341</v>
      </c>
      <c r="B58" s="30"/>
      <c r="C58" s="31">
        <f>SUM(E58:I58)</f>
        <v>74.349999999999994</v>
      </c>
      <c r="D58" s="630"/>
      <c r="E58" s="31">
        <f>SUM(E36:E56)</f>
        <v>25.93</v>
      </c>
      <c r="F58" s="31">
        <f>SUM(F36:F56)</f>
        <v>0</v>
      </c>
      <c r="G58" s="31">
        <f>SUM(G36:G56)</f>
        <v>0</v>
      </c>
      <c r="H58" s="31">
        <f>SUM(H36:H56)</f>
        <v>48.42</v>
      </c>
      <c r="I58" s="31">
        <f>SUM(I36:I56)</f>
        <v>0</v>
      </c>
      <c r="J58" s="608"/>
      <c r="K58" s="609"/>
      <c r="L58" s="97"/>
    </row>
    <row r="59" spans="1:12" s="1" customFormat="1" x14ac:dyDescent="0.35">
      <c r="A59" s="1217" t="s">
        <v>380</v>
      </c>
      <c r="B59" s="1218"/>
      <c r="C59" s="1218"/>
      <c r="D59" s="1218"/>
      <c r="E59" s="1218"/>
      <c r="F59" s="1218"/>
      <c r="G59" s="1218"/>
      <c r="H59" s="1218"/>
      <c r="I59" s="1218"/>
      <c r="J59" s="1218"/>
      <c r="K59" s="1218"/>
      <c r="L59" s="1219"/>
    </row>
    <row r="60" spans="1:12" s="1" customFormat="1" ht="16" thickBot="1" x14ac:dyDescent="0.4">
      <c r="A60" s="585"/>
      <c r="B60" s="2"/>
      <c r="C60" s="5"/>
      <c r="D60" s="586"/>
      <c r="E60" s="5"/>
      <c r="F60" s="5"/>
      <c r="G60" s="5"/>
      <c r="H60" s="5"/>
      <c r="I60" s="5"/>
      <c r="J60" s="3"/>
      <c r="K60" s="21"/>
      <c r="L60" s="631"/>
    </row>
    <row r="61" spans="1:12" s="1" customFormat="1" ht="21" customHeight="1" x14ac:dyDescent="0.35">
      <c r="A61" s="1206" t="s">
        <v>302</v>
      </c>
      <c r="B61" s="1208" t="s">
        <v>28</v>
      </c>
      <c r="C61" s="1210" t="s">
        <v>343</v>
      </c>
      <c r="D61" s="613"/>
      <c r="E61" s="1212" t="s">
        <v>305</v>
      </c>
      <c r="F61" s="1212"/>
      <c r="G61" s="1212"/>
      <c r="H61" s="1212"/>
      <c r="I61" s="1212"/>
      <c r="J61" s="1208" t="s">
        <v>29</v>
      </c>
      <c r="K61" s="1213" t="s">
        <v>306</v>
      </c>
      <c r="L61" s="1226" t="s">
        <v>307</v>
      </c>
    </row>
    <row r="62" spans="1:12" s="1" customFormat="1" ht="21" customHeight="1" thickBot="1" x14ac:dyDescent="0.4">
      <c r="A62" s="1207"/>
      <c r="B62" s="1209"/>
      <c r="C62" s="1211"/>
      <c r="D62" s="614"/>
      <c r="E62" s="7" t="s">
        <v>308</v>
      </c>
      <c r="F62" s="7" t="s">
        <v>309</v>
      </c>
      <c r="G62" s="7" t="s">
        <v>310</v>
      </c>
      <c r="H62" s="7" t="s">
        <v>311</v>
      </c>
      <c r="I62" s="7" t="s">
        <v>312</v>
      </c>
      <c r="J62" s="1209"/>
      <c r="K62" s="1214"/>
      <c r="L62" s="1227"/>
    </row>
    <row r="63" spans="1:12" s="26" customFormat="1" ht="16.5" customHeight="1" x14ac:dyDescent="0.35">
      <c r="A63" s="589">
        <v>107</v>
      </c>
      <c r="B63" s="24" t="s">
        <v>381</v>
      </c>
      <c r="C63" s="15">
        <f>'inventory2019(REVISED)'!C72</f>
        <v>2.59</v>
      </c>
      <c r="D63" s="15">
        <f>'inventory2019(REVISED)'!D72</f>
        <v>2.5</v>
      </c>
      <c r="E63" s="15">
        <f>'inventory2019(REVISED)'!E72</f>
        <v>1.07</v>
      </c>
      <c r="F63" s="15">
        <f>'inventory2019(REVISED)'!F72</f>
        <v>0</v>
      </c>
      <c r="G63" s="15">
        <f>'inventory2019(REVISED)'!G72</f>
        <v>0</v>
      </c>
      <c r="H63" s="15">
        <f>'inventory2019(REVISED)'!H72</f>
        <v>1.52</v>
      </c>
      <c r="I63" s="15">
        <v>0</v>
      </c>
      <c r="J63" s="106" t="s">
        <v>12</v>
      </c>
      <c r="K63" s="591" t="s">
        <v>382</v>
      </c>
      <c r="L63" s="592"/>
    </row>
    <row r="64" spans="1:12" s="26" customFormat="1" ht="16.5" customHeight="1" x14ac:dyDescent="0.35">
      <c r="A64" s="589">
        <v>102</v>
      </c>
      <c r="B64" s="24" t="s">
        <v>242</v>
      </c>
      <c r="C64" s="15">
        <f>'inventory2019(REVISED)'!C73</f>
        <v>1.33</v>
      </c>
      <c r="D64" s="15">
        <f>'inventory2019(REVISED)'!D73</f>
        <v>1.3</v>
      </c>
      <c r="E64" s="15">
        <f>'inventory2019(REVISED)'!E73</f>
        <v>0</v>
      </c>
      <c r="F64" s="15">
        <f>'inventory2019(REVISED)'!F73</f>
        <v>0</v>
      </c>
      <c r="G64" s="15">
        <f>'inventory2019(REVISED)'!G73</f>
        <v>0</v>
      </c>
      <c r="H64" s="15">
        <f>'inventory2019(REVISED)'!H73</f>
        <v>1.33</v>
      </c>
      <c r="I64" s="15">
        <v>0</v>
      </c>
      <c r="J64" s="106" t="s">
        <v>12</v>
      </c>
      <c r="K64" s="591" t="s">
        <v>383</v>
      </c>
      <c r="L64" s="24"/>
    </row>
    <row r="65" spans="1:12" s="26" customFormat="1" ht="16.5" customHeight="1" x14ac:dyDescent="0.35">
      <c r="A65" s="589">
        <v>47</v>
      </c>
      <c r="B65" s="24" t="s">
        <v>38</v>
      </c>
      <c r="C65" s="15">
        <f>'inventory2019(REVISED)'!C75</f>
        <v>17.2</v>
      </c>
      <c r="D65" s="15">
        <f>'inventory2019(REVISED)'!D75</f>
        <v>17</v>
      </c>
      <c r="E65" s="15">
        <f>'inventory2019(REVISED)'!E75</f>
        <v>0.27</v>
      </c>
      <c r="F65" s="15">
        <f>'inventory2019(REVISED)'!F75</f>
        <v>0</v>
      </c>
      <c r="G65" s="15">
        <f>'inventory2019(REVISED)'!G75</f>
        <v>0</v>
      </c>
      <c r="H65" s="15">
        <f>'inventory2019(REVISED)'!H75</f>
        <v>16.93</v>
      </c>
      <c r="I65" s="15">
        <v>0</v>
      </c>
      <c r="J65" s="106" t="s">
        <v>12</v>
      </c>
      <c r="K65" s="591" t="s">
        <v>387</v>
      </c>
      <c r="L65" s="24"/>
    </row>
    <row r="66" spans="1:12" s="26" customFormat="1" ht="16.5" customHeight="1" x14ac:dyDescent="0.35">
      <c r="A66" s="589">
        <v>48</v>
      </c>
      <c r="B66" s="24" t="s">
        <v>388</v>
      </c>
      <c r="C66" s="15">
        <f>'inventory2019(REVISED)'!C76</f>
        <v>2.63</v>
      </c>
      <c r="D66" s="15">
        <f>'inventory2019(REVISED)'!D76</f>
        <v>2.6</v>
      </c>
      <c r="E66" s="15">
        <f>'inventory2019(REVISED)'!E76</f>
        <v>0</v>
      </c>
      <c r="F66" s="15">
        <f>'inventory2019(REVISED)'!F76</f>
        <v>0</v>
      </c>
      <c r="G66" s="15">
        <f>'inventory2019(REVISED)'!G76</f>
        <v>0</v>
      </c>
      <c r="H66" s="15">
        <f>'inventory2019(REVISED)'!H76</f>
        <v>2.63</v>
      </c>
      <c r="I66" s="15">
        <v>0</v>
      </c>
      <c r="J66" s="106" t="s">
        <v>12</v>
      </c>
      <c r="K66" s="591" t="s">
        <v>389</v>
      </c>
      <c r="L66" s="24"/>
    </row>
    <row r="67" spans="1:12" s="26" customFormat="1" ht="16.5" customHeight="1" x14ac:dyDescent="0.35">
      <c r="A67" s="589">
        <v>90</v>
      </c>
      <c r="B67" s="24" t="s">
        <v>390</v>
      </c>
      <c r="C67" s="15">
        <f>'inventory2019(REVISED)'!C77</f>
        <v>4.2699999999999996</v>
      </c>
      <c r="D67" s="15">
        <f>'inventory2019(REVISED)'!D77</f>
        <v>4.3499999999999996</v>
      </c>
      <c r="E67" s="15">
        <f>'inventory2019(REVISED)'!E77</f>
        <v>0</v>
      </c>
      <c r="F67" s="15">
        <f>'inventory2019(REVISED)'!F77</f>
        <v>0</v>
      </c>
      <c r="G67" s="15">
        <f>'inventory2019(REVISED)'!G77</f>
        <v>0</v>
      </c>
      <c r="H67" s="15">
        <f>'inventory2019(REVISED)'!H77</f>
        <v>4.2699999999999996</v>
      </c>
      <c r="I67" s="15">
        <v>0</v>
      </c>
      <c r="J67" s="106" t="s">
        <v>12</v>
      </c>
      <c r="K67" s="591" t="s">
        <v>391</v>
      </c>
      <c r="L67" s="24"/>
    </row>
    <row r="68" spans="1:12" s="1" customFormat="1" ht="17.25" customHeight="1" x14ac:dyDescent="0.35">
      <c r="A68" s="635"/>
      <c r="B68" s="40"/>
      <c r="C68" s="41">
        <f t="shared" ref="C68:H68" si="2">SUM(C63:C67)</f>
        <v>28.019999999999996</v>
      </c>
      <c r="D68" s="636">
        <f t="shared" si="2"/>
        <v>27.75</v>
      </c>
      <c r="E68" s="41">
        <f t="shared" si="2"/>
        <v>1.34</v>
      </c>
      <c r="F68" s="41">
        <f t="shared" si="2"/>
        <v>0</v>
      </c>
      <c r="G68" s="41">
        <f t="shared" si="2"/>
        <v>0</v>
      </c>
      <c r="H68" s="41">
        <f t="shared" si="2"/>
        <v>26.68</v>
      </c>
      <c r="I68" s="41"/>
      <c r="J68" s="109"/>
      <c r="K68" s="605"/>
      <c r="L68" s="28"/>
    </row>
    <row r="69" spans="1:12" s="1" customFormat="1" ht="23.25" customHeight="1" thickBot="1" x14ac:dyDescent="0.4">
      <c r="A69" s="53" t="s">
        <v>341</v>
      </c>
      <c r="B69" s="34"/>
      <c r="C69" s="31">
        <f>SUM(E69:I69)</f>
        <v>28.02</v>
      </c>
      <c r="D69" s="630"/>
      <c r="E69" s="31">
        <f>SUM(E63:E67)</f>
        <v>1.34</v>
      </c>
      <c r="F69" s="31">
        <f>SUM(F63:F67)</f>
        <v>0</v>
      </c>
      <c r="G69" s="31">
        <f>SUM(G63:G67)</f>
        <v>0</v>
      </c>
      <c r="H69" s="31">
        <f>SUM(H63:H67)</f>
        <v>26.68</v>
      </c>
      <c r="I69" s="31">
        <f>SUM(I63:I67)</f>
        <v>0</v>
      </c>
      <c r="J69" s="608"/>
      <c r="K69" s="609"/>
      <c r="L69" s="97"/>
    </row>
    <row r="70" spans="1:12" s="1" customFormat="1" ht="15" customHeight="1" thickBot="1" x14ac:dyDescent="0.4">
      <c r="A70" s="544"/>
      <c r="B70" s="35"/>
      <c r="C70" s="22"/>
      <c r="D70" s="610"/>
      <c r="E70" s="22"/>
      <c r="F70" s="22"/>
      <c r="G70" s="22"/>
      <c r="H70" s="22"/>
      <c r="I70" s="22"/>
      <c r="K70" s="21"/>
      <c r="L70" s="611"/>
    </row>
    <row r="71" spans="1:12" s="1" customFormat="1" x14ac:dyDescent="0.35">
      <c r="A71" s="1217" t="s">
        <v>394</v>
      </c>
      <c r="B71" s="1218"/>
      <c r="C71" s="1218"/>
      <c r="D71" s="1218"/>
      <c r="E71" s="1218"/>
      <c r="F71" s="1218"/>
      <c r="G71" s="1218"/>
      <c r="H71" s="1218"/>
      <c r="I71" s="1218"/>
      <c r="J71" s="1218"/>
      <c r="K71" s="1218"/>
      <c r="L71" s="1219"/>
    </row>
    <row r="72" spans="1:12" s="1" customFormat="1" ht="16" thickBot="1" x14ac:dyDescent="0.4">
      <c r="A72" s="585"/>
      <c r="B72" s="2"/>
      <c r="C72" s="5"/>
      <c r="D72" s="586"/>
      <c r="E72" s="5"/>
      <c r="F72" s="5"/>
      <c r="G72" s="5"/>
      <c r="H72" s="5"/>
      <c r="I72" s="5"/>
      <c r="J72" s="3"/>
      <c r="K72" s="21"/>
      <c r="L72" s="637"/>
    </row>
    <row r="73" spans="1:12" s="1" customFormat="1" ht="21" customHeight="1" x14ac:dyDescent="0.35">
      <c r="A73" s="1206" t="s">
        <v>302</v>
      </c>
      <c r="B73" s="1208" t="s">
        <v>28</v>
      </c>
      <c r="C73" s="1210" t="s">
        <v>343</v>
      </c>
      <c r="D73" s="613"/>
      <c r="E73" s="1212" t="s">
        <v>305</v>
      </c>
      <c r="F73" s="1212"/>
      <c r="G73" s="1212"/>
      <c r="H73" s="1212"/>
      <c r="I73" s="1212"/>
      <c r="J73" s="1208" t="s">
        <v>29</v>
      </c>
      <c r="K73" s="1213" t="s">
        <v>306</v>
      </c>
      <c r="L73" s="1226" t="s">
        <v>307</v>
      </c>
    </row>
    <row r="74" spans="1:12" s="1" customFormat="1" ht="21" customHeight="1" thickBot="1" x14ac:dyDescent="0.4">
      <c r="A74" s="1207"/>
      <c r="B74" s="1209"/>
      <c r="C74" s="1211"/>
      <c r="D74" s="614"/>
      <c r="E74" s="7" t="s">
        <v>308</v>
      </c>
      <c r="F74" s="7" t="s">
        <v>309</v>
      </c>
      <c r="G74" s="7" t="s">
        <v>310</v>
      </c>
      <c r="H74" s="7" t="s">
        <v>311</v>
      </c>
      <c r="I74" s="7" t="s">
        <v>312</v>
      </c>
      <c r="J74" s="1209"/>
      <c r="K74" s="1214"/>
      <c r="L74" s="1227"/>
    </row>
    <row r="75" spans="1:12" s="642" customFormat="1" ht="36.75" customHeight="1" x14ac:dyDescent="0.35">
      <c r="A75" s="638">
        <v>108</v>
      </c>
      <c r="B75" s="24" t="s">
        <v>395</v>
      </c>
      <c r="C75" s="639">
        <f>SUM(E75:I75)</f>
        <v>3.28</v>
      </c>
      <c r="D75" s="640">
        <f>'[23]road inventory 2018'!C86</f>
        <v>3.1</v>
      </c>
      <c r="E75" s="639">
        <v>0.48</v>
      </c>
      <c r="F75" s="639">
        <v>0</v>
      </c>
      <c r="G75" s="639">
        <v>0</v>
      </c>
      <c r="H75" s="110">
        <v>2.8</v>
      </c>
      <c r="I75" s="110">
        <v>0</v>
      </c>
      <c r="J75" s="24" t="s">
        <v>12</v>
      </c>
      <c r="K75" s="591" t="s">
        <v>396</v>
      </c>
      <c r="L75" s="592"/>
    </row>
    <row r="76" spans="1:12" s="1" customFormat="1" ht="26.25" customHeight="1" thickBot="1" x14ac:dyDescent="0.4">
      <c r="A76" s="53" t="s">
        <v>341</v>
      </c>
      <c r="B76" s="34"/>
      <c r="C76" s="31">
        <f>SUM(C75:C75)</f>
        <v>3.28</v>
      </c>
      <c r="D76" s="630"/>
      <c r="E76" s="31">
        <f>SUM(E75:E75)</f>
        <v>0.48</v>
      </c>
      <c r="F76" s="31">
        <f>SUM(F75:F75)</f>
        <v>0</v>
      </c>
      <c r="G76" s="31">
        <f>SUM(G75:G75)</f>
        <v>0</v>
      </c>
      <c r="H76" s="31">
        <f>SUM(H75:H75)</f>
        <v>2.8</v>
      </c>
      <c r="I76" s="31">
        <f>SUM(I75:I75)</f>
        <v>0</v>
      </c>
      <c r="J76" s="643"/>
      <c r="K76" s="644"/>
      <c r="L76" s="40"/>
    </row>
    <row r="77" spans="1:12" s="1" customFormat="1" ht="14.25" customHeight="1" thickBot="1" x14ac:dyDescent="0.4">
      <c r="A77" s="95"/>
      <c r="B77" s="37"/>
      <c r="C77" s="38"/>
      <c r="D77" s="645"/>
      <c r="E77" s="38"/>
      <c r="F77" s="38"/>
      <c r="G77" s="38"/>
      <c r="H77" s="38"/>
      <c r="I77" s="38"/>
      <c r="J77" s="3"/>
      <c r="K77" s="2"/>
      <c r="L77" s="646"/>
    </row>
    <row r="78" spans="1:12" s="1" customFormat="1" x14ac:dyDescent="0.35">
      <c r="A78" s="1217" t="s">
        <v>397</v>
      </c>
      <c r="B78" s="1218"/>
      <c r="C78" s="1218"/>
      <c r="D78" s="1218"/>
      <c r="E78" s="1218"/>
      <c r="F78" s="1218"/>
      <c r="G78" s="1218"/>
      <c r="H78" s="1218"/>
      <c r="I78" s="1218"/>
      <c r="J78" s="1218"/>
      <c r="K78" s="1218"/>
      <c r="L78" s="1219"/>
    </row>
    <row r="79" spans="1:12" s="1" customFormat="1" ht="16" thickBot="1" x14ac:dyDescent="0.4">
      <c r="A79" s="585"/>
      <c r="B79" s="2"/>
      <c r="C79" s="5"/>
      <c r="D79" s="586"/>
      <c r="E79" s="5"/>
      <c r="F79" s="5"/>
      <c r="G79" s="5"/>
      <c r="H79" s="5"/>
      <c r="I79" s="5"/>
      <c r="J79" s="3"/>
      <c r="K79" s="21"/>
      <c r="L79" s="97"/>
    </row>
    <row r="80" spans="1:12" s="1" customFormat="1" ht="21" customHeight="1" x14ac:dyDescent="0.35">
      <c r="A80" s="1206" t="s">
        <v>302</v>
      </c>
      <c r="B80" s="1208" t="s">
        <v>28</v>
      </c>
      <c r="C80" s="1210" t="s">
        <v>343</v>
      </c>
      <c r="D80" s="613"/>
      <c r="E80" s="1212" t="s">
        <v>305</v>
      </c>
      <c r="F80" s="1212"/>
      <c r="G80" s="1212"/>
      <c r="H80" s="1212"/>
      <c r="I80" s="1212"/>
      <c r="J80" s="1208" t="s">
        <v>29</v>
      </c>
      <c r="K80" s="1213" t="s">
        <v>306</v>
      </c>
      <c r="L80" s="1226" t="s">
        <v>307</v>
      </c>
    </row>
    <row r="81" spans="1:12" s="1" customFormat="1" ht="21" customHeight="1" thickBot="1" x14ac:dyDescent="0.4">
      <c r="A81" s="1207"/>
      <c r="B81" s="1209"/>
      <c r="C81" s="1211"/>
      <c r="D81" s="614"/>
      <c r="E81" s="7" t="s">
        <v>308</v>
      </c>
      <c r="F81" s="7" t="s">
        <v>309</v>
      </c>
      <c r="G81" s="7" t="s">
        <v>310</v>
      </c>
      <c r="H81" s="7" t="s">
        <v>311</v>
      </c>
      <c r="I81" s="7" t="s">
        <v>312</v>
      </c>
      <c r="J81" s="1209"/>
      <c r="K81" s="1214"/>
      <c r="L81" s="1227"/>
    </row>
    <row r="82" spans="1:12" s="1" customFormat="1" ht="16.5" customHeight="1" x14ac:dyDescent="0.35">
      <c r="A82" s="596">
        <v>224</v>
      </c>
      <c r="B82" s="28" t="s">
        <v>44</v>
      </c>
      <c r="C82" s="10">
        <f>'inventory2019(REVISED)'!C94</f>
        <v>7.24</v>
      </c>
      <c r="D82" s="615">
        <f>'[23]road inventory 2018'!C94</f>
        <v>7.2</v>
      </c>
      <c r="E82" s="10">
        <v>1.02</v>
      </c>
      <c r="F82" s="10">
        <v>0</v>
      </c>
      <c r="G82" s="10">
        <v>0</v>
      </c>
      <c r="H82" s="10">
        <v>6.22</v>
      </c>
      <c r="I82" s="10">
        <v>0</v>
      </c>
      <c r="J82" s="103" t="s">
        <v>12</v>
      </c>
      <c r="K82" s="597" t="s">
        <v>399</v>
      </c>
      <c r="L82" s="28"/>
    </row>
    <row r="83" spans="1:12" s="26" customFormat="1" ht="16.5" customHeight="1" x14ac:dyDescent="0.35">
      <c r="A83" s="589">
        <v>217</v>
      </c>
      <c r="B83" s="24" t="s">
        <v>243</v>
      </c>
      <c r="C83" s="10">
        <f>'inventory2019(REVISED)'!C96</f>
        <v>1.1399999999999999</v>
      </c>
      <c r="D83" s="615">
        <f>'[23]road inventory 2018'!C96</f>
        <v>1.1000000000000001</v>
      </c>
      <c r="E83" s="15">
        <v>1.1399999999999999</v>
      </c>
      <c r="F83" s="15">
        <v>0</v>
      </c>
      <c r="G83" s="15">
        <v>0</v>
      </c>
      <c r="H83" s="15">
        <v>0</v>
      </c>
      <c r="I83" s="15">
        <v>0</v>
      </c>
      <c r="J83" s="106" t="s">
        <v>10</v>
      </c>
      <c r="K83" s="591" t="s">
        <v>402</v>
      </c>
      <c r="L83" s="24"/>
    </row>
    <row r="84" spans="1:12" s="26" customFormat="1" ht="16.5" customHeight="1" x14ac:dyDescent="0.35">
      <c r="A84" s="589">
        <v>225</v>
      </c>
      <c r="B84" s="24" t="s">
        <v>403</v>
      </c>
      <c r="C84" s="10">
        <f>'inventory2019(REVISED)'!C97</f>
        <v>0.36</v>
      </c>
      <c r="D84" s="615">
        <f>'[23]road inventory 2018'!C97</f>
        <v>0.4</v>
      </c>
      <c r="E84" s="15">
        <v>0</v>
      </c>
      <c r="F84" s="15">
        <v>0</v>
      </c>
      <c r="G84" s="15">
        <v>0</v>
      </c>
      <c r="H84" s="15">
        <v>0.36</v>
      </c>
      <c r="I84" s="15">
        <v>0</v>
      </c>
      <c r="J84" s="106" t="s">
        <v>10</v>
      </c>
      <c r="K84" s="591" t="s">
        <v>404</v>
      </c>
      <c r="L84" s="24"/>
    </row>
    <row r="85" spans="1:12" s="26" customFormat="1" ht="16.5" customHeight="1" x14ac:dyDescent="0.35">
      <c r="A85" s="589">
        <v>226</v>
      </c>
      <c r="B85" s="24" t="s">
        <v>45</v>
      </c>
      <c r="C85" s="10">
        <f>'inventory2019(REVISED)'!C98</f>
        <v>4.01</v>
      </c>
      <c r="D85" s="615">
        <f>'[23]road inventory 2018'!C98</f>
        <v>4.8</v>
      </c>
      <c r="E85" s="15">
        <v>0.86</v>
      </c>
      <c r="F85" s="15">
        <v>0</v>
      </c>
      <c r="G85" s="15">
        <v>0</v>
      </c>
      <c r="H85" s="15">
        <v>3.15</v>
      </c>
      <c r="I85" s="15">
        <v>0</v>
      </c>
      <c r="J85" s="106" t="s">
        <v>10</v>
      </c>
      <c r="K85" s="591" t="s">
        <v>405</v>
      </c>
      <c r="L85" s="24"/>
    </row>
    <row r="86" spans="1:12" s="26" customFormat="1" ht="16.5" customHeight="1" x14ac:dyDescent="0.35">
      <c r="A86" s="589">
        <v>116</v>
      </c>
      <c r="B86" s="24" t="s">
        <v>47</v>
      </c>
      <c r="C86" s="10">
        <f>'inventory2019(REVISED)'!C99</f>
        <v>12.3</v>
      </c>
      <c r="D86" s="615">
        <f>'[23]road inventory 2018'!C99</f>
        <v>12.3</v>
      </c>
      <c r="E86" s="15">
        <v>6.67</v>
      </c>
      <c r="F86" s="15">
        <v>0</v>
      </c>
      <c r="G86" s="15">
        <v>0</v>
      </c>
      <c r="H86" s="15">
        <v>5.63</v>
      </c>
      <c r="I86" s="15">
        <v>0</v>
      </c>
      <c r="J86" s="106" t="s">
        <v>12</v>
      </c>
      <c r="K86" s="591" t="s">
        <v>405</v>
      </c>
      <c r="L86" s="24"/>
    </row>
    <row r="87" spans="1:12" s="26" customFormat="1" ht="16.5" customHeight="1" x14ac:dyDescent="0.35">
      <c r="A87" s="589">
        <v>46</v>
      </c>
      <c r="B87" s="24" t="s">
        <v>406</v>
      </c>
      <c r="C87" s="10">
        <f>'inventory2019(REVISED)'!C100</f>
        <v>1.3</v>
      </c>
      <c r="D87" s="615">
        <f>'[23]road inventory 2018'!C100</f>
        <v>1.3</v>
      </c>
      <c r="E87" s="15">
        <v>1.3</v>
      </c>
      <c r="F87" s="15">
        <v>0</v>
      </c>
      <c r="G87" s="15">
        <v>0</v>
      </c>
      <c r="H87" s="15">
        <v>0</v>
      </c>
      <c r="I87" s="15">
        <v>0</v>
      </c>
      <c r="J87" s="106" t="s">
        <v>10</v>
      </c>
      <c r="K87" s="591" t="s">
        <v>407</v>
      </c>
      <c r="L87" s="24"/>
    </row>
    <row r="88" spans="1:12" s="1" customFormat="1" ht="18.75" customHeight="1" x14ac:dyDescent="0.35">
      <c r="A88" s="635"/>
      <c r="B88" s="40"/>
      <c r="C88" s="41">
        <f t="shared" ref="C88:H88" si="3">SUM(C82:C87)</f>
        <v>26.35</v>
      </c>
      <c r="D88" s="627">
        <f t="shared" si="3"/>
        <v>27.1</v>
      </c>
      <c r="E88" s="41">
        <f t="shared" si="3"/>
        <v>10.99</v>
      </c>
      <c r="F88" s="41">
        <f t="shared" si="3"/>
        <v>0</v>
      </c>
      <c r="G88" s="41">
        <f t="shared" si="3"/>
        <v>0</v>
      </c>
      <c r="H88" s="41">
        <f t="shared" si="3"/>
        <v>15.36</v>
      </c>
      <c r="I88" s="41"/>
      <c r="J88" s="109"/>
      <c r="K88" s="605"/>
      <c r="L88" s="28"/>
    </row>
    <row r="89" spans="1:12" s="1" customFormat="1" ht="22.5" customHeight="1" thickBot="1" x14ac:dyDescent="0.4">
      <c r="A89" s="53" t="s">
        <v>341</v>
      </c>
      <c r="B89" s="34"/>
      <c r="C89" s="31">
        <f>E89+H89</f>
        <v>26.35</v>
      </c>
      <c r="D89" s="630"/>
      <c r="E89" s="31">
        <f>SUM(E82:E87)</f>
        <v>10.99</v>
      </c>
      <c r="F89" s="31">
        <f>SUM(F82:F87)</f>
        <v>0</v>
      </c>
      <c r="G89" s="31">
        <f>SUM(G82:G87)</f>
        <v>0</v>
      </c>
      <c r="H89" s="31">
        <f>SUM(H82:H87)</f>
        <v>15.36</v>
      </c>
      <c r="I89" s="31">
        <f>SUM(I82:I87)</f>
        <v>0</v>
      </c>
      <c r="J89" s="608"/>
      <c r="K89" s="609"/>
      <c r="L89" s="97"/>
    </row>
    <row r="90" spans="1:12" s="1" customFormat="1" ht="22.5" customHeight="1" x14ac:dyDescent="0.35">
      <c r="A90" s="544"/>
      <c r="B90" s="35"/>
      <c r="C90" s="22"/>
      <c r="D90" s="610"/>
      <c r="E90" s="22"/>
      <c r="F90" s="22"/>
      <c r="G90" s="22"/>
      <c r="H90" s="22"/>
      <c r="I90" s="22"/>
      <c r="K90" s="21"/>
      <c r="L90" s="647"/>
    </row>
    <row r="91" spans="1:12" s="1" customFormat="1" x14ac:dyDescent="0.35">
      <c r="A91" s="1203" t="s">
        <v>411</v>
      </c>
      <c r="B91" s="1204"/>
      <c r="C91" s="1204"/>
      <c r="D91" s="1204"/>
      <c r="E91" s="1204"/>
      <c r="F91" s="1204"/>
      <c r="G91" s="1204"/>
      <c r="H91" s="1204"/>
      <c r="I91" s="1204"/>
      <c r="J91" s="1204"/>
      <c r="K91" s="1204"/>
      <c r="L91" s="1205"/>
    </row>
    <row r="92" spans="1:12" s="1" customFormat="1" ht="16" thickBot="1" x14ac:dyDescent="0.4">
      <c r="A92" s="585"/>
      <c r="B92" s="2"/>
      <c r="C92" s="5"/>
      <c r="D92" s="586"/>
      <c r="E92" s="5"/>
      <c r="F92" s="5"/>
      <c r="G92" s="5"/>
      <c r="H92" s="5"/>
      <c r="I92" s="5"/>
      <c r="J92" s="3"/>
      <c r="K92" s="21"/>
      <c r="L92" s="631"/>
    </row>
    <row r="93" spans="1:12" s="1" customFormat="1" ht="21" customHeight="1" x14ac:dyDescent="0.35">
      <c r="A93" s="1206" t="s">
        <v>302</v>
      </c>
      <c r="B93" s="1208" t="s">
        <v>28</v>
      </c>
      <c r="C93" s="1210" t="s">
        <v>343</v>
      </c>
      <c r="D93" s="613"/>
      <c r="E93" s="1212" t="s">
        <v>305</v>
      </c>
      <c r="F93" s="1212"/>
      <c r="G93" s="1212"/>
      <c r="H93" s="1212"/>
      <c r="I93" s="1212"/>
      <c r="J93" s="1208" t="s">
        <v>29</v>
      </c>
      <c r="K93" s="1213" t="s">
        <v>306</v>
      </c>
      <c r="L93" s="1226" t="s">
        <v>307</v>
      </c>
    </row>
    <row r="94" spans="1:12" s="1" customFormat="1" ht="21" customHeight="1" thickBot="1" x14ac:dyDescent="0.4">
      <c r="A94" s="1207"/>
      <c r="B94" s="1209"/>
      <c r="C94" s="1211"/>
      <c r="D94" s="614"/>
      <c r="E94" s="7" t="s">
        <v>308</v>
      </c>
      <c r="F94" s="7" t="s">
        <v>309</v>
      </c>
      <c r="G94" s="7" t="s">
        <v>310</v>
      </c>
      <c r="H94" s="7" t="s">
        <v>311</v>
      </c>
      <c r="I94" s="7" t="s">
        <v>312</v>
      </c>
      <c r="J94" s="1209"/>
      <c r="K94" s="1214"/>
      <c r="L94" s="1227"/>
    </row>
    <row r="95" spans="1:12" s="26" customFormat="1" ht="16" customHeight="1" x14ac:dyDescent="0.35">
      <c r="A95" s="589">
        <v>48</v>
      </c>
      <c r="B95" s="43" t="s">
        <v>254</v>
      </c>
      <c r="C95" s="15">
        <f>'inventory2019(REVISED)'!C110</f>
        <v>2.19</v>
      </c>
      <c r="D95" s="590">
        <f>'[23]road inventory 2018'!C109</f>
        <v>2.1</v>
      </c>
      <c r="E95" s="15">
        <v>0</v>
      </c>
      <c r="F95" s="15">
        <v>0</v>
      </c>
      <c r="G95" s="15">
        <v>0</v>
      </c>
      <c r="H95" s="15">
        <v>2.19</v>
      </c>
      <c r="I95" s="15">
        <v>0</v>
      </c>
      <c r="J95" s="106" t="s">
        <v>12</v>
      </c>
      <c r="K95" s="591" t="s">
        <v>412</v>
      </c>
      <c r="L95" s="592"/>
    </row>
    <row r="96" spans="1:12" s="26" customFormat="1" ht="16" customHeight="1" x14ac:dyDescent="0.35">
      <c r="A96" s="589">
        <v>50</v>
      </c>
      <c r="B96" s="43" t="s">
        <v>255</v>
      </c>
      <c r="C96" s="15">
        <f>'inventory2019(REVISED)'!C111</f>
        <v>7.69</v>
      </c>
      <c r="D96" s="590">
        <f>'[23]road inventory 2018'!C110</f>
        <v>7.6</v>
      </c>
      <c r="E96" s="15">
        <v>1.79</v>
      </c>
      <c r="F96" s="15">
        <v>0</v>
      </c>
      <c r="G96" s="15">
        <v>0</v>
      </c>
      <c r="H96" s="15">
        <v>5.9</v>
      </c>
      <c r="I96" s="15">
        <v>0</v>
      </c>
      <c r="J96" s="106" t="s">
        <v>12</v>
      </c>
      <c r="K96" s="591" t="s">
        <v>413</v>
      </c>
      <c r="L96" s="24"/>
    </row>
    <row r="97" spans="1:12" s="26" customFormat="1" ht="16" customHeight="1" x14ac:dyDescent="0.35">
      <c r="A97" s="589">
        <v>51</v>
      </c>
      <c r="B97" s="43" t="s">
        <v>248</v>
      </c>
      <c r="C97" s="15">
        <f>'inventory2019(REVISED)'!C112</f>
        <v>3.96</v>
      </c>
      <c r="D97" s="590">
        <f>'[23]road inventory 2018'!C111</f>
        <v>3</v>
      </c>
      <c r="E97" s="15">
        <v>0</v>
      </c>
      <c r="F97" s="15">
        <v>0</v>
      </c>
      <c r="G97" s="15">
        <v>0</v>
      </c>
      <c r="H97" s="15">
        <v>3.96</v>
      </c>
      <c r="I97" s="15">
        <v>0</v>
      </c>
      <c r="J97" s="106" t="s">
        <v>12</v>
      </c>
      <c r="K97" s="591" t="s">
        <v>414</v>
      </c>
      <c r="L97" s="24"/>
    </row>
    <row r="98" spans="1:12" s="26" customFormat="1" ht="16" customHeight="1" x14ac:dyDescent="0.35">
      <c r="A98" s="589">
        <v>52</v>
      </c>
      <c r="B98" s="43" t="s">
        <v>251</v>
      </c>
      <c r="C98" s="15">
        <f>'inventory2019(REVISED)'!C113</f>
        <v>6.64</v>
      </c>
      <c r="D98" s="590">
        <f>'[23]road inventory 2018'!C112</f>
        <v>6.5</v>
      </c>
      <c r="E98" s="15">
        <v>0</v>
      </c>
      <c r="F98" s="15">
        <v>0</v>
      </c>
      <c r="G98" s="15">
        <v>0</v>
      </c>
      <c r="H98" s="15">
        <v>6.64</v>
      </c>
      <c r="I98" s="15">
        <v>0</v>
      </c>
      <c r="J98" s="106" t="s">
        <v>12</v>
      </c>
      <c r="K98" s="591" t="s">
        <v>415</v>
      </c>
      <c r="L98" s="24"/>
    </row>
    <row r="99" spans="1:12" s="26" customFormat="1" ht="16" customHeight="1" x14ac:dyDescent="0.35">
      <c r="A99" s="589">
        <v>53</v>
      </c>
      <c r="B99" s="43" t="s">
        <v>249</v>
      </c>
      <c r="C99" s="15">
        <f>'inventory2019(REVISED)'!C114</f>
        <v>6.46</v>
      </c>
      <c r="D99" s="590">
        <f>'[23]road inventory 2018'!C113</f>
        <v>6.4</v>
      </c>
      <c r="E99" s="15">
        <v>5.64</v>
      </c>
      <c r="F99" s="15">
        <v>0</v>
      </c>
      <c r="G99" s="15">
        <v>0</v>
      </c>
      <c r="H99" s="15">
        <v>0.82</v>
      </c>
      <c r="I99" s="15">
        <v>0</v>
      </c>
      <c r="J99" s="106" t="s">
        <v>12</v>
      </c>
      <c r="K99" s="591" t="s">
        <v>416</v>
      </c>
      <c r="L99" s="24"/>
    </row>
    <row r="100" spans="1:12" s="26" customFormat="1" ht="16" customHeight="1" x14ac:dyDescent="0.35">
      <c r="A100" s="589">
        <v>54</v>
      </c>
      <c r="B100" s="43" t="s">
        <v>252</v>
      </c>
      <c r="C100" s="15">
        <f>'inventory2019(REVISED)'!C115</f>
        <v>1.69</v>
      </c>
      <c r="D100" s="590">
        <f>'[23]road inventory 2018'!C114</f>
        <v>1.6</v>
      </c>
      <c r="E100" s="15">
        <v>1.18</v>
      </c>
      <c r="F100" s="15">
        <v>0</v>
      </c>
      <c r="G100" s="15">
        <v>0</v>
      </c>
      <c r="H100" s="15">
        <v>0.51</v>
      </c>
      <c r="I100" s="15">
        <v>0</v>
      </c>
      <c r="J100" s="106" t="s">
        <v>10</v>
      </c>
      <c r="K100" s="591" t="s">
        <v>417</v>
      </c>
      <c r="L100" s="24"/>
    </row>
    <row r="101" spans="1:12" s="26" customFormat="1" ht="16" customHeight="1" x14ac:dyDescent="0.35">
      <c r="A101" s="589">
        <v>103</v>
      </c>
      <c r="B101" s="43" t="s">
        <v>245</v>
      </c>
      <c r="C101" s="15">
        <f>'inventory2019(REVISED)'!C116</f>
        <v>1.27</v>
      </c>
      <c r="D101" s="590">
        <f>'[23]road inventory 2018'!C115</f>
        <v>1.2</v>
      </c>
      <c r="E101" s="15">
        <v>0.19</v>
      </c>
      <c r="F101" s="15">
        <v>0</v>
      </c>
      <c r="G101" s="15">
        <v>0</v>
      </c>
      <c r="H101" s="15">
        <v>1.08</v>
      </c>
      <c r="I101" s="15">
        <v>0</v>
      </c>
      <c r="J101" s="106" t="s">
        <v>10</v>
      </c>
      <c r="K101" s="591" t="s">
        <v>418</v>
      </c>
      <c r="L101" s="24"/>
    </row>
    <row r="102" spans="1:12" s="26" customFormat="1" ht="16" customHeight="1" x14ac:dyDescent="0.35">
      <c r="A102" s="589">
        <v>55</v>
      </c>
      <c r="B102" s="43" t="s">
        <v>244</v>
      </c>
      <c r="C102" s="15">
        <f>'inventory2019(REVISED)'!C117</f>
        <v>4.18</v>
      </c>
      <c r="D102" s="590">
        <f>'[23]road inventory 2018'!C116</f>
        <v>4.0999999999999996</v>
      </c>
      <c r="E102" s="15">
        <v>0</v>
      </c>
      <c r="F102" s="15">
        <v>0</v>
      </c>
      <c r="G102" s="15">
        <v>0</v>
      </c>
      <c r="H102" s="15">
        <v>4.18</v>
      </c>
      <c r="I102" s="15">
        <v>0</v>
      </c>
      <c r="J102" s="106" t="s">
        <v>12</v>
      </c>
      <c r="K102" s="591" t="s">
        <v>419</v>
      </c>
      <c r="L102" s="24"/>
    </row>
    <row r="103" spans="1:12" s="26" customFormat="1" ht="16" customHeight="1" x14ac:dyDescent="0.35">
      <c r="A103" s="589">
        <v>57</v>
      </c>
      <c r="B103" s="43" t="s">
        <v>268</v>
      </c>
      <c r="C103" s="15">
        <f>'inventory2019(REVISED)'!C118</f>
        <v>1.36</v>
      </c>
      <c r="D103" s="590">
        <f>'[23]road inventory 2018'!C117</f>
        <v>1.3</v>
      </c>
      <c r="E103" s="15">
        <v>0.3</v>
      </c>
      <c r="F103" s="15">
        <v>0</v>
      </c>
      <c r="G103" s="15">
        <v>0</v>
      </c>
      <c r="H103" s="15">
        <v>1.06</v>
      </c>
      <c r="I103" s="15">
        <v>0</v>
      </c>
      <c r="J103" s="106" t="s">
        <v>12</v>
      </c>
      <c r="K103" s="591" t="s">
        <v>420</v>
      </c>
      <c r="L103" s="24"/>
    </row>
    <row r="104" spans="1:12" s="26" customFormat="1" ht="16" customHeight="1" x14ac:dyDescent="0.35">
      <c r="A104" s="589">
        <v>97</v>
      </c>
      <c r="B104" s="43" t="s">
        <v>51</v>
      </c>
      <c r="C104" s="15">
        <f>'inventory2019(REVISED)'!C121</f>
        <v>8.4499999999999993</v>
      </c>
      <c r="D104" s="590">
        <f>'[23]road inventory 2018'!C120</f>
        <v>8.3000000000000007</v>
      </c>
      <c r="E104" s="15">
        <v>8.4499999999999993</v>
      </c>
      <c r="F104" s="15">
        <v>0</v>
      </c>
      <c r="G104" s="15">
        <v>0</v>
      </c>
      <c r="H104" s="15">
        <v>0</v>
      </c>
      <c r="I104" s="15">
        <v>0</v>
      </c>
      <c r="J104" s="106" t="s">
        <v>10</v>
      </c>
      <c r="K104" s="591" t="s">
        <v>423</v>
      </c>
      <c r="L104" s="24"/>
    </row>
    <row r="105" spans="1:12" s="26" customFormat="1" ht="16" customHeight="1" x14ac:dyDescent="0.35">
      <c r="A105" s="589">
        <v>56</v>
      </c>
      <c r="B105" s="43" t="s">
        <v>250</v>
      </c>
      <c r="C105" s="15">
        <f>'inventory2019(REVISED)'!C122</f>
        <v>5.7200000000000006</v>
      </c>
      <c r="D105" s="590">
        <f>'[23]road inventory 2018'!C121</f>
        <v>5.7</v>
      </c>
      <c r="E105" s="15">
        <v>1.73</v>
      </c>
      <c r="F105" s="15">
        <v>0</v>
      </c>
      <c r="G105" s="15">
        <v>0</v>
      </c>
      <c r="H105" s="15">
        <v>3.99</v>
      </c>
      <c r="I105" s="15">
        <v>0</v>
      </c>
      <c r="J105" s="106" t="s">
        <v>12</v>
      </c>
      <c r="K105" s="591" t="s">
        <v>414</v>
      </c>
      <c r="L105" s="24"/>
    </row>
    <row r="106" spans="1:12" s="26" customFormat="1" ht="16" customHeight="1" x14ac:dyDescent="0.35">
      <c r="A106" s="589">
        <v>60</v>
      </c>
      <c r="B106" s="43" t="s">
        <v>253</v>
      </c>
      <c r="C106" s="15">
        <f>'inventory2019(REVISED)'!C123</f>
        <v>9.1999999999999993</v>
      </c>
      <c r="D106" s="590">
        <f>'[23]road inventory 2018'!C122</f>
        <v>9.1999999999999993</v>
      </c>
      <c r="E106" s="15">
        <v>7.1</v>
      </c>
      <c r="F106" s="15">
        <v>0</v>
      </c>
      <c r="G106" s="15">
        <v>0</v>
      </c>
      <c r="H106" s="15">
        <v>2.1</v>
      </c>
      <c r="I106" s="15">
        <v>0</v>
      </c>
      <c r="J106" s="106" t="s">
        <v>10</v>
      </c>
      <c r="K106" s="591" t="s">
        <v>424</v>
      </c>
      <c r="L106" s="24"/>
    </row>
    <row r="107" spans="1:12" s="26" customFormat="1" ht="16" customHeight="1" x14ac:dyDescent="0.35">
      <c r="A107" s="589">
        <v>61</v>
      </c>
      <c r="B107" s="43" t="s">
        <v>260</v>
      </c>
      <c r="C107" s="15">
        <f>'inventory2019(REVISED)'!C124</f>
        <v>4.5</v>
      </c>
      <c r="D107" s="590">
        <f>'[23]road inventory 2018'!C123</f>
        <v>4.5</v>
      </c>
      <c r="E107" s="15">
        <v>1.63</v>
      </c>
      <c r="F107" s="15">
        <v>0</v>
      </c>
      <c r="G107" s="15">
        <v>0</v>
      </c>
      <c r="H107" s="15">
        <v>2.87</v>
      </c>
      <c r="I107" s="15">
        <v>0</v>
      </c>
      <c r="J107" s="106" t="s">
        <v>10</v>
      </c>
      <c r="K107" s="591" t="s">
        <v>425</v>
      </c>
      <c r="L107" s="24"/>
    </row>
    <row r="108" spans="1:12" s="26" customFormat="1" ht="16" customHeight="1" x14ac:dyDescent="0.35">
      <c r="A108" s="589">
        <v>62</v>
      </c>
      <c r="B108" s="43" t="s">
        <v>269</v>
      </c>
      <c r="C108" s="15">
        <f>'inventory2019(REVISED)'!C125</f>
        <v>3.03</v>
      </c>
      <c r="D108" s="590">
        <f>'[23]road inventory 2018'!C124</f>
        <v>2</v>
      </c>
      <c r="E108" s="15">
        <v>0</v>
      </c>
      <c r="F108" s="15">
        <v>0</v>
      </c>
      <c r="G108" s="15">
        <v>0</v>
      </c>
      <c r="H108" s="15">
        <v>3.03</v>
      </c>
      <c r="I108" s="15">
        <v>0</v>
      </c>
      <c r="J108" s="106" t="s">
        <v>12</v>
      </c>
      <c r="K108" s="591" t="s">
        <v>426</v>
      </c>
      <c r="L108" s="24"/>
    </row>
    <row r="109" spans="1:12" s="26" customFormat="1" ht="16" customHeight="1" x14ac:dyDescent="0.35">
      <c r="A109" s="589">
        <v>63</v>
      </c>
      <c r="B109" s="43" t="s">
        <v>265</v>
      </c>
      <c r="C109" s="15">
        <f>'inventory2019(REVISED)'!C126</f>
        <v>3.04</v>
      </c>
      <c r="D109" s="590">
        <f>'[23]road inventory 2018'!C125</f>
        <v>3</v>
      </c>
      <c r="E109" s="15">
        <v>0.11</v>
      </c>
      <c r="F109" s="15">
        <v>0</v>
      </c>
      <c r="G109" s="15">
        <v>0</v>
      </c>
      <c r="H109" s="15">
        <v>2.93</v>
      </c>
      <c r="I109" s="15">
        <v>0</v>
      </c>
      <c r="J109" s="106" t="s">
        <v>12</v>
      </c>
      <c r="K109" s="591" t="s">
        <v>427</v>
      </c>
      <c r="L109" s="24"/>
    </row>
    <row r="110" spans="1:12" s="26" customFormat="1" ht="16" customHeight="1" x14ac:dyDescent="0.35">
      <c r="A110" s="589">
        <v>98</v>
      </c>
      <c r="B110" s="43" t="s">
        <v>247</v>
      </c>
      <c r="C110" s="15">
        <f>'inventory2019(REVISED)'!C127</f>
        <v>5.18</v>
      </c>
      <c r="D110" s="590">
        <f>'[23]road inventory 2018'!C126</f>
        <v>5.1000000000000005</v>
      </c>
      <c r="E110" s="15">
        <v>5.08</v>
      </c>
      <c r="F110" s="15">
        <v>0</v>
      </c>
      <c r="G110" s="15">
        <v>0</v>
      </c>
      <c r="H110" s="15">
        <v>0.1</v>
      </c>
      <c r="I110" s="15">
        <v>0</v>
      </c>
      <c r="J110" s="106" t="s">
        <v>12</v>
      </c>
      <c r="K110" s="591" t="s">
        <v>428</v>
      </c>
      <c r="L110" s="24"/>
    </row>
    <row r="111" spans="1:12" s="26" customFormat="1" ht="16" customHeight="1" x14ac:dyDescent="0.35">
      <c r="A111" s="589">
        <v>64</v>
      </c>
      <c r="B111" s="43" t="s">
        <v>246</v>
      </c>
      <c r="C111" s="15">
        <f>'inventory2019(REVISED)'!C128</f>
        <v>3.64</v>
      </c>
      <c r="D111" s="590">
        <f>'[23]road inventory 2018'!C127</f>
        <v>3.6</v>
      </c>
      <c r="E111" s="15">
        <v>2.41</v>
      </c>
      <c r="F111" s="15">
        <v>0</v>
      </c>
      <c r="G111" s="15">
        <v>0</v>
      </c>
      <c r="H111" s="15">
        <v>1.23</v>
      </c>
      <c r="I111" s="15">
        <v>0</v>
      </c>
      <c r="J111" s="106" t="s">
        <v>12</v>
      </c>
      <c r="K111" s="591" t="s">
        <v>429</v>
      </c>
      <c r="L111" s="24"/>
    </row>
    <row r="112" spans="1:12" s="26" customFormat="1" ht="16" customHeight="1" x14ac:dyDescent="0.35">
      <c r="A112" s="589">
        <v>96</v>
      </c>
      <c r="B112" s="43" t="s">
        <v>270</v>
      </c>
      <c r="C112" s="15">
        <f>'inventory2019(REVISED)'!C129</f>
        <v>5.73</v>
      </c>
      <c r="D112" s="590">
        <f>'[23]road inventory 2018'!C128</f>
        <v>5.6999999999999993</v>
      </c>
      <c r="E112" s="15">
        <v>0.3</v>
      </c>
      <c r="F112" s="15">
        <v>0</v>
      </c>
      <c r="G112" s="15">
        <v>0</v>
      </c>
      <c r="H112" s="15">
        <v>5.43</v>
      </c>
      <c r="I112" s="15">
        <v>0</v>
      </c>
      <c r="J112" s="106" t="s">
        <v>12</v>
      </c>
      <c r="K112" s="591" t="s">
        <v>430</v>
      </c>
      <c r="L112" s="24"/>
    </row>
    <row r="113" spans="1:12" s="26" customFormat="1" ht="16" customHeight="1" x14ac:dyDescent="0.35">
      <c r="A113" s="589">
        <v>65</v>
      </c>
      <c r="B113" s="43" t="s">
        <v>261</v>
      </c>
      <c r="C113" s="15">
        <f>'inventory2019(REVISED)'!C130</f>
        <v>2.7</v>
      </c>
      <c r="D113" s="590">
        <f>'[23]road inventory 2018'!C129</f>
        <v>1.65</v>
      </c>
      <c r="E113" s="15">
        <v>0</v>
      </c>
      <c r="F113" s="15">
        <v>0</v>
      </c>
      <c r="G113" s="15">
        <v>0</v>
      </c>
      <c r="H113" s="15">
        <v>2.7</v>
      </c>
      <c r="I113" s="15">
        <v>0</v>
      </c>
      <c r="J113" s="106" t="s">
        <v>12</v>
      </c>
      <c r="K113" s="591" t="s">
        <v>431</v>
      </c>
      <c r="L113" s="24"/>
    </row>
    <row r="114" spans="1:12" s="26" customFormat="1" ht="16" customHeight="1" x14ac:dyDescent="0.35">
      <c r="A114" s="589">
        <v>66</v>
      </c>
      <c r="B114" s="43" t="s">
        <v>432</v>
      </c>
      <c r="C114" s="15">
        <f>'inventory2019(REVISED)'!C131</f>
        <v>3.8400000000000003</v>
      </c>
      <c r="D114" s="590">
        <f>'[23]road inventory 2018'!C130</f>
        <v>3.8000000000000003</v>
      </c>
      <c r="E114" s="15">
        <v>0.1</v>
      </c>
      <c r="F114" s="15">
        <v>0</v>
      </c>
      <c r="G114" s="15">
        <v>0</v>
      </c>
      <c r="H114" s="15">
        <v>3.74</v>
      </c>
      <c r="I114" s="15">
        <v>0</v>
      </c>
      <c r="J114" s="106" t="s">
        <v>12</v>
      </c>
      <c r="K114" s="591" t="s">
        <v>433</v>
      </c>
      <c r="L114" s="24"/>
    </row>
    <row r="115" spans="1:12" s="26" customFormat="1" ht="16" customHeight="1" thickBot="1" x14ac:dyDescent="0.4">
      <c r="A115" s="649">
        <v>69</v>
      </c>
      <c r="B115" s="650" t="s">
        <v>264</v>
      </c>
      <c r="C115" s="15">
        <f>'inventory2019(REVISED)'!C134</f>
        <v>1.68</v>
      </c>
      <c r="D115" s="590">
        <f>'[23]road inventory 2018'!C133</f>
        <v>1.6</v>
      </c>
      <c r="E115" s="65">
        <v>0</v>
      </c>
      <c r="F115" s="65">
        <v>0</v>
      </c>
      <c r="G115" s="65">
        <v>0</v>
      </c>
      <c r="H115" s="65">
        <v>1.68</v>
      </c>
      <c r="I115" s="65">
        <v>0</v>
      </c>
      <c r="J115" s="651" t="s">
        <v>12</v>
      </c>
      <c r="K115" s="652" t="s">
        <v>435</v>
      </c>
      <c r="L115" s="24"/>
    </row>
    <row r="116" spans="1:12" s="26" customFormat="1" ht="16" customHeight="1" x14ac:dyDescent="0.35">
      <c r="A116" s="589">
        <v>70</v>
      </c>
      <c r="B116" s="43" t="s">
        <v>263</v>
      </c>
      <c r="C116" s="15">
        <f>'inventory2019(REVISED)'!C135</f>
        <v>2.77</v>
      </c>
      <c r="D116" s="590">
        <f>'[23]road inventory 2018'!C136</f>
        <v>2.6</v>
      </c>
      <c r="E116" s="15">
        <v>0</v>
      </c>
      <c r="F116" s="15">
        <v>0</v>
      </c>
      <c r="G116" s="15">
        <v>0</v>
      </c>
      <c r="H116" s="15">
        <v>2.77</v>
      </c>
      <c r="I116" s="15">
        <v>0</v>
      </c>
      <c r="J116" s="106" t="s">
        <v>12</v>
      </c>
      <c r="K116" s="591" t="s">
        <v>436</v>
      </c>
      <c r="L116" s="24"/>
    </row>
    <row r="117" spans="1:12" s="26" customFormat="1" ht="16" customHeight="1" x14ac:dyDescent="0.35">
      <c r="A117" s="589">
        <v>71</v>
      </c>
      <c r="B117" s="43" t="s">
        <v>54</v>
      </c>
      <c r="C117" s="15">
        <f>'inventory2019(REVISED)'!C136</f>
        <v>2.69</v>
      </c>
      <c r="D117" s="590">
        <f>'[23]road inventory 2018'!C137</f>
        <v>2.7</v>
      </c>
      <c r="E117" s="15">
        <v>0</v>
      </c>
      <c r="F117" s="15">
        <v>0</v>
      </c>
      <c r="G117" s="15">
        <v>0</v>
      </c>
      <c r="H117" s="15">
        <v>2.69</v>
      </c>
      <c r="I117" s="15">
        <v>0</v>
      </c>
      <c r="J117" s="106" t="s">
        <v>12</v>
      </c>
      <c r="K117" s="591" t="s">
        <v>437</v>
      </c>
      <c r="L117" s="24"/>
    </row>
    <row r="118" spans="1:12" s="26" customFormat="1" ht="16" customHeight="1" x14ac:dyDescent="0.35">
      <c r="A118" s="589">
        <v>72</v>
      </c>
      <c r="B118" s="43" t="s">
        <v>56</v>
      </c>
      <c r="C118" s="15">
        <f>'inventory2019(REVISED)'!C137</f>
        <v>1.8900000000000001</v>
      </c>
      <c r="D118" s="590">
        <f>'[23]road inventory 2018'!C138</f>
        <v>1.7</v>
      </c>
      <c r="E118" s="15">
        <v>0.83</v>
      </c>
      <c r="F118" s="15">
        <v>0</v>
      </c>
      <c r="G118" s="15">
        <v>0</v>
      </c>
      <c r="H118" s="15">
        <v>1.06</v>
      </c>
      <c r="I118" s="15">
        <v>0</v>
      </c>
      <c r="J118" s="106" t="s">
        <v>12</v>
      </c>
      <c r="K118" s="591" t="s">
        <v>438</v>
      </c>
      <c r="L118" s="24"/>
    </row>
    <row r="119" spans="1:12" s="26" customFormat="1" ht="16" customHeight="1" x14ac:dyDescent="0.35">
      <c r="A119" s="589">
        <v>73</v>
      </c>
      <c r="B119" s="24" t="s">
        <v>258</v>
      </c>
      <c r="C119" s="15">
        <f>'inventory2019(REVISED)'!C138</f>
        <v>4.5599999999999996</v>
      </c>
      <c r="D119" s="590">
        <f>'[23]road inventory 2018'!C139</f>
        <v>5.5</v>
      </c>
      <c r="E119" s="15">
        <v>0</v>
      </c>
      <c r="F119" s="15">
        <v>0</v>
      </c>
      <c r="G119" s="15">
        <v>0</v>
      </c>
      <c r="H119" s="15">
        <v>4.5599999999999996</v>
      </c>
      <c r="I119" s="15">
        <v>0</v>
      </c>
      <c r="J119" s="106" t="s">
        <v>12</v>
      </c>
      <c r="K119" s="591" t="s">
        <v>439</v>
      </c>
      <c r="L119" s="24"/>
    </row>
    <row r="120" spans="1:12" s="1" customFormat="1" ht="16" customHeight="1" x14ac:dyDescent="0.35">
      <c r="A120" s="596">
        <v>75</v>
      </c>
      <c r="B120" s="28" t="s">
        <v>259</v>
      </c>
      <c r="C120" s="15">
        <f>'inventory2019(REVISED)'!C140</f>
        <v>3.1</v>
      </c>
      <c r="D120" s="590">
        <f>'[23]road inventory 2018'!C141</f>
        <v>2.1</v>
      </c>
      <c r="E120" s="10">
        <v>0</v>
      </c>
      <c r="F120" s="10">
        <v>0</v>
      </c>
      <c r="G120" s="10">
        <v>0</v>
      </c>
      <c r="H120" s="10">
        <v>3.1</v>
      </c>
      <c r="I120" s="10">
        <v>0</v>
      </c>
      <c r="J120" s="103" t="s">
        <v>12</v>
      </c>
      <c r="K120" s="597" t="s">
        <v>440</v>
      </c>
      <c r="L120" s="28"/>
    </row>
    <row r="121" spans="1:12" s="26" customFormat="1" ht="16" customHeight="1" x14ac:dyDescent="0.35">
      <c r="A121" s="589">
        <v>76</v>
      </c>
      <c r="B121" s="24" t="s">
        <v>256</v>
      </c>
      <c r="C121" s="15">
        <f>'inventory2019(REVISED)'!C141</f>
        <v>0.2</v>
      </c>
      <c r="D121" s="590">
        <f>'[23]road inventory 2018'!C142</f>
        <v>0.2</v>
      </c>
      <c r="E121" s="15">
        <v>0.2</v>
      </c>
      <c r="F121" s="15">
        <v>0</v>
      </c>
      <c r="G121" s="15">
        <v>0</v>
      </c>
      <c r="H121" s="15">
        <v>0</v>
      </c>
      <c r="I121" s="15">
        <v>0</v>
      </c>
      <c r="J121" s="106" t="s">
        <v>10</v>
      </c>
      <c r="K121" s="591" t="s">
        <v>425</v>
      </c>
      <c r="L121" s="24"/>
    </row>
    <row r="122" spans="1:12" s="26" customFormat="1" ht="16" customHeight="1" x14ac:dyDescent="0.35">
      <c r="A122" s="626"/>
      <c r="B122" s="60"/>
      <c r="C122" s="61">
        <f t="shared" ref="C122:I122" si="4">SUM(C95:C121)</f>
        <v>107.36000000000001</v>
      </c>
      <c r="D122" s="636">
        <f t="shared" si="4"/>
        <v>102.74999999999999</v>
      </c>
      <c r="E122" s="61">
        <f t="shared" si="4"/>
        <v>37.04</v>
      </c>
      <c r="F122" s="61">
        <f t="shared" si="4"/>
        <v>0</v>
      </c>
      <c r="G122" s="61">
        <f t="shared" si="4"/>
        <v>0</v>
      </c>
      <c r="H122" s="61">
        <f t="shared" si="4"/>
        <v>70.319999999999993</v>
      </c>
      <c r="I122" s="61">
        <f t="shared" si="4"/>
        <v>0</v>
      </c>
      <c r="J122" s="628"/>
      <c r="K122" s="629"/>
      <c r="L122" s="24"/>
    </row>
    <row r="123" spans="1:12" s="1" customFormat="1" ht="18" customHeight="1" thickBot="1" x14ac:dyDescent="0.4">
      <c r="A123" s="53" t="s">
        <v>341</v>
      </c>
      <c r="B123" s="34"/>
      <c r="C123" s="31">
        <f>E123+H123</f>
        <v>107.35999999999999</v>
      </c>
      <c r="D123" s="630"/>
      <c r="E123" s="31">
        <f>SUM(E95:E121)</f>
        <v>37.04</v>
      </c>
      <c r="F123" s="31">
        <f>SUM(F95:F121)</f>
        <v>0</v>
      </c>
      <c r="G123" s="31">
        <f>SUM(G95:G121)</f>
        <v>0</v>
      </c>
      <c r="H123" s="31">
        <f>SUM(H95:H121)</f>
        <v>70.319999999999993</v>
      </c>
      <c r="I123" s="31">
        <f>SUM(I95:I121)</f>
        <v>0</v>
      </c>
      <c r="J123" s="608"/>
      <c r="K123" s="609"/>
      <c r="L123" s="653"/>
    </row>
    <row r="124" spans="1:12" s="1" customFormat="1" ht="18" customHeight="1" x14ac:dyDescent="0.35">
      <c r="A124" s="544"/>
      <c r="B124" s="35"/>
      <c r="C124" s="22"/>
      <c r="D124" s="610"/>
      <c r="E124" s="22"/>
      <c r="F124" s="22"/>
      <c r="G124" s="22"/>
      <c r="H124" s="22"/>
      <c r="I124" s="22"/>
      <c r="K124" s="21"/>
      <c r="L124" s="653"/>
    </row>
    <row r="125" spans="1:12" s="1" customFormat="1" x14ac:dyDescent="0.35">
      <c r="A125" s="1203" t="s">
        <v>441</v>
      </c>
      <c r="B125" s="1204"/>
      <c r="C125" s="1204"/>
      <c r="D125" s="1204"/>
      <c r="E125" s="1204"/>
      <c r="F125" s="1204"/>
      <c r="G125" s="1204"/>
      <c r="H125" s="1204"/>
      <c r="I125" s="1204"/>
      <c r="J125" s="1204"/>
      <c r="K125" s="1204"/>
      <c r="L125" s="1205"/>
    </row>
    <row r="126" spans="1:12" s="1" customFormat="1" ht="16" thickBot="1" x14ac:dyDescent="0.4">
      <c r="A126" s="585"/>
      <c r="B126" s="2"/>
      <c r="C126" s="5"/>
      <c r="D126" s="586"/>
      <c r="E126" s="5"/>
      <c r="F126" s="5"/>
      <c r="G126" s="5"/>
      <c r="H126" s="5"/>
      <c r="I126" s="5"/>
      <c r="J126" s="3"/>
      <c r="K126" s="21"/>
      <c r="L126" s="97"/>
    </row>
    <row r="127" spans="1:12" s="1" customFormat="1" ht="21" customHeight="1" x14ac:dyDescent="0.35">
      <c r="A127" s="1206" t="s">
        <v>302</v>
      </c>
      <c r="B127" s="1208" t="s">
        <v>28</v>
      </c>
      <c r="C127" s="1210" t="s">
        <v>343</v>
      </c>
      <c r="D127" s="613"/>
      <c r="E127" s="1212" t="s">
        <v>305</v>
      </c>
      <c r="F127" s="1212"/>
      <c r="G127" s="1212"/>
      <c r="H127" s="1212"/>
      <c r="I127" s="1212"/>
      <c r="J127" s="1208" t="s">
        <v>29</v>
      </c>
      <c r="K127" s="1213" t="s">
        <v>306</v>
      </c>
      <c r="L127" s="1226" t="s">
        <v>307</v>
      </c>
    </row>
    <row r="128" spans="1:12" s="1" customFormat="1" ht="21" customHeight="1" thickBot="1" x14ac:dyDescent="0.4">
      <c r="A128" s="1207"/>
      <c r="B128" s="1209"/>
      <c r="C128" s="1211"/>
      <c r="D128" s="614"/>
      <c r="E128" s="7" t="s">
        <v>308</v>
      </c>
      <c r="F128" s="7" t="s">
        <v>309</v>
      </c>
      <c r="G128" s="7" t="s">
        <v>310</v>
      </c>
      <c r="H128" s="7" t="s">
        <v>311</v>
      </c>
      <c r="I128" s="7" t="s">
        <v>312</v>
      </c>
      <c r="J128" s="1209"/>
      <c r="K128" s="1214"/>
      <c r="L128" s="1227"/>
    </row>
    <row r="129" spans="1:12" s="26" customFormat="1" ht="16.5" customHeight="1" x14ac:dyDescent="0.35">
      <c r="A129" s="626">
        <v>95</v>
      </c>
      <c r="B129" s="43" t="s">
        <v>276</v>
      </c>
      <c r="C129" s="61">
        <f>'inventory2019(REVISED)'!C149</f>
        <v>2.3200000000000003</v>
      </c>
      <c r="D129" s="636">
        <f>'[23]road inventory 2018'!C149</f>
        <v>3</v>
      </c>
      <c r="E129" s="15">
        <v>1.02</v>
      </c>
      <c r="F129" s="15">
        <v>0</v>
      </c>
      <c r="G129" s="15">
        <v>0</v>
      </c>
      <c r="H129" s="61">
        <v>1.3</v>
      </c>
      <c r="I129" s="15">
        <v>0</v>
      </c>
      <c r="J129" s="106" t="s">
        <v>10</v>
      </c>
      <c r="K129" s="591" t="s">
        <v>442</v>
      </c>
      <c r="L129" s="592"/>
    </row>
    <row r="130" spans="1:12" s="26" customFormat="1" ht="15" customHeight="1" x14ac:dyDescent="0.35">
      <c r="A130" s="589">
        <v>77</v>
      </c>
      <c r="B130" s="43" t="s">
        <v>271</v>
      </c>
      <c r="C130" s="61">
        <f>'inventory2019(REVISED)'!C150</f>
        <v>0.76</v>
      </c>
      <c r="D130" s="636">
        <f>'[23]road inventory 2018'!C150</f>
        <v>0.7</v>
      </c>
      <c r="E130" s="15">
        <v>0.76</v>
      </c>
      <c r="F130" s="15">
        <v>0</v>
      </c>
      <c r="G130" s="15">
        <v>0</v>
      </c>
      <c r="H130" s="15">
        <v>0</v>
      </c>
      <c r="I130" s="15">
        <v>0</v>
      </c>
      <c r="J130" s="106" t="s">
        <v>10</v>
      </c>
      <c r="K130" s="591" t="s">
        <v>443</v>
      </c>
      <c r="L130" s="24"/>
    </row>
    <row r="131" spans="1:12" s="26" customFormat="1" ht="15" customHeight="1" x14ac:dyDescent="0.35">
      <c r="A131" s="589">
        <v>94</v>
      </c>
      <c r="B131" s="43" t="s">
        <v>278</v>
      </c>
      <c r="C131" s="61">
        <f>'inventory2019(REVISED)'!C151</f>
        <v>0.6</v>
      </c>
      <c r="D131" s="636">
        <f>'[23]road inventory 2018'!C151</f>
        <v>0.6</v>
      </c>
      <c r="E131" s="15">
        <v>0.5</v>
      </c>
      <c r="F131" s="15">
        <v>0</v>
      </c>
      <c r="G131" s="15">
        <v>0</v>
      </c>
      <c r="H131" s="15">
        <v>0.1</v>
      </c>
      <c r="I131" s="15">
        <v>0</v>
      </c>
      <c r="J131" s="106" t="s">
        <v>10</v>
      </c>
      <c r="K131" s="591" t="s">
        <v>444</v>
      </c>
      <c r="L131" s="24"/>
    </row>
    <row r="132" spans="1:12" s="1" customFormat="1" x14ac:dyDescent="0.35">
      <c r="A132" s="596">
        <v>83</v>
      </c>
      <c r="B132" s="45" t="s">
        <v>58</v>
      </c>
      <c r="C132" s="61">
        <f>'inventory2019(REVISED)'!C157</f>
        <v>4.12</v>
      </c>
      <c r="D132" s="636">
        <f>'[23]road inventory 2018'!C157</f>
        <v>4.2</v>
      </c>
      <c r="E132" s="10">
        <v>0.34</v>
      </c>
      <c r="F132" s="10">
        <v>0</v>
      </c>
      <c r="G132" s="10">
        <v>0</v>
      </c>
      <c r="H132" s="10">
        <v>3.78</v>
      </c>
      <c r="I132" s="10">
        <v>0</v>
      </c>
      <c r="J132" s="103" t="s">
        <v>12</v>
      </c>
      <c r="K132" s="597" t="s">
        <v>447</v>
      </c>
      <c r="L132" s="28"/>
    </row>
    <row r="133" spans="1:12" s="26" customFormat="1" ht="13.15" customHeight="1" x14ac:dyDescent="0.35">
      <c r="A133" s="589">
        <v>85</v>
      </c>
      <c r="B133" s="43" t="s">
        <v>281</v>
      </c>
      <c r="C133" s="61">
        <f>'inventory2019(REVISED)'!C159</f>
        <v>2.86</v>
      </c>
      <c r="D133" s="636">
        <f>'[23]road inventory 2018'!C159</f>
        <v>2.8</v>
      </c>
      <c r="E133" s="15">
        <v>0</v>
      </c>
      <c r="F133" s="15">
        <v>0</v>
      </c>
      <c r="G133" s="15">
        <v>0</v>
      </c>
      <c r="H133" s="15">
        <v>2.86</v>
      </c>
      <c r="I133" s="15">
        <v>0</v>
      </c>
      <c r="J133" s="106" t="s">
        <v>10</v>
      </c>
      <c r="K133" s="591" t="s">
        <v>451</v>
      </c>
      <c r="L133" s="24"/>
    </row>
    <row r="134" spans="1:12" ht="15.75" customHeight="1" x14ac:dyDescent="0.35">
      <c r="A134" s="635"/>
      <c r="B134" s="654"/>
      <c r="C134" s="41">
        <f t="shared" ref="C134:I134" si="5">SUM(C129:C133)</f>
        <v>10.66</v>
      </c>
      <c r="D134" s="41">
        <f t="shared" si="5"/>
        <v>11.3</v>
      </c>
      <c r="E134" s="41">
        <f t="shared" si="5"/>
        <v>2.62</v>
      </c>
      <c r="F134" s="41">
        <f t="shared" si="5"/>
        <v>0</v>
      </c>
      <c r="G134" s="41">
        <f t="shared" si="5"/>
        <v>0</v>
      </c>
      <c r="H134" s="41">
        <f t="shared" si="5"/>
        <v>8.0399999999999991</v>
      </c>
      <c r="I134" s="41">
        <f t="shared" si="5"/>
        <v>0</v>
      </c>
      <c r="J134" s="109"/>
      <c r="K134" s="605"/>
      <c r="L134" s="28"/>
    </row>
    <row r="135" spans="1:12" ht="18" customHeight="1" thickBot="1" x14ac:dyDescent="0.4">
      <c r="A135" s="53" t="s">
        <v>341</v>
      </c>
      <c r="B135" s="34"/>
      <c r="C135" s="31">
        <f>E135+H135</f>
        <v>10.66</v>
      </c>
      <c r="D135" s="630"/>
      <c r="E135" s="31">
        <f>SUM(E129:E133)</f>
        <v>2.62</v>
      </c>
      <c r="F135" s="31">
        <f>SUM(F129:F133)</f>
        <v>0</v>
      </c>
      <c r="G135" s="31">
        <f>SUM(G129:G133)</f>
        <v>0</v>
      </c>
      <c r="H135" s="31">
        <f>SUM(H129:H133)</f>
        <v>8.0399999999999991</v>
      </c>
      <c r="I135" s="31">
        <f>SUM(I129:I133)</f>
        <v>0</v>
      </c>
      <c r="J135" s="608"/>
      <c r="K135" s="609"/>
      <c r="L135" s="653"/>
    </row>
    <row r="136" spans="1:12" ht="18" customHeight="1" thickBot="1" x14ac:dyDescent="0.4">
      <c r="A136" s="544"/>
      <c r="B136" s="35"/>
      <c r="C136" s="22"/>
      <c r="D136" s="610"/>
      <c r="E136" s="22"/>
      <c r="F136" s="22"/>
      <c r="G136" s="22"/>
      <c r="H136" s="22"/>
      <c r="I136" s="22"/>
      <c r="J136" s="1"/>
      <c r="K136" s="21"/>
      <c r="L136" s="97"/>
    </row>
    <row r="137" spans="1:12" s="1" customFormat="1" x14ac:dyDescent="0.35">
      <c r="A137" s="1217" t="s">
        <v>455</v>
      </c>
      <c r="B137" s="1218"/>
      <c r="C137" s="1218"/>
      <c r="D137" s="1218"/>
      <c r="E137" s="1218"/>
      <c r="F137" s="1218"/>
      <c r="G137" s="1218"/>
      <c r="H137" s="1218"/>
      <c r="I137" s="1218"/>
      <c r="J137" s="1218"/>
      <c r="K137" s="1218"/>
      <c r="L137" s="1219"/>
    </row>
    <row r="138" spans="1:12" s="1" customFormat="1" ht="16" thickBot="1" x14ac:dyDescent="0.4">
      <c r="A138" s="585"/>
      <c r="B138" s="2"/>
      <c r="C138" s="5"/>
      <c r="D138" s="586"/>
      <c r="E138" s="5"/>
      <c r="F138" s="5"/>
      <c r="G138" s="5"/>
      <c r="H138" s="5"/>
      <c r="I138" s="5"/>
      <c r="J138" s="3"/>
      <c r="K138" s="21"/>
      <c r="L138" s="97"/>
    </row>
    <row r="139" spans="1:12" s="1" customFormat="1" ht="21" customHeight="1" x14ac:dyDescent="0.35">
      <c r="A139" s="1206" t="s">
        <v>302</v>
      </c>
      <c r="B139" s="1208" t="s">
        <v>28</v>
      </c>
      <c r="C139" s="1210" t="s">
        <v>343</v>
      </c>
      <c r="D139" s="613"/>
      <c r="E139" s="1212" t="s">
        <v>305</v>
      </c>
      <c r="F139" s="1212"/>
      <c r="G139" s="1212"/>
      <c r="H139" s="1212"/>
      <c r="I139" s="1212"/>
      <c r="J139" s="1208" t="s">
        <v>29</v>
      </c>
      <c r="K139" s="1213" t="s">
        <v>306</v>
      </c>
      <c r="L139" s="1226" t="s">
        <v>307</v>
      </c>
    </row>
    <row r="140" spans="1:12" s="1" customFormat="1" ht="21" customHeight="1" thickBot="1" x14ac:dyDescent="0.4">
      <c r="A140" s="1207"/>
      <c r="B140" s="1209"/>
      <c r="C140" s="1211"/>
      <c r="D140" s="614"/>
      <c r="E140" s="7" t="s">
        <v>308</v>
      </c>
      <c r="F140" s="7" t="s">
        <v>309</v>
      </c>
      <c r="G140" s="7" t="s">
        <v>310</v>
      </c>
      <c r="H140" s="7" t="s">
        <v>311</v>
      </c>
      <c r="I140" s="7" t="s">
        <v>312</v>
      </c>
      <c r="J140" s="1209"/>
      <c r="K140" s="1214"/>
      <c r="L140" s="1227"/>
    </row>
    <row r="141" spans="1:12" x14ac:dyDescent="0.35">
      <c r="A141" s="655">
        <v>91</v>
      </c>
      <c r="B141" s="47" t="s">
        <v>62</v>
      </c>
      <c r="C141" s="11">
        <f>'inventory2019(REVISED)'!C170</f>
        <v>13.07</v>
      </c>
      <c r="D141" s="656">
        <f>'[23]road inventory 2018'!C169</f>
        <v>12.9</v>
      </c>
      <c r="E141" s="11">
        <v>10</v>
      </c>
      <c r="F141" s="11">
        <v>0</v>
      </c>
      <c r="G141" s="11">
        <v>0</v>
      </c>
      <c r="H141" s="11">
        <v>3.07</v>
      </c>
      <c r="I141" s="11">
        <v>0</v>
      </c>
      <c r="J141" s="111" t="s">
        <v>10</v>
      </c>
      <c r="K141" s="657" t="s">
        <v>456</v>
      </c>
      <c r="L141" s="112"/>
    </row>
    <row r="142" spans="1:12" s="16" customFormat="1" x14ac:dyDescent="0.35">
      <c r="A142" s="589">
        <v>92</v>
      </c>
      <c r="B142" s="43" t="s">
        <v>457</v>
      </c>
      <c r="C142" s="11">
        <f>'inventory2019(REVISED)'!C171</f>
        <v>5.6</v>
      </c>
      <c r="D142" s="656">
        <f>'[23]road inventory 2018'!C170</f>
        <v>5.6</v>
      </c>
      <c r="E142" s="15">
        <v>3</v>
      </c>
      <c r="F142" s="15">
        <v>0</v>
      </c>
      <c r="G142" s="15">
        <v>0</v>
      </c>
      <c r="H142" s="15">
        <v>2.6</v>
      </c>
      <c r="I142" s="15">
        <v>0</v>
      </c>
      <c r="J142" s="106" t="s">
        <v>317</v>
      </c>
      <c r="K142" s="591" t="s">
        <v>459</v>
      </c>
      <c r="L142" s="24"/>
    </row>
    <row r="143" spans="1:12" x14ac:dyDescent="0.35">
      <c r="A143" s="658" t="s">
        <v>341</v>
      </c>
      <c r="B143" s="50"/>
      <c r="C143" s="51">
        <f t="shared" ref="C143:I143" si="6">SUM(C141:C142)</f>
        <v>18.670000000000002</v>
      </c>
      <c r="D143" s="51">
        <f t="shared" si="6"/>
        <v>18.5</v>
      </c>
      <c r="E143" s="51">
        <f t="shared" si="6"/>
        <v>13</v>
      </c>
      <c r="F143" s="51">
        <f t="shared" si="6"/>
        <v>0</v>
      </c>
      <c r="G143" s="51">
        <f t="shared" si="6"/>
        <v>0</v>
      </c>
      <c r="H143" s="51">
        <f t="shared" si="6"/>
        <v>5.67</v>
      </c>
      <c r="I143" s="51">
        <f t="shared" si="6"/>
        <v>0</v>
      </c>
      <c r="J143" s="102"/>
      <c r="K143" s="659"/>
      <c r="L143" s="653"/>
    </row>
    <row r="144" spans="1:12" x14ac:dyDescent="0.35">
      <c r="A144" s="596"/>
      <c r="B144" s="45"/>
      <c r="C144" s="10"/>
      <c r="D144" s="615"/>
      <c r="E144" s="10"/>
      <c r="F144" s="10"/>
      <c r="G144" s="10"/>
      <c r="H144" s="10"/>
      <c r="I144" s="10"/>
      <c r="J144" s="103"/>
      <c r="K144" s="597"/>
      <c r="L144" s="28"/>
    </row>
    <row r="145" spans="1:12" ht="18" customHeight="1" thickBot="1" x14ac:dyDescent="0.4">
      <c r="A145" s="1224" t="s">
        <v>460</v>
      </c>
      <c r="B145" s="1225"/>
      <c r="C145" s="660">
        <f>C30+C58+C69+C76+C89+C123+C135+C143</f>
        <v>350.05</v>
      </c>
      <c r="D145" s="661">
        <f>D143+D134+D122+D88+D75+D68+D57+D29</f>
        <v>346.05</v>
      </c>
      <c r="E145" s="660">
        <f>+E143+E135+E123+E89+E76+E69+E58+E30</f>
        <v>136.72</v>
      </c>
      <c r="F145" s="660">
        <f>+F143+F135+F123+F89+F76+F69+F58+F30</f>
        <v>0</v>
      </c>
      <c r="G145" s="660">
        <f>+G143+G135+G123+G89+G76+G69+G58+G30</f>
        <v>0</v>
      </c>
      <c r="H145" s="660">
        <f>+H143+H135+H123+H89+H76+H69+H58+H30</f>
        <v>213.32999999999996</v>
      </c>
      <c r="I145" s="660">
        <f>+I143+I135+I123+I89+I76+I69+I58+I30</f>
        <v>0</v>
      </c>
      <c r="J145" s="662"/>
      <c r="K145" s="663"/>
      <c r="L145" s="664"/>
    </row>
    <row r="146" spans="1:12" ht="18" customHeight="1" thickBot="1" x14ac:dyDescent="0.4">
      <c r="A146" s="544"/>
      <c r="B146" s="35"/>
      <c r="C146" s="22"/>
      <c r="D146" s="610"/>
      <c r="E146" s="22"/>
      <c r="F146" s="22"/>
      <c r="G146" s="22"/>
      <c r="H146" s="22"/>
      <c r="I146" s="22"/>
      <c r="J146" s="1"/>
      <c r="K146" s="21"/>
      <c r="L146" s="97"/>
    </row>
    <row r="147" spans="1:12" s="1" customFormat="1" x14ac:dyDescent="0.35">
      <c r="A147" s="1217" t="s">
        <v>461</v>
      </c>
      <c r="B147" s="1218"/>
      <c r="C147" s="1218"/>
      <c r="D147" s="1218"/>
      <c r="E147" s="1218"/>
      <c r="F147" s="1218"/>
      <c r="G147" s="1218"/>
      <c r="H147" s="1218"/>
      <c r="I147" s="1218"/>
      <c r="J147" s="1218"/>
      <c r="K147" s="1218"/>
      <c r="L147" s="1219"/>
    </row>
    <row r="148" spans="1:12" s="1" customFormat="1" ht="16" thickBot="1" x14ac:dyDescent="0.4">
      <c r="A148" s="585"/>
      <c r="B148" s="2"/>
      <c r="C148" s="5"/>
      <c r="D148" s="586"/>
      <c r="E148" s="5"/>
      <c r="F148" s="5"/>
      <c r="G148" s="5"/>
      <c r="H148" s="5"/>
      <c r="I148" s="5"/>
      <c r="J148" s="3"/>
      <c r="K148" s="21"/>
      <c r="L148" s="97"/>
    </row>
    <row r="149" spans="1:12" s="1" customFormat="1" ht="21" customHeight="1" x14ac:dyDescent="0.35">
      <c r="A149" s="1206" t="s">
        <v>302</v>
      </c>
      <c r="B149" s="1208" t="s">
        <v>28</v>
      </c>
      <c r="C149" s="1210" t="s">
        <v>343</v>
      </c>
      <c r="D149" s="613"/>
      <c r="E149" s="1212" t="s">
        <v>305</v>
      </c>
      <c r="F149" s="1212"/>
      <c r="G149" s="1212"/>
      <c r="H149" s="1212"/>
      <c r="I149" s="1212"/>
      <c r="J149" s="1208" t="s">
        <v>29</v>
      </c>
      <c r="K149" s="1213" t="s">
        <v>306</v>
      </c>
      <c r="L149" s="1226" t="s">
        <v>307</v>
      </c>
    </row>
    <row r="150" spans="1:12" s="1" customFormat="1" ht="21" customHeight="1" thickBot="1" x14ac:dyDescent="0.4">
      <c r="A150" s="1207"/>
      <c r="B150" s="1209"/>
      <c r="C150" s="1211"/>
      <c r="D150" s="614"/>
      <c r="E150" s="7" t="s">
        <v>308</v>
      </c>
      <c r="F150" s="7" t="s">
        <v>309</v>
      </c>
      <c r="G150" s="7" t="s">
        <v>310</v>
      </c>
      <c r="H150" s="7" t="s">
        <v>311</v>
      </c>
      <c r="I150" s="7" t="s">
        <v>312</v>
      </c>
      <c r="J150" s="1209"/>
      <c r="K150" s="1214"/>
      <c r="L150" s="1227"/>
    </row>
    <row r="151" spans="1:12" s="16" customFormat="1" ht="18" customHeight="1" x14ac:dyDescent="0.35">
      <c r="A151" s="589">
        <v>89</v>
      </c>
      <c r="B151" s="24" t="s">
        <v>462</v>
      </c>
      <c r="C151" s="15">
        <f>'inventory2019(REVISED)'!C180</f>
        <v>0.63</v>
      </c>
      <c r="D151" s="590">
        <f>'[23]road inventory 2018'!C179</f>
        <v>0.63</v>
      </c>
      <c r="E151" s="15">
        <v>0.3</v>
      </c>
      <c r="F151" s="15">
        <v>0</v>
      </c>
      <c r="G151" s="15">
        <v>0</v>
      </c>
      <c r="H151" s="15">
        <v>0.33</v>
      </c>
      <c r="I151" s="15">
        <v>0</v>
      </c>
      <c r="J151" s="24" t="s">
        <v>10</v>
      </c>
      <c r="K151" s="591" t="s">
        <v>360</v>
      </c>
      <c r="L151" s="592"/>
    </row>
    <row r="152" spans="1:12" s="16" customFormat="1" x14ac:dyDescent="0.35">
      <c r="A152" s="589">
        <v>109</v>
      </c>
      <c r="B152" s="24" t="s">
        <v>285</v>
      </c>
      <c r="C152" s="15">
        <f>'inventory2019(REVISED)'!C181</f>
        <v>2.5</v>
      </c>
      <c r="D152" s="590">
        <f>'[23]road inventory 2018'!C180</f>
        <v>2.5</v>
      </c>
      <c r="E152" s="15">
        <v>0.25700000000000001</v>
      </c>
      <c r="F152" s="15">
        <v>0</v>
      </c>
      <c r="G152" s="15">
        <v>0</v>
      </c>
      <c r="H152" s="15">
        <v>2.2429999999999999</v>
      </c>
      <c r="I152" s="15">
        <v>0</v>
      </c>
      <c r="J152" s="24" t="s">
        <v>10</v>
      </c>
      <c r="K152" s="591" t="s">
        <v>463</v>
      </c>
      <c r="L152" s="24"/>
    </row>
    <row r="153" spans="1:12" s="16" customFormat="1" ht="31" x14ac:dyDescent="0.35">
      <c r="A153" s="589">
        <v>112</v>
      </c>
      <c r="B153" s="24" t="s">
        <v>73</v>
      </c>
      <c r="C153" s="15">
        <f>'inventory2019(REVISED)'!C184</f>
        <v>8.5100000000000016</v>
      </c>
      <c r="D153" s="590">
        <f>'[23]road inventory 2018'!C183</f>
        <v>8.4</v>
      </c>
      <c r="E153" s="15">
        <v>0.21</v>
      </c>
      <c r="F153" s="15">
        <v>0</v>
      </c>
      <c r="G153" s="15">
        <v>0</v>
      </c>
      <c r="H153" s="15">
        <v>8.3000000000000007</v>
      </c>
      <c r="I153" s="15">
        <v>0</v>
      </c>
      <c r="J153" s="24" t="s">
        <v>12</v>
      </c>
      <c r="K153" s="591" t="s">
        <v>466</v>
      </c>
      <c r="L153" s="24"/>
    </row>
    <row r="154" spans="1:12" ht="31" x14ac:dyDescent="0.35">
      <c r="A154" s="596">
        <v>114</v>
      </c>
      <c r="B154" s="28" t="s">
        <v>468</v>
      </c>
      <c r="C154" s="15">
        <f>'inventory2019(REVISED)'!C186</f>
        <v>9.5500000000000007</v>
      </c>
      <c r="D154" s="590">
        <f>'[23]road inventory 2018'!C185</f>
        <v>9.5</v>
      </c>
      <c r="E154" s="10">
        <v>0</v>
      </c>
      <c r="F154" s="10">
        <v>0</v>
      </c>
      <c r="G154" s="10">
        <v>0</v>
      </c>
      <c r="H154" s="10">
        <v>9.5500000000000007</v>
      </c>
      <c r="I154" s="10">
        <v>0</v>
      </c>
      <c r="J154" s="103" t="s">
        <v>12</v>
      </c>
      <c r="K154" s="597" t="s">
        <v>469</v>
      </c>
      <c r="L154" s="28"/>
    </row>
    <row r="155" spans="1:12" s="16" customFormat="1" ht="18" customHeight="1" x14ac:dyDescent="0.35">
      <c r="A155" s="589">
        <v>115</v>
      </c>
      <c r="B155" s="24" t="s">
        <v>77</v>
      </c>
      <c r="C155" s="15">
        <f>'inventory2019(REVISED)'!C187</f>
        <v>10.71</v>
      </c>
      <c r="D155" s="590">
        <f>'[23]road inventory 2018'!C186</f>
        <v>10.700000000000001</v>
      </c>
      <c r="E155" s="15">
        <v>10.71</v>
      </c>
      <c r="F155" s="15">
        <v>0</v>
      </c>
      <c r="G155" s="15">
        <v>0</v>
      </c>
      <c r="H155" s="15">
        <v>0</v>
      </c>
      <c r="I155" s="15">
        <v>0</v>
      </c>
      <c r="J155" s="24" t="s">
        <v>10</v>
      </c>
      <c r="K155" s="591" t="s">
        <v>470</v>
      </c>
      <c r="L155" s="24"/>
    </row>
    <row r="156" spans="1:12" ht="18" customHeight="1" x14ac:dyDescent="0.35">
      <c r="A156" s="596">
        <v>117</v>
      </c>
      <c r="B156" s="28" t="s">
        <v>79</v>
      </c>
      <c r="C156" s="15">
        <f>'inventory2019(REVISED)'!C188</f>
        <v>9.51</v>
      </c>
      <c r="D156" s="590">
        <f>'[23]road inventory 2018'!C187</f>
        <v>8.6</v>
      </c>
      <c r="E156" s="10">
        <v>1.7</v>
      </c>
      <c r="F156" s="10">
        <v>0</v>
      </c>
      <c r="G156" s="10">
        <v>0</v>
      </c>
      <c r="H156" s="10">
        <v>7.81</v>
      </c>
      <c r="I156" s="10">
        <v>0</v>
      </c>
      <c r="J156" s="103" t="s">
        <v>12</v>
      </c>
      <c r="K156" s="597" t="s">
        <v>471</v>
      </c>
      <c r="L156" s="28"/>
    </row>
    <row r="157" spans="1:12" s="16" customFormat="1" ht="31" x14ac:dyDescent="0.35">
      <c r="A157" s="589">
        <v>132</v>
      </c>
      <c r="B157" s="24" t="s">
        <v>85</v>
      </c>
      <c r="C157" s="15">
        <f>'inventory2019(REVISED)'!C190</f>
        <v>13.5</v>
      </c>
      <c r="D157" s="590">
        <f>'[23]road inventory 2018'!C189</f>
        <v>13.5</v>
      </c>
      <c r="E157" s="15">
        <v>6.58</v>
      </c>
      <c r="F157" s="15">
        <v>0</v>
      </c>
      <c r="G157" s="15">
        <v>0</v>
      </c>
      <c r="H157" s="15">
        <v>6.73</v>
      </c>
      <c r="I157" s="15">
        <v>0</v>
      </c>
      <c r="J157" s="106" t="s">
        <v>10</v>
      </c>
      <c r="K157" s="591" t="s">
        <v>473</v>
      </c>
      <c r="L157" s="24"/>
    </row>
    <row r="158" spans="1:12" s="16" customFormat="1" ht="18" customHeight="1" thickBot="1" x14ac:dyDescent="0.4">
      <c r="A158" s="649">
        <v>139</v>
      </c>
      <c r="B158" s="64" t="s">
        <v>474</v>
      </c>
      <c r="C158" s="15">
        <f>'inventory2019(REVISED)'!C191</f>
        <v>9.1</v>
      </c>
      <c r="D158" s="590">
        <f>'[23]road inventory 2018'!C190</f>
        <v>8.9</v>
      </c>
      <c r="E158" s="65">
        <v>0</v>
      </c>
      <c r="F158" s="65">
        <v>0</v>
      </c>
      <c r="G158" s="65">
        <v>0</v>
      </c>
      <c r="H158" s="65">
        <v>9.1</v>
      </c>
      <c r="I158" s="65">
        <v>0</v>
      </c>
      <c r="J158" s="651" t="s">
        <v>12</v>
      </c>
      <c r="K158" s="652" t="s">
        <v>475</v>
      </c>
      <c r="L158" s="60"/>
    </row>
    <row r="159" spans="1:12" s="16" customFormat="1" ht="18" customHeight="1" x14ac:dyDescent="0.35">
      <c r="A159" s="589">
        <v>122</v>
      </c>
      <c r="B159" s="24" t="s">
        <v>476</v>
      </c>
      <c r="C159" s="15">
        <f>'inventory2019(REVISED)'!C192</f>
        <v>3.4400000000000004</v>
      </c>
      <c r="D159" s="590">
        <f>'[23]road inventory 2018'!C193</f>
        <v>3.25</v>
      </c>
      <c r="E159" s="15">
        <v>0</v>
      </c>
      <c r="F159" s="15">
        <v>0</v>
      </c>
      <c r="G159" s="15">
        <v>0</v>
      </c>
      <c r="H159" s="15">
        <v>3.44</v>
      </c>
      <c r="I159" s="15">
        <v>0</v>
      </c>
      <c r="J159" s="106" t="s">
        <v>12</v>
      </c>
      <c r="K159" s="591" t="s">
        <v>477</v>
      </c>
      <c r="L159" s="592"/>
    </row>
    <row r="160" spans="1:12" s="16" customFormat="1" ht="18" customHeight="1" x14ac:dyDescent="0.35">
      <c r="A160" s="589">
        <v>216</v>
      </c>
      <c r="B160" s="24" t="s">
        <v>87</v>
      </c>
      <c r="C160" s="15">
        <f>'inventory2019(REVISED)'!C193</f>
        <v>6.32</v>
      </c>
      <c r="D160" s="590">
        <f>'[23]road inventory 2018'!C194</f>
        <v>6.1</v>
      </c>
      <c r="E160" s="15">
        <v>0</v>
      </c>
      <c r="F160" s="15">
        <v>0</v>
      </c>
      <c r="G160" s="15">
        <v>0</v>
      </c>
      <c r="H160" s="15">
        <v>6.32</v>
      </c>
      <c r="I160" s="15">
        <v>0</v>
      </c>
      <c r="J160" s="106" t="s">
        <v>12</v>
      </c>
      <c r="K160" s="591" t="s">
        <v>478</v>
      </c>
      <c r="L160" s="24"/>
    </row>
    <row r="161" spans="1:12" s="16" customFormat="1" ht="18" customHeight="1" x14ac:dyDescent="0.35">
      <c r="A161" s="589">
        <v>133</v>
      </c>
      <c r="B161" s="24" t="s">
        <v>90</v>
      </c>
      <c r="C161" s="15">
        <f>'inventory2019(REVISED)'!C194</f>
        <v>4.47</v>
      </c>
      <c r="D161" s="590">
        <f>'[23]road inventory 2018'!C195</f>
        <v>4.4000000000000004</v>
      </c>
      <c r="E161" s="15">
        <v>0</v>
      </c>
      <c r="F161" s="15">
        <v>0</v>
      </c>
      <c r="G161" s="15">
        <v>0</v>
      </c>
      <c r="H161" s="15">
        <v>4.47</v>
      </c>
      <c r="I161" s="15">
        <v>0</v>
      </c>
      <c r="J161" s="106" t="s">
        <v>12</v>
      </c>
      <c r="K161" s="591" t="s">
        <v>478</v>
      </c>
      <c r="L161" s="24"/>
    </row>
    <row r="162" spans="1:12" s="16" customFormat="1" ht="18" customHeight="1" x14ac:dyDescent="0.35">
      <c r="A162" s="589">
        <v>123</v>
      </c>
      <c r="B162" s="24" t="s">
        <v>91</v>
      </c>
      <c r="C162" s="15">
        <f>'inventory2019(REVISED)'!C195</f>
        <v>21.63</v>
      </c>
      <c r="D162" s="590">
        <f>'[23]road inventory 2018'!C196</f>
        <v>17</v>
      </c>
      <c r="E162" s="15">
        <v>12.19</v>
      </c>
      <c r="F162" s="15">
        <v>0</v>
      </c>
      <c r="G162" s="15">
        <v>0</v>
      </c>
      <c r="H162" s="15">
        <v>9.6300000000000008</v>
      </c>
      <c r="I162" s="15">
        <v>0</v>
      </c>
      <c r="J162" s="106" t="s">
        <v>12</v>
      </c>
      <c r="K162" s="591" t="s">
        <v>475</v>
      </c>
      <c r="L162" s="24"/>
    </row>
    <row r="163" spans="1:12" ht="18" customHeight="1" x14ac:dyDescent="0.35">
      <c r="A163" s="596">
        <v>134</v>
      </c>
      <c r="B163" s="45" t="s">
        <v>284</v>
      </c>
      <c r="C163" s="15">
        <f>'inventory2019(REVISED)'!C196</f>
        <v>8.23</v>
      </c>
      <c r="D163" s="590">
        <f>'[23]road inventory 2018'!C197</f>
        <v>8.3000000000000007</v>
      </c>
      <c r="E163" s="10">
        <v>0</v>
      </c>
      <c r="F163" s="10">
        <v>0</v>
      </c>
      <c r="G163" s="10">
        <v>0</v>
      </c>
      <c r="H163" s="10">
        <v>8.23</v>
      </c>
      <c r="I163" s="10">
        <v>0</v>
      </c>
      <c r="J163" s="103" t="s">
        <v>317</v>
      </c>
      <c r="K163" s="597"/>
      <c r="L163" s="28"/>
    </row>
    <row r="164" spans="1:12" ht="18" customHeight="1" x14ac:dyDescent="0.35">
      <c r="A164" s="635"/>
      <c r="B164" s="654"/>
      <c r="C164" s="41">
        <f t="shared" ref="C164:I164" si="7">SUM(C151:C163)</f>
        <v>108.10000000000001</v>
      </c>
      <c r="D164" s="41">
        <f t="shared" si="7"/>
        <v>101.78</v>
      </c>
      <c r="E164" s="41">
        <f t="shared" si="7"/>
        <v>31.946999999999996</v>
      </c>
      <c r="F164" s="41">
        <f t="shared" si="7"/>
        <v>0</v>
      </c>
      <c r="G164" s="41">
        <f t="shared" si="7"/>
        <v>0</v>
      </c>
      <c r="H164" s="41">
        <f t="shared" si="7"/>
        <v>76.153000000000006</v>
      </c>
      <c r="I164" s="41">
        <f t="shared" si="7"/>
        <v>0</v>
      </c>
      <c r="J164" s="109"/>
      <c r="K164" s="605"/>
      <c r="L164" s="28"/>
    </row>
    <row r="165" spans="1:12" ht="18" customHeight="1" thickBot="1" x14ac:dyDescent="0.4">
      <c r="A165" s="53" t="s">
        <v>341</v>
      </c>
      <c r="B165" s="34"/>
      <c r="C165" s="31">
        <f>E165+H165</f>
        <v>108.1</v>
      </c>
      <c r="D165" s="630"/>
      <c r="E165" s="31">
        <f>SUM(E151:E163)</f>
        <v>31.946999999999996</v>
      </c>
      <c r="F165" s="31">
        <f>SUM(F151:F163)</f>
        <v>0</v>
      </c>
      <c r="G165" s="31">
        <f>SUM(G151:G163)</f>
        <v>0</v>
      </c>
      <c r="H165" s="31">
        <f>SUM(H151:H163)</f>
        <v>76.153000000000006</v>
      </c>
      <c r="I165" s="31">
        <f>SUM(I151:I163)</f>
        <v>0</v>
      </c>
      <c r="J165" s="608"/>
      <c r="K165" s="609"/>
      <c r="L165" s="653"/>
    </row>
    <row r="166" spans="1:12" ht="18" customHeight="1" thickBot="1" x14ac:dyDescent="0.4">
      <c r="L166" s="28"/>
    </row>
    <row r="167" spans="1:12" s="1" customFormat="1" x14ac:dyDescent="0.35">
      <c r="A167" s="1217" t="s">
        <v>479</v>
      </c>
      <c r="B167" s="1218"/>
      <c r="C167" s="1218"/>
      <c r="D167" s="1218"/>
      <c r="E167" s="1218"/>
      <c r="F167" s="1218"/>
      <c r="G167" s="1218"/>
      <c r="H167" s="1218"/>
      <c r="I167" s="1218"/>
      <c r="J167" s="1218"/>
      <c r="K167" s="1218"/>
      <c r="L167" s="668"/>
    </row>
    <row r="168" spans="1:12" s="1" customFormat="1" ht="16" thickBot="1" x14ac:dyDescent="0.4">
      <c r="A168" s="585"/>
      <c r="B168" s="2"/>
      <c r="C168" s="5"/>
      <c r="D168" s="586"/>
      <c r="E168" s="5"/>
      <c r="F168" s="5"/>
      <c r="G168" s="5"/>
      <c r="H168" s="5"/>
      <c r="I168" s="5"/>
      <c r="J168" s="3"/>
      <c r="K168" s="21"/>
      <c r="L168" s="653"/>
    </row>
    <row r="169" spans="1:12" s="1" customFormat="1" ht="21" customHeight="1" x14ac:dyDescent="0.35">
      <c r="A169" s="1206" t="s">
        <v>302</v>
      </c>
      <c r="B169" s="1208" t="s">
        <v>28</v>
      </c>
      <c r="C169" s="1210" t="s">
        <v>343</v>
      </c>
      <c r="D169" s="613"/>
      <c r="E169" s="1212" t="s">
        <v>305</v>
      </c>
      <c r="F169" s="1212"/>
      <c r="G169" s="1212"/>
      <c r="H169" s="1212"/>
      <c r="I169" s="1212"/>
      <c r="J169" s="1208" t="s">
        <v>29</v>
      </c>
      <c r="K169" s="1213" t="s">
        <v>306</v>
      </c>
      <c r="L169" s="1215" t="s">
        <v>307</v>
      </c>
    </row>
    <row r="170" spans="1:12" s="1" customFormat="1" ht="21" customHeight="1" thickBot="1" x14ac:dyDescent="0.4">
      <c r="A170" s="1207"/>
      <c r="B170" s="1209"/>
      <c r="C170" s="1211"/>
      <c r="D170" s="614"/>
      <c r="E170" s="7" t="s">
        <v>308</v>
      </c>
      <c r="F170" s="7" t="s">
        <v>309</v>
      </c>
      <c r="G170" s="7" t="s">
        <v>310</v>
      </c>
      <c r="H170" s="7" t="s">
        <v>311</v>
      </c>
      <c r="I170" s="7" t="s">
        <v>312</v>
      </c>
      <c r="J170" s="1209"/>
      <c r="K170" s="1214"/>
      <c r="L170" s="1216"/>
    </row>
    <row r="171" spans="1:12" s="16" customFormat="1" ht="18" customHeight="1" x14ac:dyDescent="0.35">
      <c r="A171" s="589">
        <v>136</v>
      </c>
      <c r="B171" s="24" t="s">
        <v>93</v>
      </c>
      <c r="C171" s="15">
        <f>'inventory2019(REVISED)'!C204</f>
        <v>11.309999999999999</v>
      </c>
      <c r="D171" s="590">
        <f>'[23]road inventory 2018'!C204</f>
        <v>11.3</v>
      </c>
      <c r="E171" s="15">
        <v>8.6999999999999993</v>
      </c>
      <c r="F171" s="15">
        <v>0</v>
      </c>
      <c r="G171" s="15">
        <v>0</v>
      </c>
      <c r="H171" s="15">
        <v>2.61</v>
      </c>
      <c r="I171" s="15">
        <v>0</v>
      </c>
      <c r="J171" s="24" t="s">
        <v>10</v>
      </c>
      <c r="K171" s="591" t="s">
        <v>480</v>
      </c>
      <c r="L171" s="24"/>
    </row>
    <row r="172" spans="1:12" s="16" customFormat="1" ht="18" customHeight="1" x14ac:dyDescent="0.35">
      <c r="A172" s="589">
        <v>137</v>
      </c>
      <c r="B172" s="24" t="s">
        <v>95</v>
      </c>
      <c r="C172" s="15">
        <f>'inventory2019(REVISED)'!C205</f>
        <v>12.59</v>
      </c>
      <c r="D172" s="590">
        <f>'[23]road inventory 2018'!C205</f>
        <v>12.5</v>
      </c>
      <c r="E172" s="15">
        <v>8.74</v>
      </c>
      <c r="F172" s="15">
        <v>0</v>
      </c>
      <c r="G172" s="15">
        <v>0</v>
      </c>
      <c r="H172" s="15">
        <v>3.85</v>
      </c>
      <c r="I172" s="15">
        <v>0</v>
      </c>
      <c r="J172" s="24" t="s">
        <v>10</v>
      </c>
      <c r="K172" s="591" t="s">
        <v>481</v>
      </c>
      <c r="L172" s="24"/>
    </row>
    <row r="173" spans="1:12" s="16" customFormat="1" x14ac:dyDescent="0.35">
      <c r="A173" s="589">
        <v>120</v>
      </c>
      <c r="B173" s="24" t="s">
        <v>99</v>
      </c>
      <c r="C173" s="15">
        <f>'inventory2019(REVISED)'!C207</f>
        <v>10.85</v>
      </c>
      <c r="D173" s="590">
        <f>'[23]road inventory 2018'!C207</f>
        <v>10.75</v>
      </c>
      <c r="E173" s="15">
        <v>10.24</v>
      </c>
      <c r="F173" s="15">
        <v>0</v>
      </c>
      <c r="G173" s="15">
        <v>0</v>
      </c>
      <c r="H173" s="15">
        <v>0.61</v>
      </c>
      <c r="I173" s="15">
        <v>0</v>
      </c>
      <c r="J173" s="24" t="s">
        <v>10</v>
      </c>
      <c r="K173" s="591" t="s">
        <v>483</v>
      </c>
      <c r="L173" s="24"/>
    </row>
    <row r="174" spans="1:12" s="16" customFormat="1" ht="31" x14ac:dyDescent="0.35">
      <c r="A174" s="589">
        <v>140</v>
      </c>
      <c r="B174" s="24" t="s">
        <v>101</v>
      </c>
      <c r="C174" s="15">
        <f>'inventory2019(REVISED)'!C208</f>
        <v>18.149999999999999</v>
      </c>
      <c r="D174" s="590">
        <f>'[23]road inventory 2018'!C208</f>
        <v>19.52</v>
      </c>
      <c r="E174" s="15">
        <v>2.41</v>
      </c>
      <c r="F174" s="15">
        <v>0</v>
      </c>
      <c r="G174" s="15">
        <v>0</v>
      </c>
      <c r="H174" s="15">
        <v>15.74</v>
      </c>
      <c r="I174" s="15">
        <v>0</v>
      </c>
      <c r="J174" s="24" t="s">
        <v>12</v>
      </c>
      <c r="K174" s="591"/>
      <c r="L174" s="24"/>
    </row>
    <row r="175" spans="1:12" ht="31" x14ac:dyDescent="0.35">
      <c r="A175" s="596">
        <v>124</v>
      </c>
      <c r="B175" s="28" t="s">
        <v>485</v>
      </c>
      <c r="C175" s="15">
        <f>'inventory2019(REVISED)'!C210</f>
        <v>12.5</v>
      </c>
      <c r="D175" s="590">
        <f>'[23]road inventory 2018'!C210</f>
        <v>17</v>
      </c>
      <c r="E175" s="10">
        <v>3.52</v>
      </c>
      <c r="F175" s="10">
        <v>0</v>
      </c>
      <c r="G175" s="10">
        <v>0</v>
      </c>
      <c r="H175" s="10">
        <v>8.98</v>
      </c>
      <c r="I175" s="10">
        <v>0</v>
      </c>
      <c r="J175" s="103" t="s">
        <v>12</v>
      </c>
      <c r="K175" s="597"/>
      <c r="L175" s="28"/>
    </row>
    <row r="176" spans="1:12" s="16" customFormat="1" ht="18" customHeight="1" x14ac:dyDescent="0.35">
      <c r="A176" s="589">
        <v>141</v>
      </c>
      <c r="B176" s="24" t="s">
        <v>486</v>
      </c>
      <c r="C176" s="15">
        <f>'inventory2019(REVISED)'!C211</f>
        <v>6</v>
      </c>
      <c r="D176" s="590">
        <f>'[23]road inventory 2018'!C211</f>
        <v>6</v>
      </c>
      <c r="E176" s="15">
        <v>0</v>
      </c>
      <c r="F176" s="15">
        <v>0</v>
      </c>
      <c r="G176" s="15">
        <v>0</v>
      </c>
      <c r="H176" s="15">
        <v>6</v>
      </c>
      <c r="I176" s="15">
        <v>0</v>
      </c>
      <c r="J176" s="106" t="s">
        <v>12</v>
      </c>
      <c r="K176" s="591" t="s">
        <v>487</v>
      </c>
      <c r="L176" s="24"/>
    </row>
    <row r="177" spans="1:12" s="16" customFormat="1" ht="18" customHeight="1" x14ac:dyDescent="0.35">
      <c r="A177" s="626"/>
      <c r="B177" s="60"/>
      <c r="C177" s="61">
        <f t="shared" ref="C177:I177" si="8">SUM(C171:C176)</f>
        <v>71.400000000000006</v>
      </c>
      <c r="D177" s="61">
        <f t="shared" si="8"/>
        <v>77.069999999999993</v>
      </c>
      <c r="E177" s="61">
        <f t="shared" si="8"/>
        <v>33.61</v>
      </c>
      <c r="F177" s="61">
        <f t="shared" si="8"/>
        <v>0</v>
      </c>
      <c r="G177" s="61">
        <f t="shared" si="8"/>
        <v>0</v>
      </c>
      <c r="H177" s="61">
        <f t="shared" si="8"/>
        <v>37.790000000000006</v>
      </c>
      <c r="I177" s="61">
        <f t="shared" si="8"/>
        <v>0</v>
      </c>
      <c r="J177" s="628"/>
      <c r="K177" s="629"/>
      <c r="L177" s="24"/>
    </row>
    <row r="178" spans="1:12" ht="18" customHeight="1" thickBot="1" x14ac:dyDescent="0.4">
      <c r="A178" s="53" t="s">
        <v>341</v>
      </c>
      <c r="B178" s="34"/>
      <c r="C178" s="31">
        <f>SUM(C171:C176)</f>
        <v>71.400000000000006</v>
      </c>
      <c r="D178" s="630"/>
      <c r="E178" s="31">
        <f>SUM(E171:E176)</f>
        <v>33.61</v>
      </c>
      <c r="F178" s="31">
        <f>SUM(F171:F176)</f>
        <v>0</v>
      </c>
      <c r="G178" s="31">
        <f>SUM(G171:G176)</f>
        <v>0</v>
      </c>
      <c r="H178" s="31">
        <f>SUM(H171:H176)</f>
        <v>37.790000000000006</v>
      </c>
      <c r="I178" s="31">
        <f>SUM(I171:I176)</f>
        <v>0</v>
      </c>
      <c r="J178" s="608"/>
      <c r="K178" s="609"/>
      <c r="L178" s="653"/>
    </row>
    <row r="179" spans="1:12" ht="18" customHeight="1" thickBot="1" x14ac:dyDescent="0.4">
      <c r="L179" s="28"/>
    </row>
    <row r="180" spans="1:12" s="1" customFormat="1" x14ac:dyDescent="0.35">
      <c r="A180" s="1217" t="s">
        <v>488</v>
      </c>
      <c r="B180" s="1218"/>
      <c r="C180" s="1218"/>
      <c r="D180" s="1218"/>
      <c r="E180" s="1218"/>
      <c r="F180" s="1218"/>
      <c r="G180" s="1218"/>
      <c r="H180" s="1218"/>
      <c r="I180" s="1218"/>
      <c r="J180" s="1218"/>
      <c r="K180" s="1218"/>
      <c r="L180" s="668"/>
    </row>
    <row r="181" spans="1:12" s="1" customFormat="1" ht="16" thickBot="1" x14ac:dyDescent="0.4">
      <c r="A181" s="585"/>
      <c r="B181" s="2"/>
      <c r="C181" s="5"/>
      <c r="D181" s="586"/>
      <c r="E181" s="5"/>
      <c r="F181" s="5"/>
      <c r="G181" s="5"/>
      <c r="H181" s="5"/>
      <c r="I181" s="5"/>
      <c r="J181" s="3"/>
      <c r="K181" s="21"/>
      <c r="L181" s="653"/>
    </row>
    <row r="182" spans="1:12" s="1" customFormat="1" ht="21" customHeight="1" x14ac:dyDescent="0.35">
      <c r="A182" s="1206" t="s">
        <v>302</v>
      </c>
      <c r="B182" s="1208" t="s">
        <v>28</v>
      </c>
      <c r="C182" s="1210" t="s">
        <v>343</v>
      </c>
      <c r="D182" s="613"/>
      <c r="E182" s="1212" t="s">
        <v>305</v>
      </c>
      <c r="F182" s="1212"/>
      <c r="G182" s="1212"/>
      <c r="H182" s="1212"/>
      <c r="I182" s="1212"/>
      <c r="J182" s="1208" t="s">
        <v>29</v>
      </c>
      <c r="K182" s="1213" t="s">
        <v>306</v>
      </c>
      <c r="L182" s="1215" t="str">
        <f>L169</f>
        <v>REMARKS</v>
      </c>
    </row>
    <row r="183" spans="1:12" s="1" customFormat="1" ht="21" customHeight="1" thickBot="1" x14ac:dyDescent="0.4">
      <c r="A183" s="1207"/>
      <c r="B183" s="1209"/>
      <c r="C183" s="1211"/>
      <c r="D183" s="614"/>
      <c r="E183" s="7" t="s">
        <v>308</v>
      </c>
      <c r="F183" s="7" t="s">
        <v>309</v>
      </c>
      <c r="G183" s="7" t="s">
        <v>310</v>
      </c>
      <c r="H183" s="7" t="s">
        <v>311</v>
      </c>
      <c r="I183" s="7" t="s">
        <v>312</v>
      </c>
      <c r="J183" s="1209"/>
      <c r="K183" s="1214"/>
      <c r="L183" s="1216"/>
    </row>
    <row r="184" spans="1:12" s="16" customFormat="1" ht="31" x14ac:dyDescent="0.35">
      <c r="A184" s="589">
        <v>142</v>
      </c>
      <c r="B184" s="24" t="s">
        <v>286</v>
      </c>
      <c r="C184" s="15">
        <f>'inventory2019(REVISED)'!C219</f>
        <v>21.69</v>
      </c>
      <c r="D184" s="590">
        <f>'[23]road inventory 2018'!C218</f>
        <v>19.299999999999997</v>
      </c>
      <c r="E184" s="15">
        <v>0.8</v>
      </c>
      <c r="F184" s="15">
        <v>0</v>
      </c>
      <c r="G184" s="15">
        <v>0</v>
      </c>
      <c r="H184" s="15">
        <v>20.89</v>
      </c>
      <c r="I184" s="15">
        <v>0</v>
      </c>
      <c r="J184" s="106" t="s">
        <v>12</v>
      </c>
      <c r="K184" s="591" t="s">
        <v>489</v>
      </c>
      <c r="L184" s="24"/>
    </row>
    <row r="185" spans="1:12" ht="31" x14ac:dyDescent="0.35">
      <c r="A185" s="596">
        <v>143</v>
      </c>
      <c r="B185" s="28" t="s">
        <v>287</v>
      </c>
      <c r="C185" s="15">
        <f>'inventory2019(REVISED)'!C220</f>
        <v>8.91</v>
      </c>
      <c r="D185" s="590">
        <f>'[23]road inventory 2018'!C219</f>
        <v>8.7999999999999989</v>
      </c>
      <c r="E185" s="10">
        <v>0.2</v>
      </c>
      <c r="F185" s="10">
        <v>0</v>
      </c>
      <c r="G185" s="10">
        <v>0</v>
      </c>
      <c r="H185" s="10">
        <v>8.7100000000000009</v>
      </c>
      <c r="I185" s="10">
        <v>0</v>
      </c>
      <c r="J185" s="103" t="s">
        <v>12</v>
      </c>
      <c r="K185" s="597" t="s">
        <v>490</v>
      </c>
      <c r="L185" s="28"/>
    </row>
    <row r="186" spans="1:12" s="16" customFormat="1" ht="31" x14ac:dyDescent="0.35">
      <c r="A186" s="589">
        <v>144</v>
      </c>
      <c r="B186" s="24" t="s">
        <v>288</v>
      </c>
      <c r="C186" s="15">
        <f>'inventory2019(REVISED)'!C221</f>
        <v>7.88</v>
      </c>
      <c r="D186" s="590">
        <f>'[23]road inventory 2018'!C220</f>
        <v>7.8999999999999995</v>
      </c>
      <c r="E186" s="15">
        <v>1.75</v>
      </c>
      <c r="F186" s="15">
        <v>0</v>
      </c>
      <c r="G186" s="15">
        <v>0</v>
      </c>
      <c r="H186" s="15">
        <v>6.13</v>
      </c>
      <c r="I186" s="15">
        <v>0</v>
      </c>
      <c r="J186" s="106" t="s">
        <v>12</v>
      </c>
      <c r="K186" s="591" t="s">
        <v>491</v>
      </c>
      <c r="L186" s="24"/>
    </row>
    <row r="187" spans="1:12" s="16" customFormat="1" x14ac:dyDescent="0.35">
      <c r="A187" s="589">
        <v>121</v>
      </c>
      <c r="B187" s="24" t="s">
        <v>104</v>
      </c>
      <c r="C187" s="15">
        <f>'inventory2019(REVISED)'!C222</f>
        <v>23.3</v>
      </c>
      <c r="D187" s="590">
        <f>'[23]road inventory 2018'!C221</f>
        <v>23.2</v>
      </c>
      <c r="E187" s="15">
        <v>1.3</v>
      </c>
      <c r="F187" s="15">
        <v>0</v>
      </c>
      <c r="G187" s="15">
        <v>1.72</v>
      </c>
      <c r="H187" s="15">
        <v>20.28</v>
      </c>
      <c r="I187" s="15">
        <v>0</v>
      </c>
      <c r="J187" s="106" t="s">
        <v>12</v>
      </c>
      <c r="K187" s="591" t="s">
        <v>492</v>
      </c>
      <c r="L187" s="24"/>
    </row>
    <row r="188" spans="1:12" s="16" customFormat="1" ht="18" customHeight="1" x14ac:dyDescent="0.35">
      <c r="A188" s="589">
        <v>126</v>
      </c>
      <c r="B188" s="24" t="s">
        <v>110</v>
      </c>
      <c r="C188" s="15">
        <f>'inventory2019(REVISED)'!C224</f>
        <v>10.097</v>
      </c>
      <c r="D188" s="590">
        <f>'[23]road inventory 2018'!C223</f>
        <v>9.6</v>
      </c>
      <c r="E188" s="15">
        <v>8.16</v>
      </c>
      <c r="F188" s="15">
        <v>0</v>
      </c>
      <c r="G188" s="15">
        <v>0</v>
      </c>
      <c r="H188" s="15">
        <v>1.9370000000000001</v>
      </c>
      <c r="I188" s="15">
        <v>0</v>
      </c>
      <c r="J188" s="106" t="s">
        <v>836</v>
      </c>
      <c r="K188" s="591" t="s">
        <v>493</v>
      </c>
      <c r="L188" s="24"/>
    </row>
    <row r="189" spans="1:12" s="16" customFormat="1" ht="31" x14ac:dyDescent="0.35">
      <c r="A189" s="589">
        <v>146</v>
      </c>
      <c r="B189" s="24" t="s">
        <v>115</v>
      </c>
      <c r="C189" s="15">
        <f>'inventory2019(REVISED)'!C225</f>
        <v>12.15</v>
      </c>
      <c r="D189" s="590">
        <f>'[23]road inventory 2018'!C224</f>
        <v>8.3000000000000007</v>
      </c>
      <c r="E189" s="15">
        <v>0</v>
      </c>
      <c r="F189" s="15">
        <v>0</v>
      </c>
      <c r="G189" s="15">
        <v>0</v>
      </c>
      <c r="H189" s="15">
        <v>12.15</v>
      </c>
      <c r="I189" s="15">
        <v>0</v>
      </c>
      <c r="J189" s="106" t="s">
        <v>12</v>
      </c>
      <c r="K189" s="591"/>
      <c r="L189" s="24"/>
    </row>
    <row r="190" spans="1:12" s="16" customFormat="1" ht="18" customHeight="1" x14ac:dyDescent="0.35">
      <c r="A190" s="589">
        <v>147</v>
      </c>
      <c r="B190" s="24" t="s">
        <v>289</v>
      </c>
      <c r="C190" s="15">
        <f>'inventory2019(REVISED)'!C226</f>
        <v>4.59</v>
      </c>
      <c r="D190" s="590">
        <f>'[23]road inventory 2018'!C225</f>
        <v>4.2</v>
      </c>
      <c r="E190" s="15">
        <v>0.2</v>
      </c>
      <c r="F190" s="15">
        <v>0</v>
      </c>
      <c r="G190" s="15">
        <v>0</v>
      </c>
      <c r="H190" s="15">
        <v>4.3899999999999997</v>
      </c>
      <c r="I190" s="15">
        <v>0</v>
      </c>
      <c r="J190" s="106" t="s">
        <v>10</v>
      </c>
      <c r="K190" s="591"/>
      <c r="L190" s="24"/>
    </row>
    <row r="191" spans="1:12" s="16" customFormat="1" ht="18.75" customHeight="1" x14ac:dyDescent="0.35">
      <c r="A191" s="626"/>
      <c r="B191" s="60"/>
      <c r="C191" s="61">
        <f t="shared" ref="C191:I191" si="9">SUM(C184:C190)</f>
        <v>88.617000000000004</v>
      </c>
      <c r="D191" s="61">
        <f t="shared" si="9"/>
        <v>81.299999999999983</v>
      </c>
      <c r="E191" s="61">
        <f t="shared" si="9"/>
        <v>12.41</v>
      </c>
      <c r="F191" s="61">
        <f t="shared" si="9"/>
        <v>0</v>
      </c>
      <c r="G191" s="61">
        <f t="shared" si="9"/>
        <v>1.72</v>
      </c>
      <c r="H191" s="61">
        <f t="shared" si="9"/>
        <v>74.487000000000009</v>
      </c>
      <c r="I191" s="61">
        <f t="shared" si="9"/>
        <v>0</v>
      </c>
      <c r="J191" s="628"/>
      <c r="K191" s="629"/>
      <c r="L191" s="24"/>
    </row>
    <row r="192" spans="1:12" ht="18" customHeight="1" thickBot="1" x14ac:dyDescent="0.4">
      <c r="A192" s="53" t="s">
        <v>341</v>
      </c>
      <c r="B192" s="34"/>
      <c r="C192" s="31">
        <f>SUM(C184:C190)</f>
        <v>88.617000000000004</v>
      </c>
      <c r="D192" s="630"/>
      <c r="E192" s="31">
        <f>SUM(E184:E190)</f>
        <v>12.41</v>
      </c>
      <c r="F192" s="31">
        <f>SUM(F184:F190)</f>
        <v>0</v>
      </c>
      <c r="G192" s="31">
        <f>SUM(G184:G190)</f>
        <v>1.72</v>
      </c>
      <c r="H192" s="31">
        <f>SUM(H184:H190)</f>
        <v>74.487000000000009</v>
      </c>
      <c r="I192" s="31">
        <f>SUM(I184:I190)</f>
        <v>0</v>
      </c>
      <c r="J192" s="608"/>
      <c r="K192" s="609"/>
      <c r="L192" s="653"/>
    </row>
    <row r="193" spans="1:12" ht="18" customHeight="1" thickBot="1" x14ac:dyDescent="0.4">
      <c r="L193" s="28"/>
    </row>
    <row r="194" spans="1:12" s="1" customFormat="1" x14ac:dyDescent="0.35">
      <c r="A194" s="1217" t="s">
        <v>494</v>
      </c>
      <c r="B194" s="1218"/>
      <c r="C194" s="1218"/>
      <c r="D194" s="1218"/>
      <c r="E194" s="1218"/>
      <c r="F194" s="1218"/>
      <c r="G194" s="1218"/>
      <c r="H194" s="1218"/>
      <c r="I194" s="1218"/>
      <c r="J194" s="1218"/>
      <c r="K194" s="1218"/>
      <c r="L194" s="668"/>
    </row>
    <row r="195" spans="1:12" s="1" customFormat="1" ht="16" thickBot="1" x14ac:dyDescent="0.4">
      <c r="A195" s="585"/>
      <c r="B195" s="2"/>
      <c r="C195" s="5"/>
      <c r="D195" s="586"/>
      <c r="E195" s="5"/>
      <c r="F195" s="5"/>
      <c r="G195" s="5"/>
      <c r="H195" s="5"/>
      <c r="I195" s="5"/>
      <c r="J195" s="3"/>
      <c r="K195" s="21"/>
      <c r="L195" s="653"/>
    </row>
    <row r="196" spans="1:12" s="1" customFormat="1" ht="21" customHeight="1" x14ac:dyDescent="0.35">
      <c r="A196" s="1206" t="s">
        <v>302</v>
      </c>
      <c r="B196" s="1208" t="s">
        <v>28</v>
      </c>
      <c r="C196" s="1210" t="s">
        <v>343</v>
      </c>
      <c r="D196" s="613"/>
      <c r="E196" s="1212" t="s">
        <v>305</v>
      </c>
      <c r="F196" s="1212"/>
      <c r="G196" s="1212"/>
      <c r="H196" s="1212"/>
      <c r="I196" s="1212"/>
      <c r="J196" s="1208" t="s">
        <v>29</v>
      </c>
      <c r="K196" s="1213" t="s">
        <v>306</v>
      </c>
      <c r="L196" s="1215" t="str">
        <f>L182</f>
        <v>REMARKS</v>
      </c>
    </row>
    <row r="197" spans="1:12" s="1" customFormat="1" ht="21" customHeight="1" thickBot="1" x14ac:dyDescent="0.4">
      <c r="A197" s="1207"/>
      <c r="B197" s="1209"/>
      <c r="C197" s="1211"/>
      <c r="D197" s="614"/>
      <c r="E197" s="7" t="s">
        <v>308</v>
      </c>
      <c r="F197" s="7" t="s">
        <v>309</v>
      </c>
      <c r="G197" s="7" t="s">
        <v>310</v>
      </c>
      <c r="H197" s="7" t="s">
        <v>311</v>
      </c>
      <c r="I197" s="7" t="s">
        <v>312</v>
      </c>
      <c r="J197" s="1209"/>
      <c r="K197" s="1214"/>
      <c r="L197" s="1216"/>
    </row>
    <row r="198" spans="1:12" s="16" customFormat="1" x14ac:dyDescent="0.35">
      <c r="A198" s="589">
        <v>149</v>
      </c>
      <c r="B198" s="24" t="s">
        <v>496</v>
      </c>
      <c r="C198" s="15">
        <f>'inventory2019(REVISED)'!C235</f>
        <v>5.01</v>
      </c>
      <c r="D198" s="615">
        <f>'[23]road inventory 2018'!C233</f>
        <v>5</v>
      </c>
      <c r="E198" s="15">
        <v>0.79</v>
      </c>
      <c r="F198" s="15">
        <v>0</v>
      </c>
      <c r="G198" s="15">
        <v>0</v>
      </c>
      <c r="H198" s="15">
        <v>4.22</v>
      </c>
      <c r="I198" s="15">
        <v>0</v>
      </c>
      <c r="J198" s="106" t="s">
        <v>12</v>
      </c>
      <c r="K198" s="591" t="s">
        <v>497</v>
      </c>
      <c r="L198" s="24"/>
    </row>
    <row r="199" spans="1:12" s="16" customFormat="1" ht="18" customHeight="1" x14ac:dyDescent="0.35">
      <c r="A199" s="589">
        <v>151</v>
      </c>
      <c r="B199" s="24" t="s">
        <v>499</v>
      </c>
      <c r="C199" s="15">
        <f>'inventory2019(REVISED)'!C237</f>
        <v>3.99</v>
      </c>
      <c r="D199" s="615">
        <f>'[23]road inventory 2018'!C235</f>
        <v>4</v>
      </c>
      <c r="E199" s="15">
        <v>0</v>
      </c>
      <c r="F199" s="15">
        <v>0</v>
      </c>
      <c r="G199" s="15">
        <v>0</v>
      </c>
      <c r="H199" s="15">
        <v>3.99</v>
      </c>
      <c r="I199" s="15">
        <v>0</v>
      </c>
      <c r="J199" s="106" t="s">
        <v>12</v>
      </c>
      <c r="K199" s="591" t="s">
        <v>500</v>
      </c>
      <c r="L199" s="24"/>
    </row>
    <row r="200" spans="1:12" ht="21" customHeight="1" x14ac:dyDescent="0.35">
      <c r="A200" s="635"/>
      <c r="B200" s="40"/>
      <c r="C200" s="41">
        <f t="shared" ref="C200:I200" si="10">SUM(C198:C199)</f>
        <v>9</v>
      </c>
      <c r="D200" s="41">
        <f t="shared" si="10"/>
        <v>9</v>
      </c>
      <c r="E200" s="41">
        <f t="shared" si="10"/>
        <v>0.79</v>
      </c>
      <c r="F200" s="41">
        <f t="shared" si="10"/>
        <v>0</v>
      </c>
      <c r="G200" s="41">
        <f t="shared" si="10"/>
        <v>0</v>
      </c>
      <c r="H200" s="41">
        <f t="shared" si="10"/>
        <v>8.2100000000000009</v>
      </c>
      <c r="I200" s="41">
        <f t="shared" si="10"/>
        <v>0</v>
      </c>
      <c r="J200" s="109"/>
      <c r="K200" s="605"/>
      <c r="L200" s="28"/>
    </row>
    <row r="201" spans="1:12" ht="18" customHeight="1" thickBot="1" x14ac:dyDescent="0.4">
      <c r="A201" s="53" t="s">
        <v>341</v>
      </c>
      <c r="B201" s="34"/>
      <c r="C201" s="31">
        <f>SUM(C198:C199)</f>
        <v>9</v>
      </c>
      <c r="D201" s="630"/>
      <c r="E201" s="31">
        <f>SUM(E198:E199)</f>
        <v>0.79</v>
      </c>
      <c r="F201" s="31">
        <f>SUM(F198:F199)</f>
        <v>0</v>
      </c>
      <c r="G201" s="31">
        <f>SUM(G198:G199)</f>
        <v>0</v>
      </c>
      <c r="H201" s="31">
        <f>SUM(H198:H199)</f>
        <v>8.2100000000000009</v>
      </c>
      <c r="I201" s="31">
        <f>SUM(I198:I199)</f>
        <v>0</v>
      </c>
      <c r="J201" s="608"/>
      <c r="K201" s="609"/>
      <c r="L201" s="653"/>
    </row>
    <row r="202" spans="1:12" ht="18" customHeight="1" thickBot="1" x14ac:dyDescent="0.4">
      <c r="L202" s="28"/>
    </row>
    <row r="203" spans="1:12" s="1" customFormat="1" x14ac:dyDescent="0.35">
      <c r="A203" s="1217" t="s">
        <v>501</v>
      </c>
      <c r="B203" s="1218"/>
      <c r="C203" s="1218"/>
      <c r="D203" s="1218"/>
      <c r="E203" s="1218"/>
      <c r="F203" s="1218"/>
      <c r="G203" s="1218"/>
      <c r="H203" s="1218"/>
      <c r="I203" s="1218"/>
      <c r="J203" s="1218"/>
      <c r="K203" s="1218"/>
      <c r="L203" s="668"/>
    </row>
    <row r="204" spans="1:12" s="1" customFormat="1" ht="16" thickBot="1" x14ac:dyDescent="0.4">
      <c r="A204" s="585"/>
      <c r="B204" s="2"/>
      <c r="C204" s="5"/>
      <c r="D204" s="586"/>
      <c r="E204" s="5"/>
      <c r="F204" s="5"/>
      <c r="G204" s="5"/>
      <c r="H204" s="5"/>
      <c r="I204" s="5"/>
      <c r="J204" s="3"/>
      <c r="K204" s="21"/>
      <c r="L204" s="653"/>
    </row>
    <row r="205" spans="1:12" s="1" customFormat="1" ht="21" customHeight="1" x14ac:dyDescent="0.35">
      <c r="A205" s="1206" t="s">
        <v>302</v>
      </c>
      <c r="B205" s="1208" t="s">
        <v>28</v>
      </c>
      <c r="C205" s="1210" t="s">
        <v>343</v>
      </c>
      <c r="D205" s="613"/>
      <c r="E205" s="1212" t="s">
        <v>305</v>
      </c>
      <c r="F205" s="1212"/>
      <c r="G205" s="1212"/>
      <c r="H205" s="1212"/>
      <c r="I205" s="1212"/>
      <c r="J205" s="1208" t="s">
        <v>29</v>
      </c>
      <c r="K205" s="1213" t="s">
        <v>306</v>
      </c>
      <c r="L205" s="1215" t="str">
        <f>L196</f>
        <v>REMARKS</v>
      </c>
    </row>
    <row r="206" spans="1:12" s="1" customFormat="1" ht="21" customHeight="1" thickBot="1" x14ac:dyDescent="0.4">
      <c r="A206" s="1207"/>
      <c r="B206" s="1209"/>
      <c r="C206" s="1211"/>
      <c r="D206" s="614"/>
      <c r="E206" s="7" t="s">
        <v>308</v>
      </c>
      <c r="F206" s="7" t="s">
        <v>309</v>
      </c>
      <c r="G206" s="7" t="s">
        <v>310</v>
      </c>
      <c r="H206" s="7" t="s">
        <v>311</v>
      </c>
      <c r="I206" s="7" t="s">
        <v>312</v>
      </c>
      <c r="J206" s="1209"/>
      <c r="K206" s="1214"/>
      <c r="L206" s="1216"/>
    </row>
    <row r="207" spans="1:12" s="677" customFormat="1" ht="18" customHeight="1" x14ac:dyDescent="0.35">
      <c r="A207" s="669">
        <v>153</v>
      </c>
      <c r="B207" s="107" t="s">
        <v>121</v>
      </c>
      <c r="C207" s="670">
        <f>'inventory2019(REVISED)'!C246</f>
        <v>11</v>
      </c>
      <c r="D207" s="671">
        <f>'[23]road inventory 2018'!C243</f>
        <v>11</v>
      </c>
      <c r="E207" s="670">
        <v>1.96</v>
      </c>
      <c r="F207" s="670">
        <f>[24]CARRIAGEWAY!$X$360</f>
        <v>0</v>
      </c>
      <c r="G207" s="670">
        <f>[24]CARRIAGEWAY!$Z$360</f>
        <v>0</v>
      </c>
      <c r="H207" s="672">
        <v>9.0399999999999991</v>
      </c>
      <c r="I207" s="670">
        <v>0</v>
      </c>
      <c r="J207" s="673" t="str">
        <f>[24]CARRIAGEWAY!$Z$361</f>
        <v>FAIR</v>
      </c>
      <c r="K207" s="674" t="s">
        <v>502</v>
      </c>
      <c r="L207" s="107"/>
    </row>
    <row r="208" spans="1:12" s="16" customFormat="1" ht="18" customHeight="1" x14ac:dyDescent="0.35">
      <c r="A208" s="589">
        <v>125</v>
      </c>
      <c r="B208" s="24" t="s">
        <v>125</v>
      </c>
      <c r="C208" s="670">
        <f>'inventory2019(REVISED)'!C247</f>
        <v>2.9</v>
      </c>
      <c r="D208" s="671">
        <f>'[23]road inventory 2018'!C244</f>
        <v>2.9</v>
      </c>
      <c r="E208" s="15">
        <v>0</v>
      </c>
      <c r="F208" s="15">
        <v>0</v>
      </c>
      <c r="G208" s="15">
        <v>0</v>
      </c>
      <c r="H208" s="70">
        <v>2.9</v>
      </c>
      <c r="I208" s="15">
        <v>0</v>
      </c>
      <c r="J208" s="106" t="s">
        <v>12</v>
      </c>
      <c r="K208" s="591" t="s">
        <v>502</v>
      </c>
      <c r="L208" s="24"/>
    </row>
    <row r="209" spans="1:12" s="16" customFormat="1" ht="18" customHeight="1" x14ac:dyDescent="0.35">
      <c r="A209" s="589">
        <v>154</v>
      </c>
      <c r="B209" s="24" t="s">
        <v>127</v>
      </c>
      <c r="C209" s="670">
        <f>'inventory2019(REVISED)'!C248</f>
        <v>7</v>
      </c>
      <c r="D209" s="671">
        <f>'[23]road inventory 2018'!C245</f>
        <v>7</v>
      </c>
      <c r="E209" s="15">
        <v>0</v>
      </c>
      <c r="F209" s="15">
        <v>0</v>
      </c>
      <c r="G209" s="15">
        <v>0</v>
      </c>
      <c r="H209" s="70">
        <v>7</v>
      </c>
      <c r="I209" s="15">
        <v>0</v>
      </c>
      <c r="J209" s="106" t="s">
        <v>12</v>
      </c>
      <c r="K209" s="591" t="s">
        <v>503</v>
      </c>
      <c r="L209" s="24"/>
    </row>
    <row r="210" spans="1:12" s="16" customFormat="1" x14ac:dyDescent="0.35">
      <c r="A210" s="589">
        <v>127</v>
      </c>
      <c r="B210" s="24" t="s">
        <v>504</v>
      </c>
      <c r="C210" s="670">
        <f>'inventory2019(REVISED)'!C249</f>
        <v>2.7</v>
      </c>
      <c r="D210" s="590">
        <f>'[23]road inventory 2018'!C249</f>
        <v>2.7</v>
      </c>
      <c r="E210" s="15">
        <v>0</v>
      </c>
      <c r="F210" s="15">
        <v>0</v>
      </c>
      <c r="G210" s="15">
        <v>0</v>
      </c>
      <c r="H210" s="70">
        <v>2.7</v>
      </c>
      <c r="I210" s="15">
        <v>0</v>
      </c>
      <c r="J210" s="106" t="s">
        <v>12</v>
      </c>
      <c r="K210" s="591" t="s">
        <v>505</v>
      </c>
      <c r="L210" s="24"/>
    </row>
    <row r="211" spans="1:12" x14ac:dyDescent="0.35">
      <c r="A211" s="596">
        <v>128</v>
      </c>
      <c r="B211" s="28" t="s">
        <v>507</v>
      </c>
      <c r="C211" s="670">
        <f>'inventory2019(REVISED)'!C250</f>
        <v>2.2999999999999998</v>
      </c>
      <c r="D211" s="590">
        <f>'[23]road inventory 2018'!C250</f>
        <v>2.3000000000000003</v>
      </c>
      <c r="E211" s="10">
        <v>2.2999999999999998</v>
      </c>
      <c r="F211" s="10">
        <v>0</v>
      </c>
      <c r="G211" s="10">
        <v>0</v>
      </c>
      <c r="H211" s="678">
        <v>0</v>
      </c>
      <c r="I211" s="10">
        <v>0</v>
      </c>
      <c r="J211" s="103" t="s">
        <v>10</v>
      </c>
      <c r="K211" s="597" t="s">
        <v>508</v>
      </c>
      <c r="L211" s="28"/>
    </row>
    <row r="212" spans="1:12" s="16" customFormat="1" ht="18" customHeight="1" x14ac:dyDescent="0.35">
      <c r="A212" s="589">
        <v>156</v>
      </c>
      <c r="B212" s="24" t="s">
        <v>130</v>
      </c>
      <c r="C212" s="670">
        <f>'inventory2019(REVISED)'!C253</f>
        <v>20</v>
      </c>
      <c r="D212" s="590">
        <f>'[23]road inventory 2018'!C253</f>
        <v>20</v>
      </c>
      <c r="E212" s="15">
        <v>8.5299999999999994</v>
      </c>
      <c r="F212" s="15">
        <v>0</v>
      </c>
      <c r="G212" s="15">
        <v>0</v>
      </c>
      <c r="H212" s="70">
        <v>11.47</v>
      </c>
      <c r="I212" s="15">
        <v>0</v>
      </c>
      <c r="J212" s="106" t="s">
        <v>10</v>
      </c>
      <c r="K212" s="591" t="s">
        <v>514</v>
      </c>
      <c r="L212" s="24"/>
    </row>
    <row r="213" spans="1:12" ht="18" customHeight="1" x14ac:dyDescent="0.35">
      <c r="A213" s="596">
        <v>157</v>
      </c>
      <c r="B213" s="28" t="s">
        <v>515</v>
      </c>
      <c r="C213" s="670">
        <f>'inventory2019(REVISED)'!C254</f>
        <v>7.5550000000000006</v>
      </c>
      <c r="D213" s="10">
        <f>'[23]road inventory 2018'!C254</f>
        <v>8.6999999999999993</v>
      </c>
      <c r="E213" s="10">
        <v>0</v>
      </c>
      <c r="F213" s="10">
        <v>0</v>
      </c>
      <c r="G213" s="10">
        <v>0</v>
      </c>
      <c r="H213" s="678">
        <v>0</v>
      </c>
      <c r="I213" s="10">
        <v>0</v>
      </c>
      <c r="J213" s="103" t="s">
        <v>12</v>
      </c>
      <c r="K213" s="597"/>
      <c r="L213" s="28" t="s">
        <v>837</v>
      </c>
    </row>
    <row r="214" spans="1:12" s="16" customFormat="1" ht="18" customHeight="1" x14ac:dyDescent="0.35">
      <c r="A214" s="589">
        <v>131</v>
      </c>
      <c r="B214" s="24" t="s">
        <v>523</v>
      </c>
      <c r="C214" s="670">
        <f>'inventory2019(REVISED)'!C258</f>
        <v>5.1999999999999993</v>
      </c>
      <c r="D214" s="590">
        <f>'[23]road inventory 2018'!C258</f>
        <v>5.2</v>
      </c>
      <c r="E214" s="15">
        <v>2.0099999999999998</v>
      </c>
      <c r="F214" s="15">
        <v>0</v>
      </c>
      <c r="G214" s="15">
        <v>0</v>
      </c>
      <c r="H214" s="70">
        <v>3.19</v>
      </c>
      <c r="I214" s="15">
        <v>0</v>
      </c>
      <c r="J214" s="106" t="s">
        <v>12</v>
      </c>
      <c r="K214" s="591"/>
      <c r="L214" s="24"/>
    </row>
    <row r="215" spans="1:12" s="16" customFormat="1" ht="18" customHeight="1" x14ac:dyDescent="0.35">
      <c r="A215" s="589">
        <v>135</v>
      </c>
      <c r="B215" s="24" t="s">
        <v>139</v>
      </c>
      <c r="C215" s="670">
        <f>'inventory2019(REVISED)'!C259</f>
        <v>4.4000000000000004</v>
      </c>
      <c r="D215" s="590">
        <f>'[23]road inventory 2018'!C259</f>
        <v>4.4000000000000004</v>
      </c>
      <c r="E215" s="15">
        <v>0</v>
      </c>
      <c r="F215" s="15">
        <v>0</v>
      </c>
      <c r="G215" s="15">
        <v>0</v>
      </c>
      <c r="H215" s="70">
        <v>4.4000000000000004</v>
      </c>
      <c r="I215" s="15">
        <v>0</v>
      </c>
      <c r="J215" s="106" t="s">
        <v>12</v>
      </c>
      <c r="K215" s="591" t="s">
        <v>525</v>
      </c>
      <c r="L215" s="24"/>
    </row>
    <row r="216" spans="1:12" s="16" customFormat="1" ht="16.5" customHeight="1" x14ac:dyDescent="0.35">
      <c r="A216" s="626"/>
      <c r="B216" s="60"/>
      <c r="C216" s="670">
        <f>SUM(E216:I216)</f>
        <v>55.499999999999993</v>
      </c>
      <c r="D216" s="61">
        <f t="shared" ref="D216:I216" si="11">SUM(D207:D215)</f>
        <v>64.2</v>
      </c>
      <c r="E216" s="61">
        <f t="shared" si="11"/>
        <v>14.799999999999999</v>
      </c>
      <c r="F216" s="61">
        <f t="shared" si="11"/>
        <v>0</v>
      </c>
      <c r="G216" s="61">
        <f t="shared" si="11"/>
        <v>0</v>
      </c>
      <c r="H216" s="61">
        <f t="shared" si="11"/>
        <v>40.699999999999996</v>
      </c>
      <c r="I216" s="61">
        <f t="shared" si="11"/>
        <v>0</v>
      </c>
      <c r="J216" s="628"/>
      <c r="K216" s="629"/>
      <c r="L216" s="24"/>
    </row>
    <row r="217" spans="1:12" ht="18" customHeight="1" thickBot="1" x14ac:dyDescent="0.4">
      <c r="A217" s="53" t="s">
        <v>341</v>
      </c>
      <c r="B217" s="34"/>
      <c r="C217" s="31">
        <f>SUM(E217:I217)</f>
        <v>55.499999999999993</v>
      </c>
      <c r="D217" s="630"/>
      <c r="E217" s="31">
        <f>SUM(E207:E215)</f>
        <v>14.799999999999999</v>
      </c>
      <c r="F217" s="31">
        <f>SUM(F207:F215)</f>
        <v>0</v>
      </c>
      <c r="G217" s="31">
        <f>SUM(G207:G215)</f>
        <v>0</v>
      </c>
      <c r="H217" s="31">
        <f>SUM(H207:H215)</f>
        <v>40.699999999999996</v>
      </c>
      <c r="I217" s="31">
        <f>SUM(I207:I215)</f>
        <v>0</v>
      </c>
      <c r="J217" s="608"/>
      <c r="K217" s="609"/>
      <c r="L217" s="653"/>
    </row>
    <row r="218" spans="1:12" ht="18" customHeight="1" thickBot="1" x14ac:dyDescent="0.4">
      <c r="L218" s="40"/>
    </row>
    <row r="219" spans="1:12" s="1" customFormat="1" x14ac:dyDescent="0.35">
      <c r="A219" s="1217" t="s">
        <v>526</v>
      </c>
      <c r="B219" s="1218"/>
      <c r="C219" s="1218"/>
      <c r="D219" s="1218"/>
      <c r="E219" s="1218"/>
      <c r="F219" s="1218"/>
      <c r="G219" s="1218"/>
      <c r="H219" s="1218"/>
      <c r="I219" s="1218"/>
      <c r="J219" s="1218"/>
      <c r="K219" s="1218"/>
      <c r="L219" s="1219"/>
    </row>
    <row r="220" spans="1:12" s="1" customFormat="1" ht="16" thickBot="1" x14ac:dyDescent="0.4">
      <c r="A220" s="585"/>
      <c r="B220" s="2"/>
      <c r="C220" s="5"/>
      <c r="D220" s="586"/>
      <c r="E220" s="5"/>
      <c r="F220" s="5"/>
      <c r="G220" s="5"/>
      <c r="H220" s="5"/>
      <c r="I220" s="5"/>
      <c r="J220" s="3"/>
      <c r="K220" s="21"/>
      <c r="L220" s="18"/>
    </row>
    <row r="221" spans="1:12" s="1" customFormat="1" ht="21" customHeight="1" x14ac:dyDescent="0.35">
      <c r="A221" s="1206" t="s">
        <v>302</v>
      </c>
      <c r="B221" s="1208" t="s">
        <v>28</v>
      </c>
      <c r="C221" s="1210" t="s">
        <v>343</v>
      </c>
      <c r="D221" s="613"/>
      <c r="E221" s="1212" t="s">
        <v>305</v>
      </c>
      <c r="F221" s="1212"/>
      <c r="G221" s="1212"/>
      <c r="H221" s="1212"/>
      <c r="I221" s="1212"/>
      <c r="J221" s="1208" t="s">
        <v>29</v>
      </c>
      <c r="K221" s="1213" t="s">
        <v>306</v>
      </c>
      <c r="L221" s="1220" t="s">
        <v>307</v>
      </c>
    </row>
    <row r="222" spans="1:12" s="1" customFormat="1" ht="21" customHeight="1" thickBot="1" x14ac:dyDescent="0.4">
      <c r="A222" s="1207"/>
      <c r="B222" s="1209"/>
      <c r="C222" s="1211"/>
      <c r="D222" s="614"/>
      <c r="E222" s="7" t="s">
        <v>308</v>
      </c>
      <c r="F222" s="7" t="s">
        <v>309</v>
      </c>
      <c r="G222" s="7" t="s">
        <v>310</v>
      </c>
      <c r="H222" s="7" t="s">
        <v>311</v>
      </c>
      <c r="I222" s="7" t="s">
        <v>312</v>
      </c>
      <c r="J222" s="1209"/>
      <c r="K222" s="1214"/>
      <c r="L222" s="1221"/>
    </row>
    <row r="223" spans="1:12" s="16" customFormat="1" ht="18" customHeight="1" x14ac:dyDescent="0.35">
      <c r="A223" s="589">
        <v>161</v>
      </c>
      <c r="B223" s="24" t="s">
        <v>529</v>
      </c>
      <c r="C223" s="15">
        <f>'inventory2019(REVISED)'!C268</f>
        <v>1.8</v>
      </c>
      <c r="D223" s="590">
        <f>'[23]road inventory 2018'!C267</f>
        <v>1.8</v>
      </c>
      <c r="E223" s="15">
        <v>1.8</v>
      </c>
      <c r="F223" s="15">
        <v>0</v>
      </c>
      <c r="G223" s="15">
        <v>0</v>
      </c>
      <c r="H223" s="15">
        <v>0</v>
      </c>
      <c r="I223" s="15">
        <v>0</v>
      </c>
      <c r="J223" s="106" t="s">
        <v>12</v>
      </c>
      <c r="K223" s="591" t="s">
        <v>528</v>
      </c>
      <c r="L223" s="24"/>
    </row>
    <row r="224" spans="1:12" s="16" customFormat="1" ht="18" customHeight="1" x14ac:dyDescent="0.35">
      <c r="A224" s="589">
        <v>166</v>
      </c>
      <c r="B224" s="24" t="s">
        <v>538</v>
      </c>
      <c r="C224" s="15">
        <f>'inventory2019(REVISED)'!C273</f>
        <v>2.8</v>
      </c>
      <c r="D224" s="590">
        <f>'[23]road inventory 2018'!C272</f>
        <v>2.8</v>
      </c>
      <c r="E224" s="15">
        <v>0</v>
      </c>
      <c r="F224" s="15">
        <v>0</v>
      </c>
      <c r="G224" s="15">
        <v>0</v>
      </c>
      <c r="H224" s="15">
        <v>2.8</v>
      </c>
      <c r="I224" s="15">
        <v>0</v>
      </c>
      <c r="J224" s="106" t="s">
        <v>12</v>
      </c>
      <c r="K224" s="591" t="s">
        <v>539</v>
      </c>
      <c r="L224" s="24"/>
    </row>
    <row r="225" spans="1:12" ht="18" customHeight="1" x14ac:dyDescent="0.35">
      <c r="A225" s="596">
        <v>167</v>
      </c>
      <c r="B225" s="28" t="s">
        <v>540</v>
      </c>
      <c r="C225" s="15">
        <f>'inventory2019(REVISED)'!C274</f>
        <v>5.5</v>
      </c>
      <c r="D225" s="590">
        <f>'[23]road inventory 2018'!C273</f>
        <v>5.5</v>
      </c>
      <c r="E225" s="10">
        <v>0</v>
      </c>
      <c r="F225" s="10">
        <v>0</v>
      </c>
      <c r="G225" s="10">
        <v>0</v>
      </c>
      <c r="H225" s="10">
        <v>5.5</v>
      </c>
      <c r="I225" s="10">
        <v>0</v>
      </c>
      <c r="J225" s="103" t="s">
        <v>12</v>
      </c>
      <c r="K225" s="597" t="s">
        <v>541</v>
      </c>
      <c r="L225" s="28"/>
    </row>
    <row r="226" spans="1:12" ht="15.75" customHeight="1" x14ac:dyDescent="0.35">
      <c r="A226" s="635"/>
      <c r="B226" s="40"/>
      <c r="C226" s="15">
        <f>SUM(E226:I226)</f>
        <v>10.100000000000001</v>
      </c>
      <c r="D226" s="41">
        <f t="shared" ref="D226:I226" si="12">SUM(D223:D225)</f>
        <v>10.1</v>
      </c>
      <c r="E226" s="41">
        <f t="shared" si="12"/>
        <v>1.8</v>
      </c>
      <c r="F226" s="41">
        <f t="shared" si="12"/>
        <v>0</v>
      </c>
      <c r="G226" s="41">
        <f t="shared" si="12"/>
        <v>0</v>
      </c>
      <c r="H226" s="41">
        <f t="shared" si="12"/>
        <v>8.3000000000000007</v>
      </c>
      <c r="I226" s="41">
        <f t="shared" si="12"/>
        <v>0</v>
      </c>
      <c r="J226" s="109"/>
      <c r="K226" s="605"/>
      <c r="L226" s="28"/>
    </row>
    <row r="227" spans="1:12" ht="18" customHeight="1" thickBot="1" x14ac:dyDescent="0.4">
      <c r="A227" s="53" t="s">
        <v>341</v>
      </c>
      <c r="B227" s="34"/>
      <c r="C227" s="31">
        <f>SUM(E227:I227)</f>
        <v>10.100000000000001</v>
      </c>
      <c r="D227" s="630"/>
      <c r="E227" s="31">
        <f>SUM(E223:E225)</f>
        <v>1.8</v>
      </c>
      <c r="F227" s="31">
        <f>SUM(F223:F225)</f>
        <v>0</v>
      </c>
      <c r="G227" s="31">
        <f>SUM(G223:G225)</f>
        <v>0</v>
      </c>
      <c r="H227" s="31">
        <f>SUM(H223:H225)</f>
        <v>8.3000000000000007</v>
      </c>
      <c r="I227" s="31">
        <f>SUM(I223:I225)</f>
        <v>0</v>
      </c>
      <c r="J227" s="608"/>
      <c r="K227" s="609"/>
      <c r="L227" s="653"/>
    </row>
    <row r="228" spans="1:12" ht="18" customHeight="1" thickBot="1" x14ac:dyDescent="0.4">
      <c r="L228" s="40"/>
    </row>
    <row r="229" spans="1:12" s="1" customFormat="1" x14ac:dyDescent="0.35">
      <c r="A229" s="1217" t="s">
        <v>547</v>
      </c>
      <c r="B229" s="1218"/>
      <c r="C229" s="1218"/>
      <c r="D229" s="1218"/>
      <c r="E229" s="1218"/>
      <c r="F229" s="1218"/>
      <c r="G229" s="1218"/>
      <c r="H229" s="1218"/>
      <c r="I229" s="1218"/>
      <c r="J229" s="1218"/>
      <c r="K229" s="1218"/>
      <c r="L229" s="684"/>
    </row>
    <row r="230" spans="1:12" s="1" customFormat="1" ht="16" thickBot="1" x14ac:dyDescent="0.4">
      <c r="A230" s="585"/>
      <c r="B230" s="2"/>
      <c r="C230" s="5"/>
      <c r="D230" s="586"/>
      <c r="E230" s="5"/>
      <c r="F230" s="5"/>
      <c r="G230" s="5"/>
      <c r="H230" s="5"/>
      <c r="I230" s="5"/>
      <c r="J230" s="3"/>
      <c r="K230" s="21"/>
      <c r="L230" s="97"/>
    </row>
    <row r="231" spans="1:12" s="1" customFormat="1" ht="21" customHeight="1" x14ac:dyDescent="0.35">
      <c r="A231" s="1206" t="s">
        <v>302</v>
      </c>
      <c r="B231" s="1208" t="s">
        <v>28</v>
      </c>
      <c r="C231" s="1210" t="s">
        <v>343</v>
      </c>
      <c r="D231" s="613"/>
      <c r="E231" s="1212" t="s">
        <v>305</v>
      </c>
      <c r="F231" s="1212"/>
      <c r="G231" s="1212"/>
      <c r="H231" s="1212"/>
      <c r="I231" s="1212"/>
      <c r="J231" s="1208" t="s">
        <v>29</v>
      </c>
      <c r="K231" s="1213" t="s">
        <v>306</v>
      </c>
      <c r="L231" s="1222" t="s">
        <v>307</v>
      </c>
    </row>
    <row r="232" spans="1:12" s="1" customFormat="1" ht="21" customHeight="1" thickBot="1" x14ac:dyDescent="0.4">
      <c r="A232" s="1207"/>
      <c r="B232" s="1209"/>
      <c r="C232" s="1211"/>
      <c r="D232" s="614"/>
      <c r="E232" s="7" t="s">
        <v>308</v>
      </c>
      <c r="F232" s="7" t="s">
        <v>309</v>
      </c>
      <c r="G232" s="7" t="s">
        <v>310</v>
      </c>
      <c r="H232" s="7" t="s">
        <v>311</v>
      </c>
      <c r="I232" s="7" t="s">
        <v>312</v>
      </c>
      <c r="J232" s="1209"/>
      <c r="K232" s="1214"/>
      <c r="L232" s="1223"/>
    </row>
    <row r="233" spans="1:12" ht="28.5" customHeight="1" x14ac:dyDescent="0.35">
      <c r="A233" s="596">
        <v>196</v>
      </c>
      <c r="B233" s="28" t="s">
        <v>548</v>
      </c>
      <c r="C233" s="10">
        <f>'inventory2019(REVISED)'!C285</f>
        <v>12.69</v>
      </c>
      <c r="D233" s="10">
        <f>'[23]road inventory 2018'!C283</f>
        <v>12.700000000000001</v>
      </c>
      <c r="E233" s="10">
        <v>8.1999999999999993</v>
      </c>
      <c r="F233" s="10">
        <v>0</v>
      </c>
      <c r="G233" s="10">
        <v>0</v>
      </c>
      <c r="H233" s="10">
        <v>4.49</v>
      </c>
      <c r="I233" s="10">
        <v>0</v>
      </c>
      <c r="J233" s="103" t="s">
        <v>12</v>
      </c>
      <c r="K233" s="597" t="s">
        <v>549</v>
      </c>
      <c r="L233" s="112" t="s">
        <v>838</v>
      </c>
    </row>
    <row r="234" spans="1:12" s="16" customFormat="1" ht="18" customHeight="1" x14ac:dyDescent="0.35">
      <c r="A234" s="589">
        <v>197</v>
      </c>
      <c r="B234" s="24" t="s">
        <v>550</v>
      </c>
      <c r="C234" s="10">
        <f>'inventory2019(REVISED)'!C286</f>
        <v>4.9400000000000004</v>
      </c>
      <c r="D234" s="590">
        <f>'[23]road inventory 2018'!C284</f>
        <v>6.6</v>
      </c>
      <c r="E234" s="15">
        <v>4.9400000000000004</v>
      </c>
      <c r="F234" s="15">
        <v>0</v>
      </c>
      <c r="G234" s="15">
        <v>0</v>
      </c>
      <c r="H234" s="15">
        <v>0</v>
      </c>
      <c r="I234" s="15">
        <v>0</v>
      </c>
      <c r="J234" s="106" t="s">
        <v>12</v>
      </c>
      <c r="K234" s="591" t="s">
        <v>551</v>
      </c>
      <c r="L234" s="24"/>
    </row>
    <row r="235" spans="1:12" s="16" customFormat="1" ht="18" customHeight="1" x14ac:dyDescent="0.35">
      <c r="A235" s="589">
        <v>200</v>
      </c>
      <c r="B235" s="24" t="s">
        <v>291</v>
      </c>
      <c r="C235" s="10">
        <f>'inventory2019(REVISED)'!C288</f>
        <v>1.1000000000000001</v>
      </c>
      <c r="D235" s="590">
        <f>'[23]road inventory 2018'!C286</f>
        <v>1.1000000000000001</v>
      </c>
      <c r="E235" s="15">
        <v>1.1000000000000001</v>
      </c>
      <c r="F235" s="15">
        <v>0</v>
      </c>
      <c r="G235" s="15">
        <v>0</v>
      </c>
      <c r="H235" s="15">
        <v>0</v>
      </c>
      <c r="I235" s="15">
        <v>0</v>
      </c>
      <c r="J235" s="106" t="s">
        <v>10</v>
      </c>
      <c r="K235" s="591" t="s">
        <v>554</v>
      </c>
      <c r="L235" s="24"/>
    </row>
    <row r="236" spans="1:12" ht="18" customHeight="1" x14ac:dyDescent="0.35">
      <c r="A236" s="596">
        <v>201</v>
      </c>
      <c r="B236" s="28" t="s">
        <v>555</v>
      </c>
      <c r="C236" s="10">
        <f>'inventory2019(REVISED)'!C289</f>
        <v>4.97</v>
      </c>
      <c r="D236" s="590">
        <f>'[23]road inventory 2018'!C287</f>
        <v>5.2</v>
      </c>
      <c r="E236" s="10">
        <v>4.97</v>
      </c>
      <c r="F236" s="10">
        <v>0</v>
      </c>
      <c r="G236" s="10">
        <v>0</v>
      </c>
      <c r="H236" s="10">
        <v>0</v>
      </c>
      <c r="I236" s="10">
        <v>0</v>
      </c>
      <c r="J236" s="103" t="s">
        <v>12</v>
      </c>
      <c r="K236" s="597" t="s">
        <v>556</v>
      </c>
      <c r="L236" s="28"/>
    </row>
    <row r="237" spans="1:12" s="16" customFormat="1" ht="18" customHeight="1" x14ac:dyDescent="0.35">
      <c r="A237" s="589">
        <v>203</v>
      </c>
      <c r="B237" s="24" t="s">
        <v>558</v>
      </c>
      <c r="C237" s="10">
        <f>'inventory2019(REVISED)'!C291</f>
        <v>4</v>
      </c>
      <c r="D237" s="590">
        <f>'[23]road inventory 2018'!C289</f>
        <v>3.8</v>
      </c>
      <c r="E237" s="15">
        <v>2.5499999999999998</v>
      </c>
      <c r="F237" s="15">
        <v>1.45</v>
      </c>
      <c r="G237" s="15">
        <v>0</v>
      </c>
      <c r="H237" s="15">
        <v>0</v>
      </c>
      <c r="I237" s="15">
        <v>0</v>
      </c>
      <c r="J237" s="106" t="s">
        <v>839</v>
      </c>
      <c r="K237" s="591" t="s">
        <v>559</v>
      </c>
      <c r="L237" s="24"/>
    </row>
    <row r="238" spans="1:12" ht="18" customHeight="1" x14ac:dyDescent="0.35">
      <c r="A238" s="596"/>
      <c r="B238" s="28"/>
      <c r="C238" s="10">
        <f t="shared" ref="C238:I238" si="13">SUM(C233:C237)</f>
        <v>27.7</v>
      </c>
      <c r="D238" s="10">
        <f t="shared" si="13"/>
        <v>29.400000000000002</v>
      </c>
      <c r="E238" s="10">
        <f t="shared" si="13"/>
        <v>21.76</v>
      </c>
      <c r="F238" s="10">
        <f t="shared" si="13"/>
        <v>1.45</v>
      </c>
      <c r="G238" s="10">
        <f t="shared" si="13"/>
        <v>0</v>
      </c>
      <c r="H238" s="10">
        <f t="shared" si="13"/>
        <v>4.49</v>
      </c>
      <c r="I238" s="10">
        <f t="shared" si="13"/>
        <v>0</v>
      </c>
      <c r="J238" s="103"/>
      <c r="K238" s="597"/>
      <c r="L238" s="28"/>
    </row>
    <row r="239" spans="1:12" ht="18" customHeight="1" thickBot="1" x14ac:dyDescent="0.4">
      <c r="A239" s="53" t="s">
        <v>341</v>
      </c>
      <c r="B239" s="34"/>
      <c r="C239" s="31">
        <f>SUM(E239:I239)</f>
        <v>27.700000000000003</v>
      </c>
      <c r="D239" s="630"/>
      <c r="E239" s="31">
        <f>SUM(E233:E237)</f>
        <v>21.76</v>
      </c>
      <c r="F239" s="31">
        <f>SUM(F233:F237)</f>
        <v>1.45</v>
      </c>
      <c r="G239" s="31">
        <f>SUM(G233:G237)</f>
        <v>0</v>
      </c>
      <c r="H239" s="31">
        <f>SUM(H233:H237)</f>
        <v>4.49</v>
      </c>
      <c r="I239" s="31">
        <f>SUM(I233:I237)</f>
        <v>0</v>
      </c>
      <c r="J239" s="608"/>
      <c r="K239" s="609"/>
      <c r="L239" s="653"/>
    </row>
    <row r="240" spans="1:12" x14ac:dyDescent="0.35">
      <c r="L240" s="28"/>
    </row>
    <row r="241" spans="1:12" s="1" customFormat="1" x14ac:dyDescent="0.35">
      <c r="A241" s="1203" t="s">
        <v>560</v>
      </c>
      <c r="B241" s="1204"/>
      <c r="C241" s="1204"/>
      <c r="D241" s="1204"/>
      <c r="E241" s="1204"/>
      <c r="F241" s="1204"/>
      <c r="G241" s="1204"/>
      <c r="H241" s="1204"/>
      <c r="I241" s="1204"/>
      <c r="J241" s="1204"/>
      <c r="K241" s="1204"/>
      <c r="L241" s="1205"/>
    </row>
    <row r="242" spans="1:12" s="1" customFormat="1" ht="16" thickBot="1" x14ac:dyDescent="0.4">
      <c r="A242" s="585"/>
      <c r="B242" s="2"/>
      <c r="C242" s="5"/>
      <c r="D242" s="586"/>
      <c r="E242" s="5"/>
      <c r="F242" s="5"/>
      <c r="G242" s="5"/>
      <c r="H242" s="5"/>
      <c r="I242" s="5"/>
      <c r="J242" s="3"/>
      <c r="K242" s="21"/>
      <c r="L242" s="653"/>
    </row>
    <row r="243" spans="1:12" s="1" customFormat="1" ht="21" customHeight="1" x14ac:dyDescent="0.35">
      <c r="A243" s="1206" t="s">
        <v>302</v>
      </c>
      <c r="B243" s="1208" t="s">
        <v>28</v>
      </c>
      <c r="C243" s="1210" t="s">
        <v>343</v>
      </c>
      <c r="D243" s="613"/>
      <c r="E243" s="1212" t="s">
        <v>305</v>
      </c>
      <c r="F243" s="1212"/>
      <c r="G243" s="1212"/>
      <c r="H243" s="1212"/>
      <c r="I243" s="1212"/>
      <c r="J243" s="1208" t="s">
        <v>29</v>
      </c>
      <c r="K243" s="1213" t="s">
        <v>306</v>
      </c>
      <c r="L243" s="1215" t="str">
        <f>L231</f>
        <v>REMARKS</v>
      </c>
    </row>
    <row r="244" spans="1:12" s="1" customFormat="1" ht="21" customHeight="1" thickBot="1" x14ac:dyDescent="0.4">
      <c r="A244" s="1207"/>
      <c r="B244" s="1209"/>
      <c r="C244" s="1211"/>
      <c r="D244" s="614"/>
      <c r="E244" s="7" t="s">
        <v>308</v>
      </c>
      <c r="F244" s="7" t="s">
        <v>309</v>
      </c>
      <c r="G244" s="7" t="s">
        <v>310</v>
      </c>
      <c r="H244" s="7" t="s">
        <v>311</v>
      </c>
      <c r="I244" s="7" t="s">
        <v>312</v>
      </c>
      <c r="J244" s="1209"/>
      <c r="K244" s="1214"/>
      <c r="L244" s="1216"/>
    </row>
    <row r="245" spans="1:12" s="16" customFormat="1" ht="18" customHeight="1" x14ac:dyDescent="0.35">
      <c r="A245" s="589">
        <v>205</v>
      </c>
      <c r="B245" s="24" t="s">
        <v>563</v>
      </c>
      <c r="C245" s="10">
        <f>'inventory2019(REVISED)'!C301</f>
        <v>0.37</v>
      </c>
      <c r="D245" s="615">
        <f>'[23]road inventory 2018'!C299</f>
        <v>0.37</v>
      </c>
      <c r="E245" s="15">
        <v>0.37</v>
      </c>
      <c r="F245" s="15">
        <v>0</v>
      </c>
      <c r="G245" s="15">
        <v>0</v>
      </c>
      <c r="H245" s="15">
        <v>0</v>
      </c>
      <c r="I245" s="15">
        <v>0</v>
      </c>
      <c r="J245" s="106" t="s">
        <v>10</v>
      </c>
      <c r="K245" s="591" t="s">
        <v>564</v>
      </c>
      <c r="L245" s="24"/>
    </row>
    <row r="246" spans="1:12" s="16" customFormat="1" ht="31" x14ac:dyDescent="0.35">
      <c r="A246" s="589">
        <v>213</v>
      </c>
      <c r="B246" s="24" t="s">
        <v>293</v>
      </c>
      <c r="C246" s="10">
        <f>'inventory2019(REVISED)'!C302</f>
        <v>2.8499999999999996</v>
      </c>
      <c r="D246" s="615">
        <f>'[23]road inventory 2018'!C300</f>
        <v>1.8599999999999999</v>
      </c>
      <c r="E246" s="15">
        <v>2.11</v>
      </c>
      <c r="F246" s="15">
        <v>0.74</v>
      </c>
      <c r="G246" s="15">
        <v>0</v>
      </c>
      <c r="H246" s="15">
        <v>0</v>
      </c>
      <c r="I246" s="15">
        <v>0</v>
      </c>
      <c r="J246" s="106" t="s">
        <v>10</v>
      </c>
      <c r="K246" s="591" t="s">
        <v>565</v>
      </c>
      <c r="L246" s="24"/>
    </row>
    <row r="247" spans="1:12" ht="18" customHeight="1" x14ac:dyDescent="0.35">
      <c r="A247" s="596">
        <v>206</v>
      </c>
      <c r="B247" s="28" t="s">
        <v>295</v>
      </c>
      <c r="C247" s="10">
        <f>'inventory2019(REVISED)'!C303</f>
        <v>1.94</v>
      </c>
      <c r="D247" s="615">
        <f>'[23]road inventory 2018'!C301</f>
        <v>2</v>
      </c>
      <c r="E247" s="10">
        <v>1.94</v>
      </c>
      <c r="F247" s="10">
        <v>0</v>
      </c>
      <c r="G247" s="10">
        <v>0</v>
      </c>
      <c r="H247" s="10">
        <v>0</v>
      </c>
      <c r="I247" s="10">
        <v>0</v>
      </c>
      <c r="J247" s="103" t="s">
        <v>10</v>
      </c>
      <c r="K247" s="597" t="s">
        <v>566</v>
      </c>
      <c r="L247" s="28"/>
    </row>
    <row r="248" spans="1:12" ht="31" x14ac:dyDescent="0.35">
      <c r="A248" s="596">
        <v>207</v>
      </c>
      <c r="B248" s="28" t="s">
        <v>292</v>
      </c>
      <c r="C248" s="10">
        <f>'inventory2019(REVISED)'!C304</f>
        <v>2.0099999999999998</v>
      </c>
      <c r="D248" s="615">
        <f>'[23]road inventory 2018'!C302</f>
        <v>3.38</v>
      </c>
      <c r="E248" s="10">
        <v>0</v>
      </c>
      <c r="F248" s="10">
        <v>0</v>
      </c>
      <c r="G248" s="10">
        <v>0</v>
      </c>
      <c r="H248" s="10">
        <v>0</v>
      </c>
      <c r="I248" s="10">
        <v>2.0099999999999998</v>
      </c>
      <c r="J248" s="103" t="s">
        <v>10</v>
      </c>
      <c r="K248" s="597" t="s">
        <v>567</v>
      </c>
      <c r="L248" s="28"/>
    </row>
    <row r="249" spans="1:12" ht="18" customHeight="1" x14ac:dyDescent="0.35">
      <c r="A249" s="596">
        <v>210</v>
      </c>
      <c r="B249" s="28" t="s">
        <v>575</v>
      </c>
      <c r="C249" s="10">
        <f>'inventory2019(REVISED)'!C309</f>
        <v>0.8</v>
      </c>
      <c r="D249" s="10">
        <f>'[23]road inventory 2018'!C310</f>
        <v>0.8</v>
      </c>
      <c r="E249" s="10">
        <v>0.8</v>
      </c>
      <c r="F249" s="10">
        <v>0</v>
      </c>
      <c r="G249" s="10">
        <v>0</v>
      </c>
      <c r="H249" s="10">
        <v>0</v>
      </c>
      <c r="I249" s="10">
        <v>0</v>
      </c>
      <c r="J249" s="103" t="s">
        <v>12</v>
      </c>
      <c r="K249" s="597" t="s">
        <v>576</v>
      </c>
      <c r="L249" s="28"/>
    </row>
    <row r="250" spans="1:12" ht="18" customHeight="1" x14ac:dyDescent="0.35">
      <c r="A250" s="596">
        <v>211</v>
      </c>
      <c r="B250" s="28" t="s">
        <v>577</v>
      </c>
      <c r="C250" s="10">
        <f>'inventory2019(REVISED)'!C310</f>
        <v>0.85</v>
      </c>
      <c r="D250" s="10">
        <f>'[23]road inventory 2018'!C311</f>
        <v>0.7</v>
      </c>
      <c r="E250" s="10">
        <v>0.85</v>
      </c>
      <c r="F250" s="10">
        <v>0</v>
      </c>
      <c r="G250" s="10">
        <v>0</v>
      </c>
      <c r="H250" s="10">
        <v>0</v>
      </c>
      <c r="I250" s="10">
        <v>0</v>
      </c>
      <c r="J250" s="103" t="s">
        <v>10</v>
      </c>
      <c r="K250" s="597" t="s">
        <v>578</v>
      </c>
      <c r="L250" s="28"/>
    </row>
    <row r="251" spans="1:12" s="16" customFormat="1" ht="18" customHeight="1" x14ac:dyDescent="0.35">
      <c r="A251" s="626"/>
      <c r="B251" s="60"/>
      <c r="C251" s="61">
        <f t="shared" ref="C251:I251" si="14">SUM(C245:C250)</f>
        <v>8.82</v>
      </c>
      <c r="D251" s="61">
        <f t="shared" si="14"/>
        <v>9.11</v>
      </c>
      <c r="E251" s="61">
        <f t="shared" si="14"/>
        <v>6.0699999999999994</v>
      </c>
      <c r="F251" s="61">
        <f t="shared" si="14"/>
        <v>0.74</v>
      </c>
      <c r="G251" s="61">
        <f t="shared" si="14"/>
        <v>0</v>
      </c>
      <c r="H251" s="61">
        <f t="shared" si="14"/>
        <v>0</v>
      </c>
      <c r="I251" s="61">
        <f t="shared" si="14"/>
        <v>2.0099999999999998</v>
      </c>
      <c r="J251" s="628"/>
      <c r="K251" s="629"/>
      <c r="L251" s="24"/>
    </row>
    <row r="252" spans="1:12" ht="18" customHeight="1" thickBot="1" x14ac:dyDescent="0.4">
      <c r="A252" s="53" t="s">
        <v>341</v>
      </c>
      <c r="B252" s="34"/>
      <c r="C252" s="31">
        <f>SUM(E252:I252)</f>
        <v>8.82</v>
      </c>
      <c r="D252" s="630"/>
      <c r="E252" s="31">
        <f>SUM(E245:E250)</f>
        <v>6.0699999999999994</v>
      </c>
      <c r="F252" s="31">
        <f>SUM(F245:F250)</f>
        <v>0.74</v>
      </c>
      <c r="G252" s="31">
        <f>SUM(G245:G250)</f>
        <v>0</v>
      </c>
      <c r="H252" s="31">
        <f>SUM(H245:H250)</f>
        <v>0</v>
      </c>
      <c r="I252" s="31">
        <f>SUM(I245:I250)</f>
        <v>2.0099999999999998</v>
      </c>
      <c r="J252" s="608"/>
      <c r="K252" s="609"/>
      <c r="L252" s="653"/>
    </row>
    <row r="253" spans="1:12" ht="18" customHeight="1" x14ac:dyDescent="0.35">
      <c r="L253" s="28"/>
    </row>
    <row r="254" spans="1:12" s="1" customFormat="1" x14ac:dyDescent="0.35">
      <c r="A254" s="1203" t="s">
        <v>579</v>
      </c>
      <c r="B254" s="1204"/>
      <c r="C254" s="1204"/>
      <c r="D254" s="1204"/>
      <c r="E254" s="1204"/>
      <c r="F254" s="1204"/>
      <c r="G254" s="1204"/>
      <c r="H254" s="1204"/>
      <c r="I254" s="1204"/>
      <c r="J254" s="1204"/>
      <c r="K254" s="1204"/>
      <c r="L254" s="1205"/>
    </row>
    <row r="255" spans="1:12" s="1" customFormat="1" ht="16" thickBot="1" x14ac:dyDescent="0.4">
      <c r="A255" s="585"/>
      <c r="B255" s="2"/>
      <c r="C255" s="5"/>
      <c r="D255" s="586"/>
      <c r="E255" s="5"/>
      <c r="F255" s="5"/>
      <c r="G255" s="5"/>
      <c r="H255" s="5"/>
      <c r="I255" s="5"/>
      <c r="J255" s="3"/>
      <c r="K255" s="21"/>
      <c r="L255" s="653"/>
    </row>
    <row r="256" spans="1:12" s="1" customFormat="1" x14ac:dyDescent="0.35">
      <c r="A256" s="1206" t="s">
        <v>302</v>
      </c>
      <c r="B256" s="1208" t="s">
        <v>28</v>
      </c>
      <c r="C256" s="1210" t="s">
        <v>343</v>
      </c>
      <c r="D256" s="613"/>
      <c r="E256" s="1212" t="s">
        <v>305</v>
      </c>
      <c r="F256" s="1212"/>
      <c r="G256" s="1212"/>
      <c r="H256" s="1212"/>
      <c r="I256" s="1212"/>
      <c r="J256" s="1208" t="s">
        <v>29</v>
      </c>
      <c r="K256" s="1213" t="s">
        <v>306</v>
      </c>
      <c r="L256" s="1215" t="str">
        <f>L243</f>
        <v>REMARKS</v>
      </c>
    </row>
    <row r="257" spans="1:13" s="1" customFormat="1" ht="21" customHeight="1" thickBot="1" x14ac:dyDescent="0.4">
      <c r="A257" s="1207"/>
      <c r="B257" s="1209"/>
      <c r="C257" s="1211"/>
      <c r="D257" s="614"/>
      <c r="E257" s="7" t="s">
        <v>308</v>
      </c>
      <c r="F257" s="7" t="s">
        <v>309</v>
      </c>
      <c r="G257" s="7" t="s">
        <v>310</v>
      </c>
      <c r="H257" s="7" t="s">
        <v>311</v>
      </c>
      <c r="I257" s="7" t="s">
        <v>312</v>
      </c>
      <c r="J257" s="1209"/>
      <c r="K257" s="1214"/>
      <c r="L257" s="1216"/>
    </row>
    <row r="258" spans="1:13" ht="18" customHeight="1" x14ac:dyDescent="0.35">
      <c r="A258" s="596">
        <v>214</v>
      </c>
      <c r="B258" s="28" t="s">
        <v>580</v>
      </c>
      <c r="C258" s="10">
        <f>'inventory2019(REVISED)'!C318</f>
        <v>4.5</v>
      </c>
      <c r="D258" s="10">
        <f>'[23]road inventory 2018'!C318</f>
        <v>4.5</v>
      </c>
      <c r="E258" s="633">
        <v>0.7</v>
      </c>
      <c r="F258" s="633">
        <v>0</v>
      </c>
      <c r="G258" s="633">
        <v>0</v>
      </c>
      <c r="H258" s="10">
        <v>3.8</v>
      </c>
      <c r="I258" s="10">
        <v>0</v>
      </c>
      <c r="J258" s="103" t="s">
        <v>12</v>
      </c>
      <c r="K258" s="597" t="s">
        <v>581</v>
      </c>
      <c r="L258" s="28"/>
    </row>
    <row r="259" spans="1:13" ht="18" customHeight="1" x14ac:dyDescent="0.35">
      <c r="A259" s="596">
        <v>212</v>
      </c>
      <c r="B259" s="28" t="s">
        <v>582</v>
      </c>
      <c r="C259" s="10">
        <f>'inventory2019(REVISED)'!C319</f>
        <v>2.75</v>
      </c>
      <c r="D259" s="10">
        <f>'[23]road inventory 2018'!C319</f>
        <v>2.75</v>
      </c>
      <c r="E259" s="633">
        <v>2.6</v>
      </c>
      <c r="F259" s="633">
        <v>0</v>
      </c>
      <c r="G259" s="633">
        <v>0</v>
      </c>
      <c r="H259" s="10">
        <v>0.15</v>
      </c>
      <c r="I259" s="10">
        <v>0</v>
      </c>
      <c r="J259" s="103" t="s">
        <v>12</v>
      </c>
      <c r="K259" s="597" t="s">
        <v>528</v>
      </c>
      <c r="L259" s="28"/>
    </row>
    <row r="260" spans="1:13" s="16" customFormat="1" ht="18" hidden="1" customHeight="1" x14ac:dyDescent="0.35">
      <c r="A260" s="626"/>
      <c r="B260" s="60"/>
      <c r="C260" s="10">
        <f>'inventory2019(REVISED)'!C320</f>
        <v>7.25</v>
      </c>
      <c r="D260" s="61">
        <f t="shared" ref="D260:I260" si="15">SUM(D258:D259)</f>
        <v>7.25</v>
      </c>
      <c r="E260" s="61">
        <f t="shared" si="15"/>
        <v>3.3</v>
      </c>
      <c r="F260" s="61">
        <f t="shared" si="15"/>
        <v>0</v>
      </c>
      <c r="G260" s="61">
        <f t="shared" si="15"/>
        <v>0</v>
      </c>
      <c r="H260" s="61">
        <f t="shared" si="15"/>
        <v>3.9499999999999997</v>
      </c>
      <c r="I260" s="61">
        <f t="shared" si="15"/>
        <v>0</v>
      </c>
      <c r="J260" s="628"/>
      <c r="K260" s="629"/>
      <c r="L260" s="24"/>
    </row>
    <row r="261" spans="1:13" ht="18" customHeight="1" thickBot="1" x14ac:dyDescent="0.4">
      <c r="A261" s="53" t="s">
        <v>341</v>
      </c>
      <c r="B261" s="69"/>
      <c r="C261" s="31">
        <f>SUM(E261:I261)</f>
        <v>7.25</v>
      </c>
      <c r="D261" s="630"/>
      <c r="E261" s="31">
        <f>SUM(E258:E259)</f>
        <v>3.3</v>
      </c>
      <c r="F261" s="31">
        <f>SUM(F258:F259)</f>
        <v>0</v>
      </c>
      <c r="G261" s="31">
        <f>SUM(G258:G259)</f>
        <v>0</v>
      </c>
      <c r="H261" s="31">
        <f>SUM(H258:H259)</f>
        <v>3.9499999999999997</v>
      </c>
      <c r="I261" s="31">
        <f>SUM(I258:I259)</f>
        <v>0</v>
      </c>
      <c r="J261" s="608"/>
      <c r="K261" s="609"/>
      <c r="L261" s="653"/>
    </row>
    <row r="262" spans="1:13" ht="18" customHeight="1" x14ac:dyDescent="0.35">
      <c r="L262" s="28"/>
    </row>
    <row r="263" spans="1:13" s="1" customFormat="1" x14ac:dyDescent="0.35">
      <c r="A263" s="1203" t="s">
        <v>583</v>
      </c>
      <c r="B263" s="1204"/>
      <c r="C263" s="1204"/>
      <c r="D263" s="1204"/>
      <c r="E263" s="1204"/>
      <c r="F263" s="1204"/>
      <c r="G263" s="1204"/>
      <c r="H263" s="1204"/>
      <c r="I263" s="1204"/>
      <c r="J263" s="1204"/>
      <c r="K263" s="1204"/>
      <c r="L263" s="1205"/>
    </row>
    <row r="264" spans="1:13" s="1" customFormat="1" ht="16" thickBot="1" x14ac:dyDescent="0.4">
      <c r="A264" s="585"/>
      <c r="B264" s="2"/>
      <c r="C264" s="5"/>
      <c r="D264" s="586"/>
      <c r="E264" s="5"/>
      <c r="F264" s="5"/>
      <c r="G264" s="5"/>
      <c r="H264" s="5"/>
      <c r="I264" s="5"/>
      <c r="J264" s="3"/>
      <c r="K264" s="21"/>
      <c r="L264" s="653"/>
    </row>
    <row r="265" spans="1:13" s="1" customFormat="1" x14ac:dyDescent="0.35">
      <c r="A265" s="1206" t="s">
        <v>302</v>
      </c>
      <c r="B265" s="1208" t="s">
        <v>28</v>
      </c>
      <c r="C265" s="1210" t="s">
        <v>343</v>
      </c>
      <c r="D265" s="613"/>
      <c r="E265" s="1212" t="s">
        <v>305</v>
      </c>
      <c r="F265" s="1212"/>
      <c r="G265" s="1212"/>
      <c r="H265" s="1212"/>
      <c r="I265" s="1212"/>
      <c r="J265" s="1208" t="s">
        <v>29</v>
      </c>
      <c r="K265" s="1213" t="s">
        <v>306</v>
      </c>
      <c r="L265" s="1215" t="str">
        <f>L256</f>
        <v>REMARKS</v>
      </c>
    </row>
    <row r="266" spans="1:13" s="1" customFormat="1" ht="21" customHeight="1" thickBot="1" x14ac:dyDescent="0.4">
      <c r="A266" s="1207"/>
      <c r="B266" s="1209"/>
      <c r="C266" s="1211"/>
      <c r="D266" s="614"/>
      <c r="E266" s="7" t="s">
        <v>308</v>
      </c>
      <c r="F266" s="7" t="s">
        <v>309</v>
      </c>
      <c r="G266" s="7" t="s">
        <v>310</v>
      </c>
      <c r="H266" s="7" t="s">
        <v>311</v>
      </c>
      <c r="I266" s="7" t="s">
        <v>312</v>
      </c>
      <c r="J266" s="1209"/>
      <c r="K266" s="1214"/>
      <c r="L266" s="1216"/>
    </row>
    <row r="267" spans="1:13" s="697" customFormat="1" ht="18" customHeight="1" x14ac:dyDescent="0.35">
      <c r="A267" s="689">
        <v>173</v>
      </c>
      <c r="B267" s="690" t="s">
        <v>584</v>
      </c>
      <c r="C267" s="691">
        <f>'inventory2019(REVISED)'!C327</f>
        <v>1.04</v>
      </c>
      <c r="D267" s="692">
        <f>'[23]road inventory 2018'!C326</f>
        <v>1.5</v>
      </c>
      <c r="E267" s="691">
        <v>1.04</v>
      </c>
      <c r="F267" s="691">
        <v>0</v>
      </c>
      <c r="G267" s="691">
        <v>0</v>
      </c>
      <c r="H267" s="691">
        <v>0</v>
      </c>
      <c r="I267" s="691">
        <v>0</v>
      </c>
      <c r="J267" s="693" t="s">
        <v>839</v>
      </c>
      <c r="K267" s="694"/>
      <c r="L267" s="690"/>
    </row>
    <row r="268" spans="1:13" s="697" customFormat="1" ht="18" customHeight="1" x14ac:dyDescent="0.35">
      <c r="A268" s="689">
        <v>175</v>
      </c>
      <c r="B268" s="690" t="s">
        <v>586</v>
      </c>
      <c r="C268" s="691">
        <f>'inventory2019(REVISED)'!C329</f>
        <v>3.31</v>
      </c>
      <c r="D268" s="692">
        <f>'[23]road inventory 2018'!C328</f>
        <v>3.6</v>
      </c>
      <c r="E268" s="691">
        <v>3.31</v>
      </c>
      <c r="F268" s="691">
        <v>0</v>
      </c>
      <c r="G268" s="691">
        <v>0</v>
      </c>
      <c r="H268" s="691">
        <v>0</v>
      </c>
      <c r="I268" s="691">
        <v>0</v>
      </c>
      <c r="J268" s="690" t="s">
        <v>12</v>
      </c>
      <c r="K268" s="694"/>
      <c r="L268" s="690"/>
    </row>
    <row r="269" spans="1:13" s="697" customFormat="1" ht="18" customHeight="1" x14ac:dyDescent="0.35">
      <c r="A269" s="689">
        <v>176</v>
      </c>
      <c r="B269" s="690" t="s">
        <v>587</v>
      </c>
      <c r="C269" s="691">
        <f>'inventory2019(REVISED)'!C330</f>
        <v>22.21</v>
      </c>
      <c r="D269" s="692">
        <f>'[23]road inventory 2018'!C329</f>
        <v>20.5</v>
      </c>
      <c r="E269" s="691">
        <v>5.21</v>
      </c>
      <c r="F269" s="691">
        <v>0</v>
      </c>
      <c r="G269" s="691">
        <v>0</v>
      </c>
      <c r="H269" s="691">
        <v>17</v>
      </c>
      <c r="I269" s="691">
        <v>0</v>
      </c>
      <c r="J269" s="690" t="s">
        <v>12</v>
      </c>
      <c r="K269" s="694"/>
      <c r="L269" s="690"/>
    </row>
    <row r="270" spans="1:13" s="697" customFormat="1" ht="18" customHeight="1" x14ac:dyDescent="0.35">
      <c r="A270" s="689">
        <v>177</v>
      </c>
      <c r="B270" s="690" t="s">
        <v>588</v>
      </c>
      <c r="C270" s="691">
        <f>'inventory2019(REVISED)'!C331</f>
        <v>13.55</v>
      </c>
      <c r="D270" s="692">
        <f>'[23]road inventory 2018'!C330</f>
        <v>13.5</v>
      </c>
      <c r="E270" s="691">
        <v>13.55</v>
      </c>
      <c r="F270" s="691">
        <v>0</v>
      </c>
      <c r="G270" s="691">
        <v>0</v>
      </c>
      <c r="H270" s="691">
        <v>0</v>
      </c>
      <c r="I270" s="691">
        <v>0</v>
      </c>
      <c r="J270" s="693" t="s">
        <v>10</v>
      </c>
      <c r="K270" s="694"/>
      <c r="L270" s="690"/>
    </row>
    <row r="271" spans="1:13" s="697" customFormat="1" ht="18" customHeight="1" x14ac:dyDescent="0.35">
      <c r="A271" s="689">
        <v>172</v>
      </c>
      <c r="B271" s="690" t="s">
        <v>589</v>
      </c>
      <c r="C271" s="691">
        <f>'inventory2019(REVISED)'!C332</f>
        <v>4.4399999999999995</v>
      </c>
      <c r="D271" s="692">
        <f>'[23]road inventory 2018'!C331</f>
        <v>5.7</v>
      </c>
      <c r="E271" s="691">
        <v>1.02</v>
      </c>
      <c r="F271" s="691">
        <v>0</v>
      </c>
      <c r="G271" s="691">
        <v>0</v>
      </c>
      <c r="H271" s="691">
        <v>0</v>
      </c>
      <c r="I271" s="691">
        <v>3.42</v>
      </c>
      <c r="J271" s="693" t="str">
        <f>J236</f>
        <v>Fair</v>
      </c>
      <c r="K271" s="694"/>
      <c r="L271" s="690"/>
      <c r="M271" s="698" t="e">
        <f>C305+#REF!+D285+D286+#REF!+#REF!+D272+#REF!+#REF!+D249+#REF!+#REF!+#REF!+#REF!+#REF!+D233</f>
        <v>#REF!</v>
      </c>
    </row>
    <row r="272" spans="1:13" ht="18" customHeight="1" x14ac:dyDescent="0.35">
      <c r="A272" s="596">
        <v>180</v>
      </c>
      <c r="B272" s="28" t="s">
        <v>591</v>
      </c>
      <c r="C272" s="691">
        <f>'inventory2019(REVISED)'!C335</f>
        <v>2.42</v>
      </c>
      <c r="D272" s="10">
        <f>'[23]road inventory 2018'!C334</f>
        <v>2.42</v>
      </c>
      <c r="E272" s="10">
        <v>0</v>
      </c>
      <c r="F272" s="10">
        <v>0</v>
      </c>
      <c r="G272" s="10">
        <v>0</v>
      </c>
      <c r="H272" s="10">
        <v>2.42</v>
      </c>
      <c r="I272" s="10">
        <v>0</v>
      </c>
      <c r="J272" s="28" t="s">
        <v>12</v>
      </c>
      <c r="K272" s="597"/>
      <c r="L272" s="28"/>
    </row>
    <row r="273" spans="1:12" ht="31" x14ac:dyDescent="0.35">
      <c r="A273" s="596">
        <v>181</v>
      </c>
      <c r="B273" s="28" t="s">
        <v>592</v>
      </c>
      <c r="C273" s="691">
        <f>'inventory2019(REVISED)'!C336</f>
        <v>4.03</v>
      </c>
      <c r="D273" s="10">
        <f>'[23]road inventory 2018'!C335</f>
        <v>4.9000000000000004</v>
      </c>
      <c r="E273" s="10">
        <v>4.03</v>
      </c>
      <c r="F273" s="10">
        <v>0</v>
      </c>
      <c r="G273" s="10">
        <v>0</v>
      </c>
      <c r="H273" s="10">
        <v>0</v>
      </c>
      <c r="I273" s="10">
        <v>0</v>
      </c>
      <c r="J273" s="103" t="s">
        <v>10</v>
      </c>
      <c r="K273" s="597"/>
      <c r="L273" s="28"/>
    </row>
    <row r="274" spans="1:12" ht="31" x14ac:dyDescent="0.35">
      <c r="A274" s="596">
        <v>182</v>
      </c>
      <c r="B274" s="28" t="s">
        <v>593</v>
      </c>
      <c r="C274" s="691">
        <f>'inventory2019(REVISED)'!C337</f>
        <v>16.57</v>
      </c>
      <c r="D274" s="10">
        <f>'[23]road inventory 2018'!C336</f>
        <v>16</v>
      </c>
      <c r="E274" s="10">
        <v>16.57</v>
      </c>
      <c r="F274" s="10">
        <v>0</v>
      </c>
      <c r="G274" s="10">
        <v>0</v>
      </c>
      <c r="H274" s="10">
        <v>0</v>
      </c>
      <c r="I274" s="10">
        <v>0</v>
      </c>
      <c r="J274" s="28" t="s">
        <v>10</v>
      </c>
      <c r="K274" s="597"/>
      <c r="L274" s="28"/>
    </row>
    <row r="275" spans="1:12" s="697" customFormat="1" ht="18" customHeight="1" x14ac:dyDescent="0.35">
      <c r="A275" s="689">
        <v>184</v>
      </c>
      <c r="B275" s="690" t="s">
        <v>595</v>
      </c>
      <c r="C275" s="691">
        <f>'inventory2019(REVISED)'!C339</f>
        <v>12.03</v>
      </c>
      <c r="D275" s="692">
        <f>'[23]road inventory 2018'!C338</f>
        <v>12</v>
      </c>
      <c r="E275" s="691">
        <v>10.01</v>
      </c>
      <c r="F275" s="691">
        <v>0</v>
      </c>
      <c r="G275" s="691">
        <v>0</v>
      </c>
      <c r="H275" s="691">
        <v>2.02</v>
      </c>
      <c r="I275" s="691">
        <v>0</v>
      </c>
      <c r="J275" s="690" t="s">
        <v>10</v>
      </c>
      <c r="K275" s="694"/>
      <c r="L275" s="690"/>
    </row>
    <row r="276" spans="1:12" s="677" customFormat="1" ht="20.25" customHeight="1" x14ac:dyDescent="0.35">
      <c r="A276" s="699"/>
      <c r="B276" s="108"/>
      <c r="C276" s="700">
        <f t="shared" ref="C276:I276" si="16">SUM(C267:C275)</f>
        <v>79.599999999999994</v>
      </c>
      <c r="D276" s="700">
        <f t="shared" si="16"/>
        <v>80.12</v>
      </c>
      <c r="E276" s="700">
        <f t="shared" si="16"/>
        <v>54.74</v>
      </c>
      <c r="F276" s="700">
        <f t="shared" si="16"/>
        <v>0</v>
      </c>
      <c r="G276" s="700">
        <f t="shared" si="16"/>
        <v>0</v>
      </c>
      <c r="H276" s="700">
        <f t="shared" si="16"/>
        <v>21.44</v>
      </c>
      <c r="I276" s="700">
        <f t="shared" si="16"/>
        <v>3.42</v>
      </c>
      <c r="J276" s="108"/>
      <c r="K276" s="701"/>
      <c r="L276" s="107"/>
    </row>
    <row r="277" spans="1:12" ht="18" customHeight="1" thickBot="1" x14ac:dyDescent="0.4">
      <c r="A277" s="53" t="s">
        <v>341</v>
      </c>
      <c r="B277" s="34"/>
      <c r="C277" s="31">
        <f>SUM(E277:I277)</f>
        <v>79.600000000000009</v>
      </c>
      <c r="D277" s="630"/>
      <c r="E277" s="31">
        <f>SUM(E267:E275)</f>
        <v>54.74</v>
      </c>
      <c r="F277" s="31">
        <f>SUM(F267:F275)</f>
        <v>0</v>
      </c>
      <c r="G277" s="31">
        <f>SUM(G267:G275)</f>
        <v>0</v>
      </c>
      <c r="H277" s="31">
        <f>SUM(H267:H275)</f>
        <v>21.44</v>
      </c>
      <c r="I277" s="31">
        <f>SUM(I267:I275)</f>
        <v>3.42</v>
      </c>
      <c r="J277" s="608"/>
      <c r="K277" s="609"/>
      <c r="L277" s="653"/>
    </row>
    <row r="278" spans="1:12" ht="18" customHeight="1" x14ac:dyDescent="0.35">
      <c r="L278" s="28"/>
    </row>
    <row r="279" spans="1:12" s="1" customFormat="1" x14ac:dyDescent="0.35">
      <c r="A279" s="1203" t="s">
        <v>596</v>
      </c>
      <c r="B279" s="1204"/>
      <c r="C279" s="1204"/>
      <c r="D279" s="1204"/>
      <c r="E279" s="1204"/>
      <c r="F279" s="1204"/>
      <c r="G279" s="1204"/>
      <c r="H279" s="1204"/>
      <c r="I279" s="1204"/>
      <c r="J279" s="1204"/>
      <c r="K279" s="1204"/>
      <c r="L279" s="1205"/>
    </row>
    <row r="280" spans="1:12" s="1" customFormat="1" ht="16" thickBot="1" x14ac:dyDescent="0.4">
      <c r="A280" s="585"/>
      <c r="B280" s="2"/>
      <c r="C280" s="5"/>
      <c r="D280" s="586"/>
      <c r="E280" s="5"/>
      <c r="F280" s="5"/>
      <c r="G280" s="5"/>
      <c r="H280" s="5"/>
      <c r="I280" s="5"/>
      <c r="J280" s="3"/>
      <c r="K280" s="21"/>
      <c r="L280" s="653"/>
    </row>
    <row r="281" spans="1:12" s="1" customFormat="1" x14ac:dyDescent="0.35">
      <c r="A281" s="1206" t="s">
        <v>302</v>
      </c>
      <c r="B281" s="1208" t="s">
        <v>28</v>
      </c>
      <c r="C281" s="1210" t="s">
        <v>343</v>
      </c>
      <c r="D281" s="613"/>
      <c r="E281" s="1212" t="s">
        <v>305</v>
      </c>
      <c r="F281" s="1212"/>
      <c r="G281" s="1212"/>
      <c r="H281" s="1212"/>
      <c r="I281" s="1212"/>
      <c r="J281" s="1208" t="s">
        <v>29</v>
      </c>
      <c r="K281" s="1213" t="s">
        <v>306</v>
      </c>
      <c r="L281" s="1215" t="str">
        <f>L265</f>
        <v>REMARKS</v>
      </c>
    </row>
    <row r="282" spans="1:12" s="1" customFormat="1" ht="21" customHeight="1" thickBot="1" x14ac:dyDescent="0.4">
      <c r="A282" s="1207"/>
      <c r="B282" s="1209"/>
      <c r="C282" s="1211"/>
      <c r="D282" s="614"/>
      <c r="E282" s="7" t="s">
        <v>308</v>
      </c>
      <c r="F282" s="7" t="s">
        <v>309</v>
      </c>
      <c r="G282" s="7" t="s">
        <v>310</v>
      </c>
      <c r="H282" s="7" t="s">
        <v>311</v>
      </c>
      <c r="I282" s="7" t="s">
        <v>312</v>
      </c>
      <c r="J282" s="1209"/>
      <c r="K282" s="1214"/>
      <c r="L282" s="1216"/>
    </row>
    <row r="283" spans="1:12" s="16" customFormat="1" ht="18" customHeight="1" x14ac:dyDescent="0.35">
      <c r="A283" s="589">
        <v>189</v>
      </c>
      <c r="B283" s="24" t="s">
        <v>599</v>
      </c>
      <c r="C283" s="15">
        <f>'inventory2019(REVISED)'!C349</f>
        <v>0.998</v>
      </c>
      <c r="D283" s="702">
        <f>'[23]road inventory 2018'!C347</f>
        <v>0.74199999999999999</v>
      </c>
      <c r="E283" s="15">
        <v>0.998</v>
      </c>
      <c r="F283" s="15">
        <v>0</v>
      </c>
      <c r="G283" s="15">
        <v>0</v>
      </c>
      <c r="H283" s="15">
        <v>0</v>
      </c>
      <c r="I283" s="15">
        <v>0</v>
      </c>
      <c r="J283" s="24" t="s">
        <v>12</v>
      </c>
      <c r="K283" s="591"/>
      <c r="L283" s="24"/>
    </row>
    <row r="284" spans="1:12" s="677" customFormat="1" ht="31" x14ac:dyDescent="0.35">
      <c r="A284" s="669">
        <v>185</v>
      </c>
      <c r="B284" s="107" t="s">
        <v>840</v>
      </c>
      <c r="C284" s="15">
        <f>'inventory2019(REVISED)'!C350</f>
        <v>12.03</v>
      </c>
      <c r="D284" s="702">
        <f>'[23]road inventory 2018'!C348</f>
        <v>10.9</v>
      </c>
      <c r="E284" s="670">
        <v>10.01</v>
      </c>
      <c r="F284" s="670">
        <v>0</v>
      </c>
      <c r="G284" s="670">
        <v>0</v>
      </c>
      <c r="H284" s="670">
        <v>2.02</v>
      </c>
      <c r="I284" s="670">
        <v>0</v>
      </c>
      <c r="J284" s="107" t="s">
        <v>10</v>
      </c>
      <c r="K284" s="674"/>
      <c r="L284" s="107"/>
    </row>
    <row r="285" spans="1:12" ht="18" customHeight="1" x14ac:dyDescent="0.35">
      <c r="A285" s="596">
        <v>190</v>
      </c>
      <c r="B285" s="28" t="s">
        <v>602</v>
      </c>
      <c r="C285" s="15">
        <f>'inventory2019(REVISED)'!C352</f>
        <v>17.5</v>
      </c>
      <c r="D285" s="103">
        <f>'[23]road inventory 2018'!C350</f>
        <v>17.5</v>
      </c>
      <c r="E285" s="10">
        <v>0</v>
      </c>
      <c r="F285" s="10">
        <v>0</v>
      </c>
      <c r="G285" s="10">
        <v>0</v>
      </c>
      <c r="H285" s="10">
        <v>17.5</v>
      </c>
      <c r="I285" s="10">
        <v>0</v>
      </c>
      <c r="J285" s="28" t="s">
        <v>12</v>
      </c>
      <c r="K285" s="597"/>
      <c r="L285" s="28"/>
    </row>
    <row r="286" spans="1:12" ht="18" customHeight="1" x14ac:dyDescent="0.35">
      <c r="A286" s="596">
        <v>191</v>
      </c>
      <c r="B286" s="28" t="s">
        <v>603</v>
      </c>
      <c r="C286" s="15">
        <f>'inventory2019(REVISED)'!C353</f>
        <v>3.5</v>
      </c>
      <c r="D286" s="103">
        <f>'[23]road inventory 2018'!C351</f>
        <v>3.5</v>
      </c>
      <c r="E286" s="10">
        <v>0</v>
      </c>
      <c r="F286" s="10">
        <v>0</v>
      </c>
      <c r="G286" s="10">
        <v>0</v>
      </c>
      <c r="H286" s="10">
        <v>3.5</v>
      </c>
      <c r="I286" s="10">
        <v>0</v>
      </c>
      <c r="J286" s="28" t="s">
        <v>12</v>
      </c>
      <c r="K286" s="597"/>
      <c r="L286" s="28"/>
    </row>
    <row r="287" spans="1:12" ht="18.75" customHeight="1" x14ac:dyDescent="0.35">
      <c r="A287" s="635"/>
      <c r="B287" s="40"/>
      <c r="C287" s="15">
        <f>SUM(C283:C286)</f>
        <v>34.027999999999999</v>
      </c>
      <c r="D287" s="703">
        <f t="shared" ref="D287:I287" si="17">SUM(D283:D286)</f>
        <v>32.641999999999996</v>
      </c>
      <c r="E287" s="703">
        <f t="shared" si="17"/>
        <v>11.007999999999999</v>
      </c>
      <c r="F287" s="703">
        <f t="shared" si="17"/>
        <v>0</v>
      </c>
      <c r="G287" s="703">
        <f t="shared" si="17"/>
        <v>0</v>
      </c>
      <c r="H287" s="703">
        <f t="shared" si="17"/>
        <v>23.02</v>
      </c>
      <c r="I287" s="703">
        <f t="shared" si="17"/>
        <v>0</v>
      </c>
      <c r="J287" s="40"/>
      <c r="K287" s="605"/>
      <c r="L287" s="28"/>
    </row>
    <row r="288" spans="1:12" ht="18" customHeight="1" thickBot="1" x14ac:dyDescent="0.4">
      <c r="A288" s="53" t="s">
        <v>341</v>
      </c>
      <c r="B288" s="34"/>
      <c r="C288" s="31">
        <f>SUM(E288:I288)</f>
        <v>34.027999999999999</v>
      </c>
      <c r="D288" s="630">
        <f t="shared" ref="D288:I288" si="18">SUM(D283:D286)</f>
        <v>32.641999999999996</v>
      </c>
      <c r="E288" s="31">
        <f t="shared" si="18"/>
        <v>11.007999999999999</v>
      </c>
      <c r="F288" s="31">
        <f t="shared" si="18"/>
        <v>0</v>
      </c>
      <c r="G288" s="31">
        <f t="shared" si="18"/>
        <v>0</v>
      </c>
      <c r="H288" s="31">
        <f t="shared" si="18"/>
        <v>23.02</v>
      </c>
      <c r="I288" s="31">
        <f t="shared" si="18"/>
        <v>0</v>
      </c>
      <c r="J288" s="608"/>
      <c r="K288" s="609"/>
      <c r="L288" s="653"/>
    </row>
    <row r="289" spans="1:12" ht="18" customHeight="1" x14ac:dyDescent="0.35">
      <c r="L289" s="28"/>
    </row>
    <row r="290" spans="1:12" s="1" customFormat="1" x14ac:dyDescent="0.35">
      <c r="A290" s="1203" t="s">
        <v>605</v>
      </c>
      <c r="B290" s="1204"/>
      <c r="C290" s="1204"/>
      <c r="D290" s="1204"/>
      <c r="E290" s="1204"/>
      <c r="F290" s="1204"/>
      <c r="G290" s="1204"/>
      <c r="H290" s="1204"/>
      <c r="I290" s="1204"/>
      <c r="J290" s="1204"/>
      <c r="K290" s="1204"/>
      <c r="L290" s="1205"/>
    </row>
    <row r="291" spans="1:12" s="1" customFormat="1" ht="16" thickBot="1" x14ac:dyDescent="0.4">
      <c r="A291" s="585"/>
      <c r="B291" s="2"/>
      <c r="C291" s="5"/>
      <c r="D291" s="586"/>
      <c r="E291" s="5"/>
      <c r="F291" s="5"/>
      <c r="G291" s="5"/>
      <c r="H291" s="5"/>
      <c r="I291" s="5"/>
      <c r="J291" s="3"/>
      <c r="K291" s="21"/>
      <c r="L291" s="653"/>
    </row>
    <row r="292" spans="1:12" s="1" customFormat="1" x14ac:dyDescent="0.35">
      <c r="A292" s="1206" t="s">
        <v>302</v>
      </c>
      <c r="B292" s="1208" t="s">
        <v>28</v>
      </c>
      <c r="C292" s="1210" t="s">
        <v>343</v>
      </c>
      <c r="D292" s="613"/>
      <c r="E292" s="1212" t="s">
        <v>305</v>
      </c>
      <c r="F292" s="1212"/>
      <c r="G292" s="1212"/>
      <c r="H292" s="1212"/>
      <c r="I292" s="1212"/>
      <c r="J292" s="1208" t="s">
        <v>29</v>
      </c>
      <c r="K292" s="1213" t="s">
        <v>306</v>
      </c>
      <c r="L292" s="1215" t="str">
        <f>L281</f>
        <v>REMARKS</v>
      </c>
    </row>
    <row r="293" spans="1:12" s="1" customFormat="1" ht="21" customHeight="1" thickBot="1" x14ac:dyDescent="0.4">
      <c r="A293" s="1207"/>
      <c r="B293" s="1209"/>
      <c r="C293" s="1211"/>
      <c r="D293" s="614"/>
      <c r="E293" s="7" t="s">
        <v>308</v>
      </c>
      <c r="F293" s="7" t="s">
        <v>309</v>
      </c>
      <c r="G293" s="7" t="s">
        <v>310</v>
      </c>
      <c r="H293" s="7" t="s">
        <v>311</v>
      </c>
      <c r="I293" s="7" t="s">
        <v>312</v>
      </c>
      <c r="J293" s="1209"/>
      <c r="K293" s="1214"/>
      <c r="L293" s="1216"/>
    </row>
    <row r="294" spans="1:12" s="16" customFormat="1" x14ac:dyDescent="0.35">
      <c r="A294" s="589">
        <v>192</v>
      </c>
      <c r="B294" s="24" t="s">
        <v>606</v>
      </c>
      <c r="C294" s="73">
        <f>'inventory2019(REVISED)'!C362</f>
        <v>13.02</v>
      </c>
      <c r="D294" s="706">
        <f>'[23]road inventory 2018'!C359</f>
        <v>17</v>
      </c>
      <c r="E294" s="15">
        <v>10.11</v>
      </c>
      <c r="F294" s="15">
        <v>0</v>
      </c>
      <c r="G294" s="15">
        <v>0</v>
      </c>
      <c r="H294" s="15">
        <v>2.91</v>
      </c>
      <c r="I294" s="15">
        <v>0</v>
      </c>
      <c r="J294" s="24" t="s">
        <v>12</v>
      </c>
      <c r="K294" s="591"/>
      <c r="L294" s="24"/>
    </row>
    <row r="295" spans="1:12" s="16" customFormat="1" ht="31" x14ac:dyDescent="0.35">
      <c r="A295" s="589">
        <v>193</v>
      </c>
      <c r="B295" s="24" t="s">
        <v>607</v>
      </c>
      <c r="C295" s="73">
        <f>'inventory2019(REVISED)'!C363</f>
        <v>1.53</v>
      </c>
      <c r="D295" s="706">
        <f>'[23]road inventory 2018'!C360</f>
        <v>1.8</v>
      </c>
      <c r="E295" s="15">
        <v>1.53</v>
      </c>
      <c r="F295" s="15">
        <v>0</v>
      </c>
      <c r="G295" s="15">
        <v>0</v>
      </c>
      <c r="H295" s="15">
        <v>0</v>
      </c>
      <c r="I295" s="15">
        <v>0</v>
      </c>
      <c r="J295" s="24" t="s">
        <v>12</v>
      </c>
      <c r="K295" s="591"/>
      <c r="L295" s="24"/>
    </row>
    <row r="296" spans="1:12" s="16" customFormat="1" ht="31.5" thickBot="1" x14ac:dyDescent="0.4">
      <c r="A296" s="649">
        <v>194</v>
      </c>
      <c r="B296" s="64" t="s">
        <v>608</v>
      </c>
      <c r="C296" s="73">
        <f>'inventory2019(REVISED)'!C364</f>
        <v>5.12</v>
      </c>
      <c r="D296" s="707">
        <f>'[23]road inventory 2018'!C361</f>
        <v>5.3</v>
      </c>
      <c r="E296" s="65">
        <v>4.12</v>
      </c>
      <c r="F296" s="65">
        <v>0</v>
      </c>
      <c r="G296" s="65">
        <v>0</v>
      </c>
      <c r="H296" s="65">
        <v>1</v>
      </c>
      <c r="I296" s="65">
        <v>0</v>
      </c>
      <c r="J296" s="64" t="s">
        <v>12</v>
      </c>
      <c r="K296" s="652"/>
      <c r="L296" s="24"/>
    </row>
    <row r="297" spans="1:12" s="16" customFormat="1" ht="31" x14ac:dyDescent="0.35">
      <c r="A297" s="589">
        <v>195</v>
      </c>
      <c r="B297" s="24" t="s">
        <v>609</v>
      </c>
      <c r="C297" s="73">
        <f>'inventory2019(REVISED)'!C365</f>
        <v>5.01</v>
      </c>
      <c r="D297" s="706">
        <f>'[23]road inventory 2018'!C365</f>
        <v>3.9000000000000004</v>
      </c>
      <c r="E297" s="15">
        <v>1.06</v>
      </c>
      <c r="F297" s="15">
        <v>0</v>
      </c>
      <c r="G297" s="15">
        <v>0</v>
      </c>
      <c r="H297" s="15">
        <v>3.95</v>
      </c>
      <c r="I297" s="15">
        <v>0</v>
      </c>
      <c r="J297" s="24" t="s">
        <v>12</v>
      </c>
      <c r="K297" s="591"/>
      <c r="L297" s="24"/>
    </row>
    <row r="298" spans="1:12" s="16" customFormat="1" x14ac:dyDescent="0.35">
      <c r="A298" s="626"/>
      <c r="B298" s="60"/>
      <c r="C298" s="75">
        <f t="shared" ref="C298:I298" si="19">SUM(C294:C297)</f>
        <v>24.68</v>
      </c>
      <c r="D298" s="75">
        <f t="shared" si="19"/>
        <v>28</v>
      </c>
      <c r="E298" s="75">
        <f t="shared" si="19"/>
        <v>16.819999999999997</v>
      </c>
      <c r="F298" s="75">
        <f t="shared" si="19"/>
        <v>0</v>
      </c>
      <c r="G298" s="75">
        <f t="shared" si="19"/>
        <v>0</v>
      </c>
      <c r="H298" s="75">
        <f t="shared" si="19"/>
        <v>7.86</v>
      </c>
      <c r="I298" s="75">
        <f t="shared" si="19"/>
        <v>0</v>
      </c>
      <c r="J298" s="60"/>
      <c r="K298" s="629"/>
      <c r="L298" s="24"/>
    </row>
    <row r="299" spans="1:12" ht="18" customHeight="1" thickBot="1" x14ac:dyDescent="0.4">
      <c r="A299" s="53" t="s">
        <v>341</v>
      </c>
      <c r="B299" s="34"/>
      <c r="C299" s="31">
        <f>SUM(E299:I299)</f>
        <v>24.679999999999996</v>
      </c>
      <c r="D299" s="630">
        <f t="shared" ref="D299:I299" si="20">SUM(D294:D297)</f>
        <v>28</v>
      </c>
      <c r="E299" s="31">
        <f t="shared" si="20"/>
        <v>16.819999999999997</v>
      </c>
      <c r="F299" s="31">
        <f t="shared" si="20"/>
        <v>0</v>
      </c>
      <c r="G299" s="31">
        <f t="shared" si="20"/>
        <v>0</v>
      </c>
      <c r="H299" s="31">
        <f t="shared" si="20"/>
        <v>7.86</v>
      </c>
      <c r="I299" s="31">
        <f t="shared" si="20"/>
        <v>0</v>
      </c>
      <c r="J299" s="608"/>
      <c r="K299" s="609"/>
      <c r="L299" s="653"/>
    </row>
    <row r="300" spans="1:12" ht="18" customHeight="1" x14ac:dyDescent="0.35">
      <c r="A300" s="544"/>
      <c r="B300" s="35"/>
      <c r="C300" s="22"/>
      <c r="D300" s="610"/>
      <c r="E300" s="22"/>
      <c r="F300" s="22"/>
      <c r="G300" s="22"/>
      <c r="H300" s="22"/>
      <c r="I300" s="22"/>
      <c r="J300" s="1"/>
      <c r="K300" s="21"/>
      <c r="L300" s="653"/>
    </row>
    <row r="301" spans="1:12" s="1" customFormat="1" x14ac:dyDescent="0.35">
      <c r="A301" s="1203" t="s">
        <v>610</v>
      </c>
      <c r="B301" s="1204"/>
      <c r="C301" s="1204"/>
      <c r="D301" s="1204"/>
      <c r="E301" s="1204"/>
      <c r="F301" s="1204"/>
      <c r="G301" s="1204"/>
      <c r="H301" s="1204"/>
      <c r="I301" s="1204"/>
      <c r="J301" s="1204"/>
      <c r="K301" s="1204"/>
      <c r="L301" s="1205"/>
    </row>
    <row r="302" spans="1:12" s="1" customFormat="1" ht="16" thickBot="1" x14ac:dyDescent="0.4">
      <c r="A302" s="585"/>
      <c r="B302" s="2"/>
      <c r="C302" s="5"/>
      <c r="D302" s="586"/>
      <c r="E302" s="5"/>
      <c r="F302" s="5"/>
      <c r="G302" s="5"/>
      <c r="H302" s="5"/>
      <c r="I302" s="5"/>
      <c r="J302" s="3"/>
      <c r="K302" s="21"/>
      <c r="L302" s="653"/>
    </row>
    <row r="303" spans="1:12" s="1" customFormat="1" x14ac:dyDescent="0.35">
      <c r="A303" s="1206" t="s">
        <v>302</v>
      </c>
      <c r="B303" s="1208" t="s">
        <v>28</v>
      </c>
      <c r="C303" s="1210" t="s">
        <v>343</v>
      </c>
      <c r="D303" s="613"/>
      <c r="E303" s="1212" t="s">
        <v>305</v>
      </c>
      <c r="F303" s="1212"/>
      <c r="G303" s="1212"/>
      <c r="H303" s="1212"/>
      <c r="I303" s="1212"/>
      <c r="J303" s="1208" t="s">
        <v>29</v>
      </c>
      <c r="K303" s="1213" t="s">
        <v>306</v>
      </c>
      <c r="L303" s="1215" t="str">
        <f>L292</f>
        <v>REMARKS</v>
      </c>
    </row>
    <row r="304" spans="1:12" s="1" customFormat="1" ht="21" customHeight="1" thickBot="1" x14ac:dyDescent="0.4">
      <c r="A304" s="1207"/>
      <c r="B304" s="1209"/>
      <c r="C304" s="1211"/>
      <c r="D304" s="614"/>
      <c r="E304" s="7" t="s">
        <v>308</v>
      </c>
      <c r="F304" s="7" t="s">
        <v>309</v>
      </c>
      <c r="G304" s="7" t="s">
        <v>310</v>
      </c>
      <c r="H304" s="7" t="s">
        <v>311</v>
      </c>
      <c r="I304" s="7" t="s">
        <v>312</v>
      </c>
      <c r="J304" s="1209"/>
      <c r="K304" s="1214"/>
      <c r="L304" s="1216"/>
    </row>
    <row r="305" spans="1:16" ht="18" customHeight="1" x14ac:dyDescent="0.35">
      <c r="A305" s="596">
        <v>171</v>
      </c>
      <c r="B305" s="28" t="s">
        <v>611</v>
      </c>
      <c r="C305" s="10">
        <f>'inventory2019(REVISED)'!C373</f>
        <v>8.7409999999999997</v>
      </c>
      <c r="D305" s="10"/>
      <c r="E305" s="10">
        <v>1.18</v>
      </c>
      <c r="F305" s="10">
        <v>0</v>
      </c>
      <c r="G305" s="10">
        <v>0</v>
      </c>
      <c r="H305" s="10">
        <v>7.5609999999999999</v>
      </c>
      <c r="I305" s="10">
        <v>0</v>
      </c>
      <c r="J305" s="103" t="s">
        <v>12</v>
      </c>
      <c r="K305" s="597"/>
      <c r="L305" s="28"/>
    </row>
    <row r="306" spans="1:16" ht="18" customHeight="1" x14ac:dyDescent="0.35">
      <c r="A306" s="596"/>
      <c r="B306" s="28"/>
      <c r="C306" s="10"/>
      <c r="D306" s="615"/>
      <c r="E306" s="10"/>
      <c r="F306" s="10"/>
      <c r="G306" s="10"/>
      <c r="H306" s="10"/>
      <c r="I306" s="10"/>
      <c r="J306" s="102"/>
      <c r="K306" s="659"/>
      <c r="L306" s="653"/>
    </row>
    <row r="307" spans="1:16" x14ac:dyDescent="0.35">
      <c r="A307" s="658" t="s">
        <v>341</v>
      </c>
      <c r="B307" s="81"/>
      <c r="C307" s="82">
        <f t="shared" ref="C307:I307" si="21">+C305</f>
        <v>8.7409999999999997</v>
      </c>
      <c r="D307" s="708"/>
      <c r="E307" s="82">
        <f t="shared" si="21"/>
        <v>1.18</v>
      </c>
      <c r="F307" s="82">
        <f t="shared" si="21"/>
        <v>0</v>
      </c>
      <c r="G307" s="82">
        <f t="shared" si="21"/>
        <v>0</v>
      </c>
      <c r="H307" s="82">
        <f t="shared" si="21"/>
        <v>7.5609999999999999</v>
      </c>
      <c r="I307" s="82">
        <f t="shared" si="21"/>
        <v>0</v>
      </c>
      <c r="J307" s="102"/>
      <c r="K307" s="659"/>
      <c r="L307" s="653"/>
    </row>
    <row r="308" spans="1:16" ht="18" customHeight="1" x14ac:dyDescent="0.35">
      <c r="A308" s="596"/>
      <c r="B308" s="84"/>
      <c r="C308" s="11"/>
      <c r="D308" s="656"/>
      <c r="E308" s="11"/>
      <c r="F308" s="11"/>
      <c r="G308" s="11"/>
      <c r="H308" s="11"/>
      <c r="I308" s="11"/>
      <c r="J308" s="102"/>
      <c r="K308" s="709"/>
      <c r="L308" s="653"/>
    </row>
    <row r="309" spans="1:16" ht="18" customHeight="1" thickBot="1" x14ac:dyDescent="0.4">
      <c r="A309" s="1199" t="s">
        <v>612</v>
      </c>
      <c r="B309" s="1200"/>
      <c r="C309" s="19">
        <f>C307+C299+C288+C277+C261+C252+C239+C227+C217+C201+C192+C178+C165</f>
        <v>533.53599999999994</v>
      </c>
      <c r="D309" s="607"/>
      <c r="E309" s="19">
        <f>+E307+E299+E288+E277+E261+E252+E239+E227+E217+E201+E192+E178+E165</f>
        <v>210.23499999999996</v>
      </c>
      <c r="F309" s="19">
        <f>+F307+F299+F288+F277+F261+F252+F239+F227+F217+F201+F192+F178+F165</f>
        <v>2.19</v>
      </c>
      <c r="G309" s="19">
        <f>+G307+G299+G288+G277+G261+G252+G239+G227+G217+G201+G192+G178+G165</f>
        <v>1.72</v>
      </c>
      <c r="H309" s="19">
        <f>+H307+H299+H288+H277+H261+H252+H239+H227+H217+H201+H192+H178+H165</f>
        <v>313.96100000000007</v>
      </c>
      <c r="I309" s="19">
        <f>+I307+I299+I288+I277+I261+I252+I239+I227+I217+I201+I192+I178+I165</f>
        <v>5.43</v>
      </c>
      <c r="J309" s="608"/>
      <c r="K309" s="710"/>
      <c r="L309" s="653"/>
    </row>
    <row r="310" spans="1:16" ht="16" thickBot="1" x14ac:dyDescent="0.4">
      <c r="A310" s="1201" t="s">
        <v>204</v>
      </c>
      <c r="B310" s="1202"/>
      <c r="C310" s="87">
        <f>C309+C145</f>
        <v>883.58600000000001</v>
      </c>
      <c r="D310" s="711"/>
      <c r="E310" s="87">
        <f>+E309+E145</f>
        <v>346.95499999999993</v>
      </c>
      <c r="F310" s="87">
        <f>+F309+F145</f>
        <v>2.19</v>
      </c>
      <c r="G310" s="87">
        <f>+G309+G145</f>
        <v>1.72</v>
      </c>
      <c r="H310" s="87">
        <f>+H309+H145</f>
        <v>527.29100000000005</v>
      </c>
      <c r="I310" s="87">
        <f>+I309+I145</f>
        <v>5.43</v>
      </c>
      <c r="J310" s="712"/>
      <c r="K310" s="713"/>
      <c r="L310" s="714"/>
    </row>
    <row r="311" spans="1:16" ht="15" customHeight="1" x14ac:dyDescent="0.35">
      <c r="A311" s="716"/>
      <c r="B311" s="716"/>
      <c r="C311" s="22"/>
      <c r="D311" s="610"/>
      <c r="E311" s="22"/>
      <c r="F311" s="22"/>
      <c r="G311" s="22"/>
      <c r="H311" s="22"/>
      <c r="I311" s="22"/>
      <c r="J311" s="1"/>
      <c r="K311" s="21"/>
      <c r="L311" s="21"/>
    </row>
    <row r="312" spans="1:16" ht="15" customHeight="1" x14ac:dyDescent="0.35">
      <c r="A312" s="3"/>
      <c r="B312" s="716" t="s">
        <v>841</v>
      </c>
      <c r="C312" s="22"/>
      <c r="D312" s="610"/>
      <c r="E312" s="22"/>
      <c r="F312" s="22"/>
      <c r="G312" s="22"/>
      <c r="H312" s="22"/>
      <c r="I312" s="22"/>
      <c r="J312" s="1"/>
      <c r="K312" s="21"/>
      <c r="L312" s="21"/>
    </row>
    <row r="313" spans="1:16" ht="15" customHeight="1" x14ac:dyDescent="0.35">
      <c r="A313" s="3"/>
      <c r="B313" s="716"/>
      <c r="C313" s="22"/>
      <c r="D313" s="610"/>
      <c r="E313" s="22"/>
      <c r="F313" s="22"/>
      <c r="G313" s="22"/>
      <c r="H313" s="22"/>
      <c r="I313" s="22"/>
      <c r="J313" s="1"/>
      <c r="K313" s="21"/>
      <c r="L313" s="21"/>
    </row>
    <row r="314" spans="1:16" ht="15" customHeight="1" x14ac:dyDescent="0.35">
      <c r="A314" s="3"/>
      <c r="B314" s="716"/>
      <c r="C314" s="22"/>
      <c r="D314" s="610"/>
      <c r="E314" s="22"/>
      <c r="F314" s="22"/>
      <c r="G314" s="22"/>
      <c r="H314" s="22"/>
      <c r="I314" s="22"/>
      <c r="J314" s="1"/>
      <c r="K314" s="21"/>
      <c r="L314" s="21"/>
    </row>
    <row r="315" spans="1:16" ht="15" customHeight="1" x14ac:dyDescent="0.35">
      <c r="A315" s="3"/>
      <c r="B315" s="717" t="s">
        <v>154</v>
      </c>
      <c r="C315" s="22"/>
      <c r="D315" s="610"/>
      <c r="E315" s="22"/>
      <c r="F315" s="22"/>
      <c r="G315" s="22"/>
      <c r="H315" s="22"/>
      <c r="I315" s="22"/>
      <c r="J315" s="1"/>
      <c r="K315" s="21"/>
      <c r="L315" s="21"/>
    </row>
    <row r="316" spans="1:16" ht="15" customHeight="1" x14ac:dyDescent="0.35">
      <c r="A316" s="3"/>
      <c r="B316" s="583" t="s">
        <v>155</v>
      </c>
      <c r="C316" s="22"/>
      <c r="D316" s="610"/>
      <c r="E316" s="22"/>
      <c r="F316" s="22"/>
      <c r="G316" s="22"/>
      <c r="H316" s="22"/>
      <c r="I316" s="22"/>
      <c r="J316" s="1"/>
      <c r="K316" s="21"/>
      <c r="L316" s="21"/>
    </row>
    <row r="317" spans="1:16" ht="15" customHeight="1" x14ac:dyDescent="0.35">
      <c r="A317" s="3"/>
      <c r="B317" s="583" t="s">
        <v>842</v>
      </c>
      <c r="C317" s="22"/>
      <c r="D317" s="610"/>
      <c r="E317" s="22"/>
      <c r="F317" s="22"/>
      <c r="G317" s="22"/>
      <c r="H317" s="22"/>
      <c r="I317" s="22"/>
      <c r="J317" s="1"/>
      <c r="K317" s="21"/>
      <c r="L317" s="21"/>
    </row>
    <row r="318" spans="1:16" ht="18" customHeight="1" x14ac:dyDescent="0.35">
      <c r="C318" s="38"/>
      <c r="D318" s="645"/>
      <c r="P318" s="38">
        <f>C310-'GOOD TO FAIR2019'!C311</f>
        <v>0</v>
      </c>
    </row>
    <row r="319" spans="1:16" s="95" customFormat="1" ht="18" customHeight="1" x14ac:dyDescent="0.35">
      <c r="B319" s="2"/>
      <c r="C319" s="3"/>
      <c r="D319" s="582"/>
      <c r="E319" s="3"/>
      <c r="F319" s="3"/>
      <c r="G319" s="3"/>
      <c r="H319" s="3"/>
      <c r="I319" s="3"/>
      <c r="J319" s="3"/>
      <c r="K319" s="2"/>
      <c r="L319" s="2"/>
    </row>
    <row r="320" spans="1:16" s="95" customFormat="1" ht="18" customHeight="1" x14ac:dyDescent="0.35">
      <c r="B320" s="2"/>
      <c r="C320" s="3"/>
      <c r="D320" s="582"/>
      <c r="E320" s="3"/>
      <c r="F320" s="3"/>
      <c r="G320" s="3"/>
      <c r="H320" s="3"/>
      <c r="I320" s="3"/>
      <c r="J320" s="3"/>
      <c r="K320" s="2"/>
      <c r="L320" s="2"/>
    </row>
    <row r="321" spans="2:12" s="95" customFormat="1" ht="18" customHeight="1" x14ac:dyDescent="0.35">
      <c r="B321" s="2"/>
      <c r="C321" s="3"/>
      <c r="D321" s="582"/>
      <c r="E321" s="3"/>
      <c r="F321" s="3"/>
      <c r="G321" s="3"/>
      <c r="H321" s="3"/>
      <c r="I321" s="3"/>
      <c r="J321" s="3"/>
      <c r="K321" s="2"/>
      <c r="L321" s="2"/>
    </row>
    <row r="322" spans="2:12" s="95" customFormat="1" ht="18" customHeight="1" x14ac:dyDescent="0.35">
      <c r="B322" s="2"/>
      <c r="C322" s="3"/>
      <c r="D322" s="582"/>
      <c r="E322" s="3"/>
      <c r="F322" s="3"/>
      <c r="G322" s="3"/>
      <c r="H322" s="3"/>
      <c r="I322" s="3"/>
      <c r="J322" s="3"/>
      <c r="K322" s="2"/>
      <c r="L322" s="2"/>
    </row>
    <row r="323" spans="2:12" s="95" customFormat="1" ht="18" customHeight="1" x14ac:dyDescent="0.35">
      <c r="B323" s="2"/>
      <c r="C323" s="3"/>
      <c r="D323" s="582"/>
      <c r="E323" s="3"/>
      <c r="F323" s="3"/>
      <c r="G323" s="3"/>
      <c r="H323" s="3"/>
      <c r="I323" s="3"/>
      <c r="J323" s="3"/>
      <c r="K323" s="2"/>
      <c r="L323" s="2"/>
    </row>
    <row r="324" spans="2:12" s="95" customFormat="1" ht="18" customHeight="1" x14ac:dyDescent="0.35">
      <c r="B324" s="2"/>
      <c r="C324" s="3"/>
      <c r="D324" s="582"/>
      <c r="E324" s="3"/>
      <c r="F324" s="3"/>
      <c r="G324" s="3"/>
      <c r="H324" s="3"/>
      <c r="I324" s="3"/>
      <c r="J324" s="3"/>
      <c r="K324" s="2"/>
      <c r="L324" s="2"/>
    </row>
    <row r="325" spans="2:12" s="95" customFormat="1" ht="18" customHeight="1" x14ac:dyDescent="0.35">
      <c r="B325" s="2"/>
      <c r="C325" s="3"/>
      <c r="D325" s="582"/>
      <c r="E325" s="3"/>
      <c r="F325" s="3"/>
      <c r="G325" s="3"/>
      <c r="H325" s="3"/>
      <c r="I325" s="3"/>
      <c r="J325" s="3"/>
      <c r="K325" s="2"/>
      <c r="L325" s="2"/>
    </row>
    <row r="326" spans="2:12" s="95" customFormat="1" ht="18" customHeight="1" x14ac:dyDescent="0.35">
      <c r="B326" s="2"/>
      <c r="C326" s="3"/>
      <c r="D326" s="582"/>
      <c r="E326" s="3"/>
      <c r="F326" s="3"/>
      <c r="G326" s="3"/>
      <c r="H326" s="3"/>
      <c r="I326" s="3"/>
      <c r="J326" s="3"/>
      <c r="K326" s="2"/>
      <c r="L326" s="2"/>
    </row>
    <row r="327" spans="2:12" s="95" customFormat="1" ht="18" customHeight="1" x14ac:dyDescent="0.35">
      <c r="B327" s="2"/>
      <c r="C327" s="3"/>
      <c r="D327" s="582"/>
      <c r="E327" s="3"/>
      <c r="F327" s="3"/>
      <c r="G327" s="3"/>
      <c r="H327" s="3"/>
      <c r="I327" s="3"/>
      <c r="J327" s="3"/>
      <c r="K327" s="2"/>
      <c r="L327" s="2"/>
    </row>
    <row r="328" spans="2:12" s="95" customFormat="1" ht="18" customHeight="1" x14ac:dyDescent="0.35">
      <c r="B328" s="2"/>
      <c r="C328" s="3"/>
      <c r="D328" s="582"/>
      <c r="E328" s="3"/>
      <c r="F328" s="3"/>
      <c r="G328" s="3"/>
      <c r="H328" s="3"/>
      <c r="I328" s="3"/>
      <c r="J328" s="3"/>
      <c r="K328" s="2"/>
      <c r="L328" s="2"/>
    </row>
    <row r="329" spans="2:12" s="95" customFormat="1" ht="18" customHeight="1" x14ac:dyDescent="0.35">
      <c r="B329" s="2"/>
      <c r="C329" s="3"/>
      <c r="D329" s="582"/>
      <c r="E329" s="3"/>
      <c r="F329" s="3"/>
      <c r="G329" s="3"/>
      <c r="H329" s="3"/>
      <c r="I329" s="3"/>
      <c r="J329" s="3"/>
      <c r="K329" s="2"/>
      <c r="L329" s="2"/>
    </row>
    <row r="330" spans="2:12" s="95" customFormat="1" ht="18" customHeight="1" x14ac:dyDescent="0.35">
      <c r="B330" s="2"/>
      <c r="C330" s="3"/>
      <c r="D330" s="582"/>
      <c r="E330" s="3"/>
      <c r="F330" s="3"/>
      <c r="G330" s="3"/>
      <c r="H330" s="3"/>
      <c r="I330" s="3"/>
      <c r="J330" s="3"/>
      <c r="K330" s="2"/>
      <c r="L330" s="2"/>
    </row>
    <row r="331" spans="2:12" s="95" customFormat="1" ht="18" customHeight="1" x14ac:dyDescent="0.35">
      <c r="B331" s="2"/>
      <c r="C331" s="3"/>
      <c r="D331" s="582"/>
      <c r="E331" s="3"/>
      <c r="F331" s="3"/>
      <c r="G331" s="3"/>
      <c r="H331" s="3"/>
      <c r="I331" s="3"/>
      <c r="J331" s="3"/>
      <c r="K331" s="2"/>
      <c r="L331" s="2"/>
    </row>
    <row r="332" spans="2:12" s="95" customFormat="1" ht="18" customHeight="1" x14ac:dyDescent="0.35">
      <c r="B332" s="2"/>
      <c r="C332" s="3"/>
      <c r="D332" s="582"/>
      <c r="E332" s="3"/>
      <c r="F332" s="3"/>
      <c r="G332" s="3"/>
      <c r="H332" s="3"/>
      <c r="I332" s="3"/>
      <c r="J332" s="3"/>
      <c r="K332" s="2"/>
      <c r="L332" s="2"/>
    </row>
    <row r="333" spans="2:12" s="95" customFormat="1" ht="18" customHeight="1" x14ac:dyDescent="0.35">
      <c r="B333" s="2"/>
      <c r="C333" s="3"/>
      <c r="D333" s="582"/>
      <c r="E333" s="3"/>
      <c r="F333" s="3"/>
      <c r="G333" s="3"/>
      <c r="H333" s="3"/>
      <c r="I333" s="3"/>
      <c r="J333" s="3"/>
      <c r="K333" s="2"/>
      <c r="L333" s="2"/>
    </row>
    <row r="334" spans="2:12" s="95" customFormat="1" ht="18" customHeight="1" x14ac:dyDescent="0.35">
      <c r="B334" s="2"/>
      <c r="C334" s="3"/>
      <c r="D334" s="582"/>
      <c r="E334" s="3"/>
      <c r="F334" s="3"/>
      <c r="G334" s="3"/>
      <c r="H334" s="3"/>
      <c r="I334" s="3"/>
      <c r="J334" s="3"/>
      <c r="K334" s="2"/>
      <c r="L334" s="2"/>
    </row>
    <row r="335" spans="2:12" s="95" customFormat="1" ht="18" customHeight="1" x14ac:dyDescent="0.35">
      <c r="B335" s="2"/>
      <c r="C335" s="3"/>
      <c r="D335" s="582"/>
      <c r="E335" s="3"/>
      <c r="F335" s="3"/>
      <c r="G335" s="3"/>
      <c r="H335" s="3"/>
      <c r="I335" s="3"/>
      <c r="J335" s="3"/>
      <c r="K335" s="2"/>
      <c r="L335" s="2"/>
    </row>
    <row r="336" spans="2:12" s="95" customFormat="1" ht="18" customHeight="1" x14ac:dyDescent="0.35">
      <c r="B336" s="2"/>
      <c r="C336" s="3"/>
      <c r="D336" s="582"/>
      <c r="E336" s="3"/>
      <c r="F336" s="3"/>
      <c r="G336" s="3"/>
      <c r="H336" s="3"/>
      <c r="I336" s="3"/>
      <c r="J336" s="3"/>
      <c r="K336" s="2"/>
      <c r="L336" s="2"/>
    </row>
    <row r="337" spans="2:12" s="95" customFormat="1" ht="18" customHeight="1" x14ac:dyDescent="0.35">
      <c r="B337" s="2"/>
      <c r="C337" s="3"/>
      <c r="D337" s="582"/>
      <c r="E337" s="3"/>
      <c r="F337" s="3"/>
      <c r="G337" s="3"/>
      <c r="H337" s="3"/>
      <c r="I337" s="3"/>
      <c r="J337" s="3"/>
      <c r="K337" s="2"/>
      <c r="L337" s="2"/>
    </row>
    <row r="338" spans="2:12" s="95" customFormat="1" ht="18" customHeight="1" x14ac:dyDescent="0.35">
      <c r="B338" s="2"/>
      <c r="C338" s="3"/>
      <c r="D338" s="582"/>
      <c r="E338" s="3"/>
      <c r="F338" s="3"/>
      <c r="G338" s="3"/>
      <c r="H338" s="3"/>
      <c r="I338" s="3"/>
      <c r="J338" s="3"/>
      <c r="K338" s="2"/>
      <c r="L338" s="2"/>
    </row>
    <row r="339" spans="2:12" s="95" customFormat="1" ht="18" customHeight="1" x14ac:dyDescent="0.35">
      <c r="B339" s="2"/>
      <c r="C339" s="3"/>
      <c r="D339" s="582"/>
      <c r="E339" s="3"/>
      <c r="F339" s="3"/>
      <c r="G339" s="3"/>
      <c r="H339" s="3"/>
      <c r="I339" s="3"/>
      <c r="J339" s="3"/>
      <c r="K339" s="2"/>
      <c r="L339" s="2"/>
    </row>
    <row r="340" spans="2:12" s="95" customFormat="1" ht="18" customHeight="1" x14ac:dyDescent="0.35">
      <c r="B340" s="2"/>
      <c r="C340" s="3"/>
      <c r="D340" s="582"/>
      <c r="E340" s="3"/>
      <c r="F340" s="3"/>
      <c r="G340" s="3"/>
      <c r="H340" s="3"/>
      <c r="I340" s="3"/>
      <c r="J340" s="3"/>
      <c r="K340" s="2"/>
      <c r="L340" s="2"/>
    </row>
    <row r="341" spans="2:12" s="95" customFormat="1" ht="18" customHeight="1" x14ac:dyDescent="0.35">
      <c r="B341" s="2"/>
      <c r="C341" s="3"/>
      <c r="D341" s="582"/>
      <c r="E341" s="3"/>
      <c r="F341" s="3"/>
      <c r="G341" s="3"/>
      <c r="H341" s="3"/>
      <c r="I341" s="3"/>
      <c r="J341" s="3"/>
      <c r="K341" s="2"/>
      <c r="L341" s="2"/>
    </row>
    <row r="342" spans="2:12" s="95" customFormat="1" ht="18" customHeight="1" x14ac:dyDescent="0.35">
      <c r="B342" s="2"/>
      <c r="C342" s="3"/>
      <c r="D342" s="582"/>
      <c r="E342" s="3"/>
      <c r="F342" s="3"/>
      <c r="G342" s="3"/>
      <c r="H342" s="3"/>
      <c r="I342" s="3"/>
      <c r="J342" s="3"/>
      <c r="K342" s="2"/>
      <c r="L342" s="2"/>
    </row>
    <row r="343" spans="2:12" s="95" customFormat="1" ht="18" customHeight="1" x14ac:dyDescent="0.35">
      <c r="B343" s="2"/>
      <c r="C343" s="3"/>
      <c r="D343" s="582"/>
      <c r="E343" s="3"/>
      <c r="F343" s="3"/>
      <c r="G343" s="3"/>
      <c r="H343" s="3"/>
      <c r="I343" s="3"/>
      <c r="J343" s="3"/>
      <c r="K343" s="2"/>
      <c r="L343" s="2"/>
    </row>
    <row r="344" spans="2:12" s="95" customFormat="1" ht="18" customHeight="1" x14ac:dyDescent="0.35">
      <c r="B344" s="2"/>
      <c r="C344" s="3"/>
      <c r="D344" s="582"/>
      <c r="E344" s="3"/>
      <c r="F344" s="3"/>
      <c r="G344" s="3"/>
      <c r="H344" s="3"/>
      <c r="I344" s="3"/>
      <c r="J344" s="3"/>
      <c r="K344" s="2"/>
      <c r="L344" s="2"/>
    </row>
    <row r="345" spans="2:12" s="95" customFormat="1" ht="18" customHeight="1" x14ac:dyDescent="0.35">
      <c r="B345" s="2"/>
      <c r="C345" s="3"/>
      <c r="D345" s="582"/>
      <c r="E345" s="3"/>
      <c r="F345" s="3"/>
      <c r="G345" s="3"/>
      <c r="H345" s="3"/>
      <c r="I345" s="3"/>
      <c r="J345" s="3"/>
      <c r="K345" s="2"/>
      <c r="L345" s="2"/>
    </row>
    <row r="346" spans="2:12" s="95" customFormat="1" ht="18" customHeight="1" x14ac:dyDescent="0.35">
      <c r="B346" s="2"/>
      <c r="C346" s="3"/>
      <c r="D346" s="582"/>
      <c r="E346" s="3"/>
      <c r="F346" s="3"/>
      <c r="G346" s="3"/>
      <c r="H346" s="3"/>
      <c r="I346" s="3"/>
      <c r="J346" s="3"/>
      <c r="K346" s="2"/>
      <c r="L346" s="2"/>
    </row>
    <row r="347" spans="2:12" s="95" customFormat="1" ht="18" customHeight="1" x14ac:dyDescent="0.35">
      <c r="B347" s="2"/>
      <c r="C347" s="3"/>
      <c r="D347" s="582"/>
      <c r="E347" s="3"/>
      <c r="F347" s="3"/>
      <c r="G347" s="3"/>
      <c r="H347" s="3"/>
      <c r="I347" s="3"/>
      <c r="J347" s="3"/>
      <c r="K347" s="2"/>
      <c r="L347" s="2"/>
    </row>
    <row r="348" spans="2:12" s="95" customFormat="1" ht="18" customHeight="1" x14ac:dyDescent="0.35">
      <c r="B348" s="2"/>
      <c r="C348" s="3"/>
      <c r="D348" s="582"/>
      <c r="E348" s="3"/>
      <c r="F348" s="3"/>
      <c r="G348" s="3"/>
      <c r="H348" s="3"/>
      <c r="I348" s="3"/>
      <c r="J348" s="3"/>
      <c r="K348" s="2"/>
      <c r="L348" s="2"/>
    </row>
    <row r="349" spans="2:12" s="95" customFormat="1" ht="18" customHeight="1" x14ac:dyDescent="0.35">
      <c r="B349" s="2"/>
      <c r="C349" s="3"/>
      <c r="D349" s="582"/>
      <c r="E349" s="3"/>
      <c r="F349" s="3"/>
      <c r="G349" s="3"/>
      <c r="H349" s="3"/>
      <c r="I349" s="3"/>
      <c r="J349" s="3"/>
      <c r="K349" s="2"/>
      <c r="L349" s="2"/>
    </row>
    <row r="350" spans="2:12" s="95" customFormat="1" ht="18" customHeight="1" x14ac:dyDescent="0.35">
      <c r="B350" s="2"/>
      <c r="C350" s="3"/>
      <c r="D350" s="582"/>
      <c r="E350" s="3"/>
      <c r="F350" s="3"/>
      <c r="G350" s="3"/>
      <c r="H350" s="3"/>
      <c r="I350" s="3"/>
      <c r="J350" s="3"/>
      <c r="K350" s="2"/>
      <c r="L350" s="2"/>
    </row>
    <row r="351" spans="2:12" s="95" customFormat="1" ht="18" customHeight="1" x14ac:dyDescent="0.35">
      <c r="B351" s="2"/>
      <c r="C351" s="3"/>
      <c r="D351" s="582"/>
      <c r="E351" s="3"/>
      <c r="F351" s="3"/>
      <c r="G351" s="3"/>
      <c r="H351" s="3"/>
      <c r="I351" s="3"/>
      <c r="J351" s="3"/>
      <c r="K351" s="2"/>
      <c r="L351" s="2"/>
    </row>
    <row r="352" spans="2:12" s="95" customFormat="1" ht="18" customHeight="1" x14ac:dyDescent="0.35">
      <c r="B352" s="2"/>
      <c r="C352" s="3"/>
      <c r="D352" s="582"/>
      <c r="E352" s="3"/>
      <c r="F352" s="3"/>
      <c r="G352" s="3"/>
      <c r="H352" s="3"/>
      <c r="I352" s="3"/>
      <c r="J352" s="3"/>
      <c r="K352" s="2"/>
      <c r="L352" s="2"/>
    </row>
    <row r="353" spans="2:12" s="95" customFormat="1" ht="18" customHeight="1" x14ac:dyDescent="0.35">
      <c r="B353" s="2"/>
      <c r="C353" s="3"/>
      <c r="D353" s="582"/>
      <c r="E353" s="3"/>
      <c r="F353" s="3"/>
      <c r="G353" s="3"/>
      <c r="H353" s="3"/>
      <c r="I353" s="3"/>
      <c r="J353" s="3"/>
      <c r="K353" s="2"/>
      <c r="L353" s="2"/>
    </row>
    <row r="354" spans="2:12" s="95" customFormat="1" ht="18" customHeight="1" x14ac:dyDescent="0.35">
      <c r="B354" s="2"/>
      <c r="C354" s="3"/>
      <c r="D354" s="582"/>
      <c r="E354" s="3"/>
      <c r="F354" s="3"/>
      <c r="G354" s="3"/>
      <c r="H354" s="3"/>
      <c r="I354" s="3"/>
      <c r="J354" s="3"/>
      <c r="K354" s="2"/>
      <c r="L354" s="2"/>
    </row>
    <row r="355" spans="2:12" s="95" customFormat="1" ht="18" customHeight="1" x14ac:dyDescent="0.35">
      <c r="B355" s="2"/>
      <c r="C355" s="3"/>
      <c r="D355" s="582"/>
      <c r="E355" s="3"/>
      <c r="F355" s="3"/>
      <c r="G355" s="3"/>
      <c r="H355" s="3"/>
      <c r="I355" s="3"/>
      <c r="J355" s="3"/>
      <c r="K355" s="2"/>
      <c r="L355" s="2"/>
    </row>
    <row r="356" spans="2:12" s="95" customFormat="1" ht="18" customHeight="1" x14ac:dyDescent="0.35">
      <c r="B356" s="2"/>
      <c r="C356" s="3"/>
      <c r="D356" s="582"/>
      <c r="E356" s="3"/>
      <c r="F356" s="3"/>
      <c r="G356" s="3"/>
      <c r="H356" s="3"/>
      <c r="I356" s="3"/>
      <c r="J356" s="3"/>
      <c r="K356" s="2"/>
      <c r="L356" s="2"/>
    </row>
    <row r="357" spans="2:12" s="95" customFormat="1" ht="18" customHeight="1" x14ac:dyDescent="0.35">
      <c r="B357" s="2"/>
      <c r="C357" s="3"/>
      <c r="D357" s="582"/>
      <c r="E357" s="3"/>
      <c r="F357" s="3"/>
      <c r="G357" s="3"/>
      <c r="H357" s="3"/>
      <c r="I357" s="3"/>
      <c r="J357" s="3"/>
      <c r="K357" s="2"/>
      <c r="L357" s="2"/>
    </row>
    <row r="358" spans="2:12" s="95" customFormat="1" ht="18" customHeight="1" x14ac:dyDescent="0.35">
      <c r="B358" s="2"/>
      <c r="C358" s="3"/>
      <c r="D358" s="582"/>
      <c r="E358" s="3"/>
      <c r="F358" s="3"/>
      <c r="G358" s="3"/>
      <c r="H358" s="3"/>
      <c r="I358" s="3"/>
      <c r="J358" s="3"/>
      <c r="K358" s="2"/>
      <c r="L358" s="2"/>
    </row>
    <row r="359" spans="2:12" s="95" customFormat="1" ht="18" customHeight="1" x14ac:dyDescent="0.35">
      <c r="B359" s="2"/>
      <c r="C359" s="3"/>
      <c r="D359" s="582"/>
      <c r="E359" s="3"/>
      <c r="F359" s="3"/>
      <c r="G359" s="3"/>
      <c r="H359" s="3"/>
      <c r="I359" s="3"/>
      <c r="J359" s="3"/>
      <c r="K359" s="2"/>
      <c r="L359" s="2"/>
    </row>
    <row r="360" spans="2:12" s="95" customFormat="1" ht="18" customHeight="1" x14ac:dyDescent="0.35">
      <c r="B360" s="2"/>
      <c r="C360" s="3"/>
      <c r="D360" s="582"/>
      <c r="E360" s="3"/>
      <c r="F360" s="3"/>
      <c r="G360" s="3"/>
      <c r="H360" s="3"/>
      <c r="I360" s="3"/>
      <c r="J360" s="3"/>
      <c r="K360" s="2"/>
      <c r="L360" s="2"/>
    </row>
    <row r="361" spans="2:12" s="95" customFormat="1" ht="18" customHeight="1" x14ac:dyDescent="0.35">
      <c r="B361" s="2"/>
      <c r="C361" s="3"/>
      <c r="D361" s="582"/>
      <c r="E361" s="3"/>
      <c r="F361" s="3"/>
      <c r="G361" s="3"/>
      <c r="H361" s="3"/>
      <c r="I361" s="3"/>
      <c r="J361" s="3"/>
      <c r="K361" s="2"/>
      <c r="L361" s="2"/>
    </row>
    <row r="362" spans="2:12" s="95" customFormat="1" ht="18" customHeight="1" x14ac:dyDescent="0.35">
      <c r="B362" s="2"/>
      <c r="C362" s="3"/>
      <c r="D362" s="582"/>
      <c r="E362" s="3"/>
      <c r="F362" s="3"/>
      <c r="G362" s="3"/>
      <c r="H362" s="3"/>
      <c r="I362" s="3"/>
      <c r="J362" s="3"/>
      <c r="K362" s="2"/>
      <c r="L362" s="2"/>
    </row>
    <row r="363" spans="2:12" s="95" customFormat="1" ht="18" customHeight="1" x14ac:dyDescent="0.35">
      <c r="B363" s="2"/>
      <c r="C363" s="3"/>
      <c r="D363" s="582"/>
      <c r="E363" s="3"/>
      <c r="F363" s="3"/>
      <c r="G363" s="3"/>
      <c r="H363" s="3"/>
      <c r="I363" s="3"/>
      <c r="J363" s="3"/>
      <c r="K363" s="2"/>
      <c r="L363" s="2"/>
    </row>
    <row r="364" spans="2:12" s="95" customFormat="1" ht="18" customHeight="1" x14ac:dyDescent="0.35">
      <c r="B364" s="2"/>
      <c r="C364" s="3"/>
      <c r="D364" s="582"/>
      <c r="E364" s="3"/>
      <c r="F364" s="3"/>
      <c r="G364" s="3"/>
      <c r="H364" s="3"/>
      <c r="I364" s="3"/>
      <c r="J364" s="3"/>
      <c r="K364" s="2"/>
      <c r="L364" s="2"/>
    </row>
    <row r="365" spans="2:12" s="95" customFormat="1" ht="18" customHeight="1" x14ac:dyDescent="0.35">
      <c r="B365" s="2"/>
      <c r="C365" s="3"/>
      <c r="D365" s="582"/>
      <c r="E365" s="3"/>
      <c r="F365" s="3"/>
      <c r="G365" s="3"/>
      <c r="H365" s="3"/>
      <c r="I365" s="3"/>
      <c r="J365" s="3"/>
      <c r="K365" s="2"/>
      <c r="L365" s="2"/>
    </row>
    <row r="366" spans="2:12" s="95" customFormat="1" ht="18" customHeight="1" x14ac:dyDescent="0.35">
      <c r="B366" s="2"/>
      <c r="C366" s="3"/>
      <c r="D366" s="582"/>
      <c r="E366" s="3"/>
      <c r="F366" s="3"/>
      <c r="G366" s="3"/>
      <c r="H366" s="3"/>
      <c r="I366" s="3"/>
      <c r="J366" s="3"/>
      <c r="K366" s="2"/>
      <c r="L366" s="2"/>
    </row>
    <row r="367" spans="2:12" s="95" customFormat="1" ht="18" customHeight="1" x14ac:dyDescent="0.35">
      <c r="B367" s="2"/>
      <c r="C367" s="3"/>
      <c r="D367" s="582"/>
      <c r="E367" s="3"/>
      <c r="F367" s="3"/>
      <c r="G367" s="3"/>
      <c r="H367" s="3"/>
      <c r="I367" s="3"/>
      <c r="J367" s="3"/>
      <c r="K367" s="2"/>
      <c r="L367" s="2"/>
    </row>
    <row r="368" spans="2:12" s="95" customFormat="1" ht="18" customHeight="1" x14ac:dyDescent="0.35">
      <c r="B368" s="2"/>
      <c r="C368" s="3"/>
      <c r="D368" s="582"/>
      <c r="E368" s="3"/>
      <c r="F368" s="3"/>
      <c r="G368" s="3"/>
      <c r="H368" s="3"/>
      <c r="I368" s="3"/>
      <c r="J368" s="3"/>
      <c r="K368" s="2"/>
      <c r="L368" s="2"/>
    </row>
    <row r="369" spans="2:12" s="95" customFormat="1" ht="18" customHeight="1" x14ac:dyDescent="0.35">
      <c r="B369" s="2"/>
      <c r="C369" s="3"/>
      <c r="D369" s="582"/>
      <c r="E369" s="3"/>
      <c r="F369" s="3"/>
      <c r="G369" s="3"/>
      <c r="H369" s="3"/>
      <c r="I369" s="3"/>
      <c r="J369" s="3"/>
      <c r="K369" s="2"/>
      <c r="L369" s="2"/>
    </row>
    <row r="370" spans="2:12" s="95" customFormat="1" ht="18" customHeight="1" x14ac:dyDescent="0.35">
      <c r="B370" s="2"/>
      <c r="C370" s="3"/>
      <c r="D370" s="582"/>
      <c r="E370" s="3"/>
      <c r="F370" s="3"/>
      <c r="G370" s="3"/>
      <c r="H370" s="3"/>
      <c r="I370" s="3"/>
      <c r="J370" s="3"/>
      <c r="K370" s="2"/>
      <c r="L370" s="2"/>
    </row>
    <row r="371" spans="2:12" s="95" customFormat="1" ht="18" customHeight="1" x14ac:dyDescent="0.35">
      <c r="B371" s="2"/>
      <c r="C371" s="3"/>
      <c r="D371" s="582"/>
      <c r="E371" s="3"/>
      <c r="F371" s="3"/>
      <c r="G371" s="3"/>
      <c r="H371" s="3"/>
      <c r="I371" s="3"/>
      <c r="J371" s="3"/>
      <c r="K371" s="2"/>
      <c r="L371" s="2"/>
    </row>
    <row r="372" spans="2:12" s="95" customFormat="1" ht="18" customHeight="1" x14ac:dyDescent="0.35">
      <c r="B372" s="2"/>
      <c r="C372" s="3"/>
      <c r="D372" s="582"/>
      <c r="E372" s="3"/>
      <c r="F372" s="3"/>
      <c r="G372" s="3"/>
      <c r="H372" s="3"/>
      <c r="I372" s="3"/>
      <c r="J372" s="3"/>
      <c r="K372" s="2"/>
      <c r="L372" s="2"/>
    </row>
    <row r="373" spans="2:12" s="95" customFormat="1" ht="18" customHeight="1" x14ac:dyDescent="0.35">
      <c r="B373" s="2"/>
      <c r="C373" s="3"/>
      <c r="D373" s="582"/>
      <c r="E373" s="3"/>
      <c r="F373" s="3"/>
      <c r="G373" s="3"/>
      <c r="H373" s="3"/>
      <c r="I373" s="3"/>
      <c r="J373" s="3"/>
      <c r="K373" s="2"/>
      <c r="L373" s="2"/>
    </row>
    <row r="374" spans="2:12" s="95" customFormat="1" ht="18" customHeight="1" x14ac:dyDescent="0.35">
      <c r="B374" s="2"/>
      <c r="C374" s="3"/>
      <c r="D374" s="582"/>
      <c r="E374" s="3"/>
      <c r="F374" s="3"/>
      <c r="G374" s="3"/>
      <c r="H374" s="3"/>
      <c r="I374" s="3"/>
      <c r="J374" s="3"/>
      <c r="K374" s="2"/>
      <c r="L374" s="2"/>
    </row>
    <row r="375" spans="2:12" s="95" customFormat="1" ht="18" customHeight="1" x14ac:dyDescent="0.35">
      <c r="B375" s="2"/>
      <c r="C375" s="3"/>
      <c r="D375" s="582"/>
      <c r="E375" s="3"/>
      <c r="F375" s="3"/>
      <c r="G375" s="3"/>
      <c r="H375" s="3"/>
      <c r="I375" s="3"/>
      <c r="J375" s="3"/>
      <c r="K375" s="2"/>
      <c r="L375" s="2"/>
    </row>
    <row r="376" spans="2:12" s="95" customFormat="1" ht="18" customHeight="1" x14ac:dyDescent="0.35">
      <c r="B376" s="2"/>
      <c r="C376" s="3"/>
      <c r="D376" s="582"/>
      <c r="E376" s="3"/>
      <c r="F376" s="3"/>
      <c r="G376" s="3"/>
      <c r="H376" s="3"/>
      <c r="I376" s="3"/>
      <c r="J376" s="3"/>
      <c r="K376" s="2"/>
      <c r="L376" s="2"/>
    </row>
    <row r="377" spans="2:12" s="95" customFormat="1" ht="18" customHeight="1" x14ac:dyDescent="0.35">
      <c r="B377" s="2"/>
      <c r="C377" s="3"/>
      <c r="D377" s="582"/>
      <c r="E377" s="3"/>
      <c r="F377" s="3"/>
      <c r="G377" s="3"/>
      <c r="H377" s="3"/>
      <c r="I377" s="3"/>
      <c r="J377" s="3"/>
      <c r="K377" s="2"/>
      <c r="L377" s="2"/>
    </row>
    <row r="378" spans="2:12" s="95" customFormat="1" ht="18" customHeight="1" x14ac:dyDescent="0.35">
      <c r="B378" s="2"/>
      <c r="C378" s="3"/>
      <c r="D378" s="582"/>
      <c r="E378" s="3"/>
      <c r="F378" s="3"/>
      <c r="G378" s="3"/>
      <c r="H378" s="3"/>
      <c r="I378" s="3"/>
      <c r="J378" s="3"/>
      <c r="K378" s="2"/>
      <c r="L378" s="2"/>
    </row>
    <row r="379" spans="2:12" s="95" customFormat="1" ht="18" customHeight="1" x14ac:dyDescent="0.35">
      <c r="B379" s="2"/>
      <c r="C379" s="3"/>
      <c r="D379" s="582"/>
      <c r="E379" s="3"/>
      <c r="F379" s="3"/>
      <c r="G379" s="3"/>
      <c r="H379" s="3"/>
      <c r="I379" s="3"/>
      <c r="J379" s="3"/>
      <c r="K379" s="2"/>
      <c r="L379" s="2"/>
    </row>
    <row r="380" spans="2:12" s="95" customFormat="1" ht="18" customHeight="1" x14ac:dyDescent="0.35">
      <c r="B380" s="2"/>
      <c r="C380" s="3"/>
      <c r="D380" s="582"/>
      <c r="E380" s="3"/>
      <c r="F380" s="3"/>
      <c r="G380" s="3"/>
      <c r="H380" s="3"/>
      <c r="I380" s="3"/>
      <c r="J380" s="3"/>
      <c r="K380" s="2"/>
      <c r="L380" s="2"/>
    </row>
    <row r="381" spans="2:12" s="95" customFormat="1" ht="18" customHeight="1" x14ac:dyDescent="0.35">
      <c r="B381" s="2"/>
      <c r="C381" s="3"/>
      <c r="D381" s="582"/>
      <c r="E381" s="3"/>
      <c r="F381" s="3"/>
      <c r="G381" s="3"/>
      <c r="H381" s="3"/>
      <c r="I381" s="3"/>
      <c r="J381" s="3"/>
      <c r="K381" s="2"/>
      <c r="L381" s="2"/>
    </row>
    <row r="382" spans="2:12" s="95" customFormat="1" ht="18" customHeight="1" x14ac:dyDescent="0.35">
      <c r="B382" s="2"/>
      <c r="C382" s="3"/>
      <c r="D382" s="582"/>
      <c r="E382" s="3"/>
      <c r="F382" s="3"/>
      <c r="G382" s="3"/>
      <c r="H382" s="3"/>
      <c r="I382" s="3"/>
      <c r="J382" s="3"/>
      <c r="K382" s="2"/>
      <c r="L382" s="2"/>
    </row>
    <row r="383" spans="2:12" ht="18" customHeight="1" x14ac:dyDescent="0.35"/>
    <row r="384" spans="2:12" ht="18" customHeight="1" x14ac:dyDescent="0.35"/>
    <row r="385" spans="1:12" ht="18" customHeight="1" x14ac:dyDescent="0.35"/>
    <row r="386" spans="1:12" ht="18" customHeight="1" x14ac:dyDescent="0.35"/>
    <row r="387" spans="1:12" ht="18" customHeight="1" x14ac:dyDescent="0.35"/>
    <row r="388" spans="1:12" ht="18" customHeight="1" x14ac:dyDescent="0.35"/>
    <row r="389" spans="1:12" ht="18" customHeight="1" x14ac:dyDescent="0.35">
      <c r="A389" s="95" t="s">
        <v>614</v>
      </c>
      <c r="B389" s="37"/>
      <c r="C389" s="38"/>
      <c r="D389" s="645"/>
      <c r="E389" s="38"/>
      <c r="F389" s="38"/>
      <c r="G389" s="38"/>
      <c r="H389" s="38"/>
      <c r="I389" s="38"/>
    </row>
    <row r="390" spans="1:12" ht="18" customHeight="1" x14ac:dyDescent="0.35">
      <c r="A390" s="544"/>
      <c r="B390" s="35"/>
      <c r="C390" s="22"/>
      <c r="D390" s="610"/>
      <c r="E390" s="22"/>
      <c r="F390" s="22"/>
      <c r="G390" s="22"/>
      <c r="H390" s="22"/>
      <c r="I390" s="22"/>
      <c r="J390" s="1"/>
      <c r="K390" s="21"/>
      <c r="L390" s="21"/>
    </row>
    <row r="391" spans="1:12" ht="18" customHeight="1" x14ac:dyDescent="0.35">
      <c r="A391" s="544"/>
      <c r="B391" s="21" t="s">
        <v>157</v>
      </c>
      <c r="C391" s="22"/>
      <c r="D391" s="610"/>
      <c r="E391" s="22"/>
      <c r="F391" s="22"/>
      <c r="G391" s="22"/>
      <c r="H391" s="22"/>
      <c r="I391" s="22"/>
      <c r="J391" s="1"/>
      <c r="K391" s="21"/>
      <c r="L391" s="21"/>
    </row>
    <row r="392" spans="1:12" ht="18" customHeight="1" x14ac:dyDescent="0.35">
      <c r="A392" s="544"/>
      <c r="B392" s="2" t="s">
        <v>158</v>
      </c>
      <c r="C392" s="22"/>
      <c r="D392" s="610"/>
      <c r="E392" s="22"/>
      <c r="F392" s="22"/>
      <c r="G392" s="22"/>
      <c r="H392" s="22"/>
      <c r="I392" s="22"/>
      <c r="J392" s="1"/>
    </row>
    <row r="393" spans="1:12" ht="18" customHeight="1" x14ac:dyDescent="0.35">
      <c r="A393" s="544"/>
      <c r="B393" s="35"/>
      <c r="C393" s="22"/>
      <c r="D393" s="610"/>
      <c r="E393" s="22"/>
      <c r="F393" s="22"/>
      <c r="G393" s="22"/>
      <c r="H393" s="22"/>
      <c r="I393" s="22"/>
      <c r="J393" s="1"/>
      <c r="K393" s="21"/>
      <c r="L393" s="21"/>
    </row>
    <row r="394" spans="1:12" ht="18" customHeight="1" x14ac:dyDescent="0.35">
      <c r="A394" s="544"/>
      <c r="B394" s="35"/>
      <c r="C394" s="22"/>
      <c r="D394" s="610"/>
      <c r="E394" s="22"/>
      <c r="F394" s="22"/>
      <c r="G394" s="22"/>
      <c r="H394" s="22"/>
      <c r="I394" s="22"/>
      <c r="J394" s="1"/>
      <c r="K394" s="21"/>
      <c r="L394" s="21"/>
    </row>
    <row r="395" spans="1:12" x14ac:dyDescent="0.35">
      <c r="E395" s="38"/>
    </row>
    <row r="396" spans="1:12" x14ac:dyDescent="0.35">
      <c r="A396" s="544" t="s">
        <v>615</v>
      </c>
      <c r="E396" s="38"/>
    </row>
    <row r="397" spans="1:12" x14ac:dyDescent="0.35">
      <c r="A397" s="95" t="s">
        <v>616</v>
      </c>
      <c r="B397" s="2" t="s">
        <v>159</v>
      </c>
      <c r="E397" s="38"/>
    </row>
    <row r="398" spans="1:12" ht="31" x14ac:dyDescent="0.35">
      <c r="A398" s="95" t="s">
        <v>617</v>
      </c>
      <c r="B398" s="2" t="s">
        <v>160</v>
      </c>
      <c r="E398" s="38"/>
    </row>
    <row r="399" spans="1:12" ht="31" x14ac:dyDescent="0.35">
      <c r="A399" s="95" t="s">
        <v>618</v>
      </c>
      <c r="B399" s="2" t="s">
        <v>161</v>
      </c>
      <c r="E399" s="38"/>
    </row>
    <row r="400" spans="1:12" x14ac:dyDescent="0.35">
      <c r="A400" s="95" t="s">
        <v>619</v>
      </c>
      <c r="B400" s="2" t="s">
        <v>162</v>
      </c>
      <c r="E400" s="38"/>
    </row>
    <row r="401" spans="1:5" x14ac:dyDescent="0.35">
      <c r="E401" s="38"/>
    </row>
    <row r="402" spans="1:5" x14ac:dyDescent="0.35">
      <c r="A402" s="95" t="s">
        <v>620</v>
      </c>
      <c r="E402" s="38"/>
    </row>
    <row r="403" spans="1:5" x14ac:dyDescent="0.35">
      <c r="A403" s="95" t="s">
        <v>621</v>
      </c>
      <c r="E403" s="38"/>
    </row>
    <row r="404" spans="1:5" x14ac:dyDescent="0.35">
      <c r="E404" s="38"/>
    </row>
    <row r="405" spans="1:5" x14ac:dyDescent="0.35">
      <c r="A405" s="544" t="s">
        <v>622</v>
      </c>
      <c r="B405" s="21"/>
      <c r="E405" s="38"/>
    </row>
    <row r="406" spans="1:5" ht="46.5" x14ac:dyDescent="0.35">
      <c r="A406" s="95" t="s">
        <v>10</v>
      </c>
      <c r="B406" s="2" t="s">
        <v>163</v>
      </c>
      <c r="E406" s="38"/>
    </row>
    <row r="407" spans="1:5" ht="46.5" x14ac:dyDescent="0.35">
      <c r="A407" s="95" t="s">
        <v>12</v>
      </c>
      <c r="B407" s="2" t="s">
        <v>164</v>
      </c>
      <c r="E407" s="38"/>
    </row>
    <row r="408" spans="1:5" ht="31" x14ac:dyDescent="0.35">
      <c r="A408" s="95" t="s">
        <v>33</v>
      </c>
      <c r="B408" s="2" t="s">
        <v>165</v>
      </c>
      <c r="E408" s="38"/>
    </row>
    <row r="409" spans="1:5" ht="46.5" x14ac:dyDescent="0.35">
      <c r="A409" s="95" t="s">
        <v>41</v>
      </c>
      <c r="B409" s="2" t="s">
        <v>166</v>
      </c>
      <c r="E409" s="38"/>
    </row>
    <row r="410" spans="1:5" x14ac:dyDescent="0.35">
      <c r="E410" s="38"/>
    </row>
    <row r="411" spans="1:5" x14ac:dyDescent="0.35">
      <c r="A411" s="544" t="s">
        <v>623</v>
      </c>
      <c r="B411" s="21"/>
      <c r="E411" s="38"/>
    </row>
    <row r="412" spans="1:5" ht="46.5" x14ac:dyDescent="0.35">
      <c r="A412" s="95" t="s">
        <v>10</v>
      </c>
      <c r="B412" s="2" t="s">
        <v>167</v>
      </c>
      <c r="E412" s="38"/>
    </row>
    <row r="413" spans="1:5" ht="46.5" x14ac:dyDescent="0.35">
      <c r="A413" s="95" t="s">
        <v>12</v>
      </c>
      <c r="B413" s="2" t="s">
        <v>168</v>
      </c>
      <c r="E413" s="38"/>
    </row>
    <row r="414" spans="1:5" ht="31" x14ac:dyDescent="0.35">
      <c r="A414" s="95" t="s">
        <v>33</v>
      </c>
      <c r="B414" s="2" t="s">
        <v>169</v>
      </c>
      <c r="E414" s="38"/>
    </row>
    <row r="415" spans="1:5" x14ac:dyDescent="0.35">
      <c r="A415" s="95" t="s">
        <v>41</v>
      </c>
      <c r="B415" s="2" t="s">
        <v>170</v>
      </c>
      <c r="E415" s="38"/>
    </row>
    <row r="416" spans="1:5" x14ac:dyDescent="0.35">
      <c r="E416" s="38"/>
    </row>
    <row r="417" spans="1:7" x14ac:dyDescent="0.35">
      <c r="A417" s="544" t="s">
        <v>624</v>
      </c>
      <c r="B417" s="21"/>
      <c r="E417" s="1" t="s">
        <v>625</v>
      </c>
      <c r="F417" s="1"/>
    </row>
    <row r="418" spans="1:7" x14ac:dyDescent="0.35">
      <c r="A418" s="95" t="s">
        <v>10</v>
      </c>
      <c r="B418" s="2" t="s">
        <v>171</v>
      </c>
      <c r="E418" s="3" t="s">
        <v>10</v>
      </c>
      <c r="F418" s="3" t="s">
        <v>626</v>
      </c>
    </row>
    <row r="419" spans="1:7" x14ac:dyDescent="0.35">
      <c r="A419" s="95" t="s">
        <v>12</v>
      </c>
      <c r="B419" s="2" t="s">
        <v>172</v>
      </c>
      <c r="E419" s="3" t="s">
        <v>12</v>
      </c>
      <c r="F419" s="3" t="s">
        <v>627</v>
      </c>
    </row>
    <row r="420" spans="1:7" ht="31" x14ac:dyDescent="0.35">
      <c r="A420" s="95" t="s">
        <v>33</v>
      </c>
      <c r="B420" s="2" t="s">
        <v>173</v>
      </c>
      <c r="E420" s="3" t="s">
        <v>33</v>
      </c>
      <c r="F420" s="3" t="s">
        <v>628</v>
      </c>
    </row>
    <row r="421" spans="1:7" x14ac:dyDescent="0.35">
      <c r="A421" s="95" t="s">
        <v>629</v>
      </c>
      <c r="B421" s="2" t="s">
        <v>174</v>
      </c>
      <c r="E421" s="3" t="s">
        <v>41</v>
      </c>
      <c r="F421" s="3" t="s">
        <v>630</v>
      </c>
    </row>
    <row r="422" spans="1:7" x14ac:dyDescent="0.35">
      <c r="F422" s="38"/>
    </row>
    <row r="423" spans="1:7" x14ac:dyDescent="0.35">
      <c r="A423" s="544" t="s">
        <v>631</v>
      </c>
      <c r="B423" s="21"/>
      <c r="E423" s="1" t="s">
        <v>632</v>
      </c>
      <c r="F423" s="38"/>
    </row>
    <row r="424" spans="1:7" x14ac:dyDescent="0.35">
      <c r="A424" s="95" t="s">
        <v>10</v>
      </c>
      <c r="B424" s="2" t="s">
        <v>175</v>
      </c>
      <c r="E424" s="3" t="s">
        <v>633</v>
      </c>
      <c r="F424" s="3" t="s">
        <v>634</v>
      </c>
    </row>
    <row r="425" spans="1:7" x14ac:dyDescent="0.35">
      <c r="A425" s="95" t="s">
        <v>635</v>
      </c>
      <c r="B425" s="2" t="s">
        <v>176</v>
      </c>
      <c r="E425" s="3" t="s">
        <v>636</v>
      </c>
      <c r="F425" s="3" t="s">
        <v>637</v>
      </c>
    </row>
    <row r="426" spans="1:7" ht="31" x14ac:dyDescent="0.35">
      <c r="A426" s="95" t="s">
        <v>638</v>
      </c>
      <c r="B426" s="2" t="s">
        <v>177</v>
      </c>
      <c r="E426" s="3" t="s">
        <v>639</v>
      </c>
    </row>
    <row r="427" spans="1:7" ht="31" x14ac:dyDescent="0.35">
      <c r="A427" s="95" t="s">
        <v>640</v>
      </c>
      <c r="B427" s="2" t="s">
        <v>178</v>
      </c>
      <c r="E427" s="38"/>
    </row>
    <row r="428" spans="1:7" x14ac:dyDescent="0.35">
      <c r="C428" s="96"/>
      <c r="D428" s="746"/>
      <c r="G428" s="3" t="s">
        <v>641</v>
      </c>
    </row>
    <row r="435" spans="1:12" s="1" customFormat="1" ht="18" customHeight="1" x14ac:dyDescent="0.35">
      <c r="A435" s="747"/>
      <c r="B435" s="97" t="s">
        <v>179</v>
      </c>
      <c r="C435" s="98" t="s">
        <v>180</v>
      </c>
      <c r="D435" s="748"/>
      <c r="E435" s="98" t="s">
        <v>642</v>
      </c>
      <c r="F435" s="98" t="s">
        <v>643</v>
      </c>
      <c r="G435" s="98" t="s">
        <v>644</v>
      </c>
      <c r="H435" s="98" t="s">
        <v>645</v>
      </c>
      <c r="I435" s="98"/>
      <c r="J435" s="98"/>
      <c r="K435" s="97"/>
      <c r="L435" s="21"/>
    </row>
    <row r="436" spans="1:12" s="1" customFormat="1" ht="18" customHeight="1" x14ac:dyDescent="0.35">
      <c r="A436" s="749"/>
      <c r="B436" s="99"/>
      <c r="C436" s="100" t="s">
        <v>181</v>
      </c>
      <c r="D436" s="750"/>
      <c r="E436" s="100" t="s">
        <v>646</v>
      </c>
      <c r="F436" s="100" t="s">
        <v>646</v>
      </c>
      <c r="G436" s="100" t="s">
        <v>646</v>
      </c>
      <c r="H436" s="100" t="s">
        <v>646</v>
      </c>
      <c r="I436" s="100"/>
      <c r="J436" s="101"/>
      <c r="K436" s="751"/>
      <c r="L436" s="21"/>
    </row>
    <row r="437" spans="1:12" ht="18" customHeight="1" x14ac:dyDescent="0.35">
      <c r="A437" s="752"/>
      <c r="B437" s="28" t="s">
        <v>182</v>
      </c>
      <c r="C437" s="10">
        <f t="shared" ref="C437:C460" si="22">SUM(E437:H437)</f>
        <v>81.36</v>
      </c>
      <c r="D437" s="615"/>
      <c r="E437" s="10">
        <f>+E30</f>
        <v>45.32</v>
      </c>
      <c r="F437" s="10"/>
      <c r="G437" s="10">
        <f>+G30</f>
        <v>0</v>
      </c>
      <c r="H437" s="10">
        <f>+H30</f>
        <v>36.04</v>
      </c>
      <c r="I437" s="10"/>
      <c r="J437" s="102"/>
      <c r="K437" s="653"/>
      <c r="L437" s="21"/>
    </row>
    <row r="438" spans="1:12" ht="18" customHeight="1" x14ac:dyDescent="0.35">
      <c r="A438" s="752"/>
      <c r="B438" s="28" t="s">
        <v>183</v>
      </c>
      <c r="C438" s="10">
        <f t="shared" si="22"/>
        <v>74.349999999999994</v>
      </c>
      <c r="D438" s="615"/>
      <c r="E438" s="10">
        <f>+E58</f>
        <v>25.93</v>
      </c>
      <c r="F438" s="10"/>
      <c r="G438" s="10"/>
      <c r="H438" s="10">
        <f>+H58</f>
        <v>48.42</v>
      </c>
      <c r="I438" s="10"/>
      <c r="J438" s="103"/>
      <c r="K438" s="28"/>
    </row>
    <row r="439" spans="1:12" ht="18" customHeight="1" x14ac:dyDescent="0.35">
      <c r="A439" s="752"/>
      <c r="B439" s="28" t="s">
        <v>184</v>
      </c>
      <c r="C439" s="10">
        <f t="shared" si="22"/>
        <v>28.02</v>
      </c>
      <c r="D439" s="615"/>
      <c r="E439" s="10">
        <f>+E69</f>
        <v>1.34</v>
      </c>
      <c r="F439" s="10"/>
      <c r="G439" s="10"/>
      <c r="H439" s="10">
        <f>+H69</f>
        <v>26.68</v>
      </c>
      <c r="I439" s="10"/>
      <c r="J439" s="102"/>
      <c r="K439" s="653"/>
      <c r="L439" s="21"/>
    </row>
    <row r="440" spans="1:12" ht="18" customHeight="1" x14ac:dyDescent="0.35">
      <c r="A440" s="753"/>
      <c r="B440" s="104" t="s">
        <v>185</v>
      </c>
      <c r="C440" s="10">
        <f t="shared" si="22"/>
        <v>3.28</v>
      </c>
      <c r="D440" s="656"/>
      <c r="E440" s="11">
        <f>+E76</f>
        <v>0.48</v>
      </c>
      <c r="F440" s="11"/>
      <c r="G440" s="11"/>
      <c r="H440" s="11">
        <f>+H76</f>
        <v>2.8</v>
      </c>
      <c r="I440" s="11"/>
      <c r="J440" s="102"/>
      <c r="K440" s="653"/>
      <c r="L440" s="21"/>
    </row>
    <row r="441" spans="1:12" ht="18" customHeight="1" x14ac:dyDescent="0.35">
      <c r="A441" s="753"/>
      <c r="B441" s="104" t="s">
        <v>186</v>
      </c>
      <c r="C441" s="10">
        <f t="shared" si="22"/>
        <v>26.35</v>
      </c>
      <c r="D441" s="656"/>
      <c r="E441" s="11">
        <f>+E89</f>
        <v>10.99</v>
      </c>
      <c r="F441" s="11"/>
      <c r="G441" s="11"/>
      <c r="H441" s="11">
        <f>+H89</f>
        <v>15.36</v>
      </c>
      <c r="I441" s="11"/>
      <c r="J441" s="102"/>
      <c r="K441" s="653"/>
      <c r="L441" s="21"/>
    </row>
    <row r="442" spans="1:12" ht="18" customHeight="1" x14ac:dyDescent="0.35">
      <c r="A442" s="753"/>
      <c r="B442" s="104" t="s">
        <v>187</v>
      </c>
      <c r="C442" s="10">
        <f t="shared" si="22"/>
        <v>107.35999999999999</v>
      </c>
      <c r="D442" s="656"/>
      <c r="E442" s="11">
        <f>+E123</f>
        <v>37.04</v>
      </c>
      <c r="F442" s="11"/>
      <c r="G442" s="11"/>
      <c r="H442" s="11">
        <f>+H123</f>
        <v>70.319999999999993</v>
      </c>
      <c r="I442" s="11"/>
      <c r="J442" s="102"/>
      <c r="K442" s="653"/>
      <c r="L442" s="21"/>
    </row>
    <row r="443" spans="1:12" ht="18" customHeight="1" x14ac:dyDescent="0.35">
      <c r="A443" s="753"/>
      <c r="B443" s="104" t="s">
        <v>188</v>
      </c>
      <c r="C443" s="10">
        <f t="shared" si="22"/>
        <v>10.66</v>
      </c>
      <c r="D443" s="656"/>
      <c r="E443" s="11">
        <f>+E135</f>
        <v>2.62</v>
      </c>
      <c r="F443" s="11"/>
      <c r="G443" s="11"/>
      <c r="H443" s="11">
        <f>+H135</f>
        <v>8.0399999999999991</v>
      </c>
      <c r="I443" s="11"/>
      <c r="J443" s="102"/>
      <c r="K443" s="653"/>
      <c r="L443" s="21"/>
    </row>
    <row r="444" spans="1:12" ht="18" customHeight="1" x14ac:dyDescent="0.35">
      <c r="A444" s="753"/>
      <c r="B444" s="104" t="s">
        <v>189</v>
      </c>
      <c r="C444" s="10">
        <f t="shared" si="22"/>
        <v>18.670000000000002</v>
      </c>
      <c r="D444" s="656"/>
      <c r="E444" s="11">
        <f>+E143</f>
        <v>13</v>
      </c>
      <c r="F444" s="11"/>
      <c r="G444" s="11"/>
      <c r="H444" s="11">
        <f>+H143</f>
        <v>5.67</v>
      </c>
      <c r="I444" s="11"/>
      <c r="J444" s="102"/>
      <c r="K444" s="653"/>
      <c r="L444" s="21"/>
    </row>
    <row r="445" spans="1:12" s="1" customFormat="1" ht="18" customHeight="1" x14ac:dyDescent="0.35">
      <c r="A445" s="753"/>
      <c r="B445" s="81" t="s">
        <v>190</v>
      </c>
      <c r="C445" s="51">
        <f t="shared" si="22"/>
        <v>350.04999999999995</v>
      </c>
      <c r="D445" s="708"/>
      <c r="E445" s="82">
        <f>SUM(E437:E444)</f>
        <v>136.72</v>
      </c>
      <c r="F445" s="82">
        <f>SUM(F437:F444)</f>
        <v>0</v>
      </c>
      <c r="G445" s="82">
        <f>SUM(G437:G444)</f>
        <v>0</v>
      </c>
      <c r="H445" s="82">
        <f>SUM(H437:H444)</f>
        <v>213.32999999999998</v>
      </c>
      <c r="I445" s="82"/>
      <c r="J445" s="102"/>
      <c r="K445" s="653"/>
      <c r="L445" s="21"/>
    </row>
    <row r="446" spans="1:12" ht="18" customHeight="1" x14ac:dyDescent="0.35">
      <c r="A446" s="753"/>
      <c r="B446" s="104" t="s">
        <v>191</v>
      </c>
      <c r="C446" s="10">
        <f t="shared" si="22"/>
        <v>108.1</v>
      </c>
      <c r="D446" s="656"/>
      <c r="E446" s="11">
        <f>+E165</f>
        <v>31.946999999999996</v>
      </c>
      <c r="F446" s="11">
        <f>+F165</f>
        <v>0</v>
      </c>
      <c r="G446" s="11"/>
      <c r="H446" s="11">
        <f>+H165</f>
        <v>76.153000000000006</v>
      </c>
      <c r="I446" s="11"/>
      <c r="J446" s="102"/>
      <c r="K446" s="653"/>
      <c r="L446" s="21"/>
    </row>
    <row r="447" spans="1:12" ht="18" customHeight="1" x14ac:dyDescent="0.35">
      <c r="A447" s="753"/>
      <c r="B447" s="104" t="s">
        <v>192</v>
      </c>
      <c r="C447" s="10">
        <f t="shared" si="22"/>
        <v>71.400000000000006</v>
      </c>
      <c r="D447" s="656"/>
      <c r="E447" s="11">
        <f>+E178</f>
        <v>33.61</v>
      </c>
      <c r="F447" s="11"/>
      <c r="G447" s="11"/>
      <c r="H447" s="11">
        <f>+H178</f>
        <v>37.790000000000006</v>
      </c>
      <c r="I447" s="11"/>
      <c r="J447" s="102"/>
      <c r="K447" s="653"/>
      <c r="L447" s="21"/>
    </row>
    <row r="448" spans="1:12" ht="18" customHeight="1" x14ac:dyDescent="0.35">
      <c r="A448" s="753"/>
      <c r="B448" s="104" t="s">
        <v>193</v>
      </c>
      <c r="C448" s="10">
        <f t="shared" si="22"/>
        <v>86.897000000000006</v>
      </c>
      <c r="D448" s="656"/>
      <c r="E448" s="11">
        <f>+E192</f>
        <v>12.41</v>
      </c>
      <c r="F448" s="11"/>
      <c r="G448" s="11"/>
      <c r="H448" s="11">
        <f>+H192</f>
        <v>74.487000000000009</v>
      </c>
      <c r="I448" s="11"/>
      <c r="J448" s="102"/>
      <c r="K448" s="653"/>
      <c r="L448" s="21"/>
    </row>
    <row r="449" spans="1:12" ht="18" customHeight="1" x14ac:dyDescent="0.35">
      <c r="A449" s="753"/>
      <c r="B449" s="104" t="s">
        <v>194</v>
      </c>
      <c r="C449" s="10">
        <f t="shared" si="22"/>
        <v>9</v>
      </c>
      <c r="D449" s="656"/>
      <c r="E449" s="11">
        <f>+E201</f>
        <v>0.79</v>
      </c>
      <c r="F449" s="11"/>
      <c r="G449" s="11"/>
      <c r="H449" s="11">
        <f>+H201</f>
        <v>8.2100000000000009</v>
      </c>
      <c r="I449" s="11"/>
      <c r="J449" s="102"/>
      <c r="K449" s="653"/>
      <c r="L449" s="21"/>
    </row>
    <row r="450" spans="1:12" ht="18" customHeight="1" x14ac:dyDescent="0.35">
      <c r="A450" s="753"/>
      <c r="B450" s="104" t="s">
        <v>195</v>
      </c>
      <c r="C450" s="10">
        <f t="shared" si="22"/>
        <v>55.499999999999993</v>
      </c>
      <c r="D450" s="656"/>
      <c r="E450" s="11">
        <f>+E217</f>
        <v>14.799999999999999</v>
      </c>
      <c r="F450" s="11"/>
      <c r="G450" s="11"/>
      <c r="H450" s="11">
        <f>+H217</f>
        <v>40.699999999999996</v>
      </c>
      <c r="I450" s="11"/>
      <c r="J450" s="102"/>
      <c r="K450" s="653"/>
      <c r="L450" s="21"/>
    </row>
    <row r="451" spans="1:12" ht="18" customHeight="1" x14ac:dyDescent="0.35">
      <c r="A451" s="753"/>
      <c r="B451" s="104" t="s">
        <v>196</v>
      </c>
      <c r="C451" s="10">
        <f t="shared" si="22"/>
        <v>10.100000000000001</v>
      </c>
      <c r="D451" s="656"/>
      <c r="E451" s="11">
        <f>+E227</f>
        <v>1.8</v>
      </c>
      <c r="F451" s="11">
        <f>+F227</f>
        <v>0</v>
      </c>
      <c r="G451" s="11"/>
      <c r="H451" s="11">
        <f>+H227</f>
        <v>8.3000000000000007</v>
      </c>
      <c r="I451" s="11"/>
      <c r="J451" s="102"/>
      <c r="K451" s="653"/>
      <c r="L451" s="21"/>
    </row>
    <row r="452" spans="1:12" ht="18" customHeight="1" x14ac:dyDescent="0.35">
      <c r="A452" s="753"/>
      <c r="B452" s="104" t="s">
        <v>197</v>
      </c>
      <c r="C452" s="10">
        <f t="shared" si="22"/>
        <v>27.700000000000003</v>
      </c>
      <c r="D452" s="656"/>
      <c r="E452" s="11">
        <f>+E239</f>
        <v>21.76</v>
      </c>
      <c r="F452" s="11">
        <f>+F239</f>
        <v>1.45</v>
      </c>
      <c r="G452" s="11"/>
      <c r="H452" s="11">
        <f>+H239</f>
        <v>4.49</v>
      </c>
      <c r="I452" s="11"/>
      <c r="J452" s="102"/>
      <c r="K452" s="653"/>
      <c r="L452" s="21"/>
    </row>
    <row r="453" spans="1:12" ht="18" customHeight="1" x14ac:dyDescent="0.35">
      <c r="A453" s="753"/>
      <c r="B453" s="104" t="s">
        <v>198</v>
      </c>
      <c r="C453" s="10">
        <f t="shared" si="22"/>
        <v>6.81</v>
      </c>
      <c r="D453" s="656"/>
      <c r="E453" s="11">
        <f>+E252</f>
        <v>6.0699999999999994</v>
      </c>
      <c r="F453" s="11">
        <f>+F252</f>
        <v>0.74</v>
      </c>
      <c r="G453" s="11"/>
      <c r="H453" s="11">
        <f>+H252</f>
        <v>0</v>
      </c>
      <c r="I453" s="11"/>
      <c r="J453" s="102"/>
      <c r="K453" s="653"/>
      <c r="L453" s="21"/>
    </row>
    <row r="454" spans="1:12" ht="18" customHeight="1" x14ac:dyDescent="0.35">
      <c r="A454" s="753"/>
      <c r="B454" s="104" t="s">
        <v>199</v>
      </c>
      <c r="C454" s="10">
        <f t="shared" si="22"/>
        <v>7.25</v>
      </c>
      <c r="D454" s="656"/>
      <c r="E454" s="11">
        <f>+E261</f>
        <v>3.3</v>
      </c>
      <c r="F454" s="11"/>
      <c r="G454" s="11"/>
      <c r="H454" s="11">
        <f>+H261</f>
        <v>3.9499999999999997</v>
      </c>
      <c r="I454" s="11"/>
      <c r="J454" s="102"/>
      <c r="K454" s="653"/>
      <c r="L454" s="21"/>
    </row>
    <row r="455" spans="1:12" ht="18" customHeight="1" x14ac:dyDescent="0.35">
      <c r="A455" s="753"/>
      <c r="B455" s="104" t="s">
        <v>200</v>
      </c>
      <c r="C455" s="10">
        <f t="shared" si="22"/>
        <v>76.180000000000007</v>
      </c>
      <c r="D455" s="656"/>
      <c r="E455" s="11">
        <f>+E277</f>
        <v>54.74</v>
      </c>
      <c r="F455" s="11"/>
      <c r="G455" s="11"/>
      <c r="H455" s="11">
        <f>+H277</f>
        <v>21.44</v>
      </c>
      <c r="I455" s="11"/>
      <c r="J455" s="102"/>
      <c r="K455" s="653"/>
      <c r="L455" s="21"/>
    </row>
    <row r="456" spans="1:12" ht="18" customHeight="1" x14ac:dyDescent="0.35">
      <c r="A456" s="753"/>
      <c r="B456" s="104" t="s">
        <v>201</v>
      </c>
      <c r="C456" s="10">
        <f t="shared" si="22"/>
        <v>34.027999999999999</v>
      </c>
      <c r="D456" s="656"/>
      <c r="E456" s="11">
        <f>+E288</f>
        <v>11.007999999999999</v>
      </c>
      <c r="F456" s="11"/>
      <c r="G456" s="11"/>
      <c r="H456" s="11">
        <f>+H288</f>
        <v>23.02</v>
      </c>
      <c r="I456" s="11"/>
      <c r="J456" s="102"/>
      <c r="K456" s="653"/>
      <c r="L456" s="21"/>
    </row>
    <row r="457" spans="1:12" ht="18" customHeight="1" x14ac:dyDescent="0.35">
      <c r="A457" s="753"/>
      <c r="B457" s="104" t="s">
        <v>202</v>
      </c>
      <c r="C457" s="10">
        <f t="shared" si="22"/>
        <v>24.679999999999996</v>
      </c>
      <c r="D457" s="656"/>
      <c r="E457" s="11">
        <f>+E299</f>
        <v>16.819999999999997</v>
      </c>
      <c r="F457" s="11"/>
      <c r="G457" s="11"/>
      <c r="H457" s="11">
        <f>+H299</f>
        <v>7.86</v>
      </c>
      <c r="I457" s="11"/>
      <c r="J457" s="102"/>
      <c r="K457" s="653"/>
      <c r="L457" s="21"/>
    </row>
    <row r="458" spans="1:12" ht="18" customHeight="1" x14ac:dyDescent="0.35">
      <c r="A458" s="753"/>
      <c r="B458" s="104" t="s">
        <v>203</v>
      </c>
      <c r="C458" s="10">
        <f t="shared" si="22"/>
        <v>8.7409999999999997</v>
      </c>
      <c r="D458" s="656"/>
      <c r="E458" s="11">
        <f>+E307</f>
        <v>1.18</v>
      </c>
      <c r="F458" s="11"/>
      <c r="G458" s="11"/>
      <c r="H458" s="11">
        <f>+H307</f>
        <v>7.5609999999999999</v>
      </c>
      <c r="I458" s="11"/>
      <c r="J458" s="102"/>
      <c r="K458" s="653"/>
      <c r="L458" s="21"/>
    </row>
    <row r="459" spans="1:12" s="1" customFormat="1" ht="18" customHeight="1" x14ac:dyDescent="0.35">
      <c r="A459" s="753"/>
      <c r="B459" s="81" t="s">
        <v>190</v>
      </c>
      <c r="C459" s="51">
        <f t="shared" si="22"/>
        <v>526.38599999999997</v>
      </c>
      <c r="D459" s="708"/>
      <c r="E459" s="82">
        <f>SUM(E446:E458)</f>
        <v>210.23499999999999</v>
      </c>
      <c r="F459" s="82">
        <f>SUM(F446:F458)</f>
        <v>2.19</v>
      </c>
      <c r="G459" s="82"/>
      <c r="H459" s="82">
        <f>SUM(H446:H458)</f>
        <v>313.96100000000001</v>
      </c>
      <c r="I459" s="82"/>
      <c r="J459" s="102"/>
      <c r="K459" s="653"/>
      <c r="L459" s="21"/>
    </row>
    <row r="460" spans="1:12" ht="18" customHeight="1" x14ac:dyDescent="0.35">
      <c r="A460" s="752"/>
      <c r="B460" s="105" t="s">
        <v>204</v>
      </c>
      <c r="C460" s="51">
        <f t="shared" si="22"/>
        <v>876.43599999999992</v>
      </c>
      <c r="D460" s="708"/>
      <c r="E460" s="82">
        <f>+E459+E445</f>
        <v>346.95499999999998</v>
      </c>
      <c r="F460" s="82">
        <f>+F459+F445</f>
        <v>2.19</v>
      </c>
      <c r="G460" s="82">
        <f>+G459+G445</f>
        <v>0</v>
      </c>
      <c r="H460" s="82">
        <f>+H459+H445</f>
        <v>527.29099999999994</v>
      </c>
      <c r="I460" s="82"/>
      <c r="J460" s="102"/>
      <c r="K460" s="105"/>
      <c r="L460" s="21"/>
    </row>
    <row r="462" spans="1:12" ht="31" x14ac:dyDescent="0.35">
      <c r="C462" s="96">
        <v>1149.9349999999999</v>
      </c>
      <c r="D462" s="746"/>
      <c r="K462" s="2" t="s">
        <v>647</v>
      </c>
    </row>
  </sheetData>
  <mergeCells count="175">
    <mergeCell ref="A309:B309"/>
    <mergeCell ref="A310:B310"/>
    <mergeCell ref="A301:L301"/>
    <mergeCell ref="A303:A304"/>
    <mergeCell ref="B303:B304"/>
    <mergeCell ref="C303:C304"/>
    <mergeCell ref="E303:I303"/>
    <mergeCell ref="J303:J304"/>
    <mergeCell ref="K303:K304"/>
    <mergeCell ref="L303:L304"/>
    <mergeCell ref="A290:L290"/>
    <mergeCell ref="A292:A293"/>
    <mergeCell ref="B292:B293"/>
    <mergeCell ref="C292:C293"/>
    <mergeCell ref="E292:I292"/>
    <mergeCell ref="J292:J293"/>
    <mergeCell ref="K292:K293"/>
    <mergeCell ref="L292:L293"/>
    <mergeCell ref="A279:L279"/>
    <mergeCell ref="A281:A282"/>
    <mergeCell ref="B281:B282"/>
    <mergeCell ref="C281:C282"/>
    <mergeCell ref="E281:I281"/>
    <mergeCell ref="J281:J282"/>
    <mergeCell ref="K281:K282"/>
    <mergeCell ref="L281:L282"/>
    <mergeCell ref="A265:A266"/>
    <mergeCell ref="B265:B266"/>
    <mergeCell ref="C265:C266"/>
    <mergeCell ref="E265:I265"/>
    <mergeCell ref="J265:J266"/>
    <mergeCell ref="K265:K266"/>
    <mergeCell ref="L265:L266"/>
    <mergeCell ref="A254:L254"/>
    <mergeCell ref="A256:A257"/>
    <mergeCell ref="B256:B257"/>
    <mergeCell ref="C256:C257"/>
    <mergeCell ref="E256:I256"/>
    <mergeCell ref="J256:J257"/>
    <mergeCell ref="K256:K257"/>
    <mergeCell ref="L256:L257"/>
    <mergeCell ref="A241:L241"/>
    <mergeCell ref="A243:A244"/>
    <mergeCell ref="B243:B244"/>
    <mergeCell ref="C243:C244"/>
    <mergeCell ref="E243:I243"/>
    <mergeCell ref="J243:J244"/>
    <mergeCell ref="K243:K244"/>
    <mergeCell ref="L243:L244"/>
    <mergeCell ref="A263:L263"/>
    <mergeCell ref="A231:A232"/>
    <mergeCell ref="B231:B232"/>
    <mergeCell ref="C231:C232"/>
    <mergeCell ref="E231:I231"/>
    <mergeCell ref="J231:J232"/>
    <mergeCell ref="K231:K232"/>
    <mergeCell ref="A219:L219"/>
    <mergeCell ref="A221:A222"/>
    <mergeCell ref="B221:B222"/>
    <mergeCell ref="C221:C222"/>
    <mergeCell ref="E221:I221"/>
    <mergeCell ref="J221:J222"/>
    <mergeCell ref="K221:K222"/>
    <mergeCell ref="L221:L222"/>
    <mergeCell ref="L231:L232"/>
    <mergeCell ref="A203:K203"/>
    <mergeCell ref="A205:A206"/>
    <mergeCell ref="B205:B206"/>
    <mergeCell ref="C205:C206"/>
    <mergeCell ref="E205:I205"/>
    <mergeCell ref="J205:J206"/>
    <mergeCell ref="K205:K206"/>
    <mergeCell ref="L205:L206"/>
    <mergeCell ref="A229:K229"/>
    <mergeCell ref="A194:K194"/>
    <mergeCell ref="A196:A197"/>
    <mergeCell ref="B196:B197"/>
    <mergeCell ref="C196:C197"/>
    <mergeCell ref="E196:I196"/>
    <mergeCell ref="J196:J197"/>
    <mergeCell ref="K196:K197"/>
    <mergeCell ref="L169:L170"/>
    <mergeCell ref="A180:K180"/>
    <mergeCell ref="A182:A183"/>
    <mergeCell ref="B182:B183"/>
    <mergeCell ref="C182:C183"/>
    <mergeCell ref="E182:I182"/>
    <mergeCell ref="J182:J183"/>
    <mergeCell ref="K182:K183"/>
    <mergeCell ref="L182:L183"/>
    <mergeCell ref="L196:L197"/>
    <mergeCell ref="A167:K167"/>
    <mergeCell ref="A169:A170"/>
    <mergeCell ref="B169:B170"/>
    <mergeCell ref="C169:C170"/>
    <mergeCell ref="E169:I169"/>
    <mergeCell ref="J169:J170"/>
    <mergeCell ref="K169:K170"/>
    <mergeCell ref="A145:B145"/>
    <mergeCell ref="A147:L147"/>
    <mergeCell ref="A149:A150"/>
    <mergeCell ref="B149:B150"/>
    <mergeCell ref="C149:C150"/>
    <mergeCell ref="E149:I149"/>
    <mergeCell ref="J149:J150"/>
    <mergeCell ref="K149:K150"/>
    <mergeCell ref="L149:L150"/>
    <mergeCell ref="A137:L137"/>
    <mergeCell ref="A139:A140"/>
    <mergeCell ref="B139:B140"/>
    <mergeCell ref="C139:C140"/>
    <mergeCell ref="E139:I139"/>
    <mergeCell ref="J139:J140"/>
    <mergeCell ref="K139:K140"/>
    <mergeCell ref="L139:L140"/>
    <mergeCell ref="A125:L125"/>
    <mergeCell ref="A127:A128"/>
    <mergeCell ref="B127:B128"/>
    <mergeCell ref="C127:C128"/>
    <mergeCell ref="E127:I127"/>
    <mergeCell ref="J127:J128"/>
    <mergeCell ref="K127:K128"/>
    <mergeCell ref="L127:L128"/>
    <mergeCell ref="A91:L91"/>
    <mergeCell ref="A93:A94"/>
    <mergeCell ref="B93:B94"/>
    <mergeCell ref="C93:C94"/>
    <mergeCell ref="E93:I93"/>
    <mergeCell ref="J93:J94"/>
    <mergeCell ref="K93:K94"/>
    <mergeCell ref="L93:L94"/>
    <mergeCell ref="A78:L78"/>
    <mergeCell ref="A80:A81"/>
    <mergeCell ref="B80:B81"/>
    <mergeCell ref="C80:C81"/>
    <mergeCell ref="E80:I80"/>
    <mergeCell ref="J80:J81"/>
    <mergeCell ref="K80:K81"/>
    <mergeCell ref="L80:L81"/>
    <mergeCell ref="A73:A74"/>
    <mergeCell ref="B73:B74"/>
    <mergeCell ref="C73:C74"/>
    <mergeCell ref="E73:I73"/>
    <mergeCell ref="J73:J74"/>
    <mergeCell ref="K73:K74"/>
    <mergeCell ref="L73:L74"/>
    <mergeCell ref="A59:L59"/>
    <mergeCell ref="A61:A62"/>
    <mergeCell ref="B61:B62"/>
    <mergeCell ref="C61:C62"/>
    <mergeCell ref="E61:I61"/>
    <mergeCell ref="J61:J62"/>
    <mergeCell ref="K61:K62"/>
    <mergeCell ref="L61:L62"/>
    <mergeCell ref="A32:L32"/>
    <mergeCell ref="A34:A35"/>
    <mergeCell ref="B34:B35"/>
    <mergeCell ref="C34:C35"/>
    <mergeCell ref="E34:I34"/>
    <mergeCell ref="J34:J35"/>
    <mergeCell ref="K34:K35"/>
    <mergeCell ref="L34:L35"/>
    <mergeCell ref="A71:L71"/>
    <mergeCell ref="A1:K1"/>
    <mergeCell ref="A2:K2"/>
    <mergeCell ref="A3:K3"/>
    <mergeCell ref="A6:L6"/>
    <mergeCell ref="A8:A9"/>
    <mergeCell ref="B8:B9"/>
    <mergeCell ref="C8:C9"/>
    <mergeCell ref="D8:D9"/>
    <mergeCell ref="E8:I8"/>
    <mergeCell ref="J8:J9"/>
    <mergeCell ref="K8:K9"/>
    <mergeCell ref="L8:L9"/>
  </mergeCells>
  <pageMargins left="0.7" right="0.7" top="0.75" bottom="0.75" header="0.3" footer="0.3"/>
  <pageSetup paperSize="9" scale="72" orientation="landscape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C00000"/>
    <pageSetUpPr fitToPage="1"/>
  </sheetPr>
  <dimension ref="A1:R243"/>
  <sheetViews>
    <sheetView view="pageBreakPreview" zoomScale="90" zoomScaleNormal="70" zoomScaleSheetLayoutView="90" zoomScalePageLayoutView="30" workbookViewId="0">
      <pane ySplit="6" topLeftCell="A214" activePane="bottomLeft" state="frozen"/>
      <selection activeCell="W38" sqref="W38"/>
      <selection pane="bottomLeft" activeCell="W38" sqref="W38"/>
    </sheetView>
  </sheetViews>
  <sheetFormatPr defaultRowHeight="18" x14ac:dyDescent="0.35"/>
  <cols>
    <col min="1" max="1" width="9.1796875" style="329"/>
    <col min="2" max="2" width="20.7265625" style="354" customWidth="1"/>
    <col min="3" max="3" width="50.7265625" style="327" customWidth="1"/>
    <col min="4" max="4" width="12.81640625" style="329" customWidth="1"/>
    <col min="5" max="5" width="14.81640625" style="329" customWidth="1"/>
    <col min="6" max="6" width="12" style="329" customWidth="1"/>
    <col min="7" max="7" width="9.54296875" style="329" customWidth="1"/>
    <col min="8" max="8" width="12.54296875" style="329" customWidth="1"/>
    <col min="9" max="9" width="14.453125" style="329" customWidth="1"/>
    <col min="10" max="10" width="12.81640625" style="329" customWidth="1"/>
    <col min="11" max="11" width="23.7265625" style="327" customWidth="1"/>
    <col min="12" max="12" width="21.26953125" style="452" customWidth="1"/>
    <col min="13" max="13" width="22.54296875" style="327" customWidth="1"/>
    <col min="14" max="14" width="20" style="329" customWidth="1"/>
    <col min="15" max="15" width="15.54296875" style="329" customWidth="1"/>
    <col min="16" max="16" width="16.26953125" style="329" customWidth="1"/>
    <col min="17" max="17" width="9.1796875" style="329" customWidth="1"/>
    <col min="18" max="18" width="9.7265625" style="329" customWidth="1"/>
    <col min="19" max="20" width="9.1796875" style="329" customWidth="1"/>
    <col min="21" max="256" width="9.1796875" style="329"/>
    <col min="257" max="257" width="13.26953125" style="329" customWidth="1"/>
    <col min="258" max="258" width="27.453125" style="329" customWidth="1"/>
    <col min="259" max="260" width="9.54296875" style="329" customWidth="1"/>
    <col min="261" max="261" width="9.7265625" style="329" customWidth="1"/>
    <col min="262" max="262" width="9.54296875" style="329" customWidth="1"/>
    <col min="263" max="263" width="12.54296875" style="329" customWidth="1"/>
    <col min="264" max="264" width="10" style="329" customWidth="1"/>
    <col min="265" max="265" width="9.7265625" style="329" customWidth="1"/>
    <col min="266" max="268" width="9.1796875" style="329" customWidth="1"/>
    <col min="269" max="512" width="9.1796875" style="329"/>
    <col min="513" max="513" width="13.26953125" style="329" customWidth="1"/>
    <col min="514" max="514" width="27.453125" style="329" customWidth="1"/>
    <col min="515" max="516" width="9.54296875" style="329" customWidth="1"/>
    <col min="517" max="517" width="9.7265625" style="329" customWidth="1"/>
    <col min="518" max="518" width="9.54296875" style="329" customWidth="1"/>
    <col min="519" max="519" width="12.54296875" style="329" customWidth="1"/>
    <col min="520" max="520" width="10" style="329" customWidth="1"/>
    <col min="521" max="521" width="9.7265625" style="329" customWidth="1"/>
    <col min="522" max="524" width="9.1796875" style="329" customWidth="1"/>
    <col min="525" max="768" width="9.1796875" style="329"/>
    <col min="769" max="769" width="13.26953125" style="329" customWidth="1"/>
    <col min="770" max="770" width="27.453125" style="329" customWidth="1"/>
    <col min="771" max="772" width="9.54296875" style="329" customWidth="1"/>
    <col min="773" max="773" width="9.7265625" style="329" customWidth="1"/>
    <col min="774" max="774" width="9.54296875" style="329" customWidth="1"/>
    <col min="775" max="775" width="12.54296875" style="329" customWidth="1"/>
    <col min="776" max="776" width="10" style="329" customWidth="1"/>
    <col min="777" max="777" width="9.7265625" style="329" customWidth="1"/>
    <col min="778" max="780" width="9.1796875" style="329" customWidth="1"/>
    <col min="781" max="1024" width="9.1796875" style="329"/>
    <col min="1025" max="1025" width="13.26953125" style="329" customWidth="1"/>
    <col min="1026" max="1026" width="27.453125" style="329" customWidth="1"/>
    <col min="1027" max="1028" width="9.54296875" style="329" customWidth="1"/>
    <col min="1029" max="1029" width="9.7265625" style="329" customWidth="1"/>
    <col min="1030" max="1030" width="9.54296875" style="329" customWidth="1"/>
    <col min="1031" max="1031" width="12.54296875" style="329" customWidth="1"/>
    <col min="1032" max="1032" width="10" style="329" customWidth="1"/>
    <col min="1033" max="1033" width="9.7265625" style="329" customWidth="1"/>
    <col min="1034" max="1036" width="9.1796875" style="329" customWidth="1"/>
    <col min="1037" max="1280" width="9.1796875" style="329"/>
    <col min="1281" max="1281" width="13.26953125" style="329" customWidth="1"/>
    <col min="1282" max="1282" width="27.453125" style="329" customWidth="1"/>
    <col min="1283" max="1284" width="9.54296875" style="329" customWidth="1"/>
    <col min="1285" max="1285" width="9.7265625" style="329" customWidth="1"/>
    <col min="1286" max="1286" width="9.54296875" style="329" customWidth="1"/>
    <col min="1287" max="1287" width="12.54296875" style="329" customWidth="1"/>
    <col min="1288" max="1288" width="10" style="329" customWidth="1"/>
    <col min="1289" max="1289" width="9.7265625" style="329" customWidth="1"/>
    <col min="1290" max="1292" width="9.1796875" style="329" customWidth="1"/>
    <col min="1293" max="1536" width="9.1796875" style="329"/>
    <col min="1537" max="1537" width="13.26953125" style="329" customWidth="1"/>
    <col min="1538" max="1538" width="27.453125" style="329" customWidth="1"/>
    <col min="1539" max="1540" width="9.54296875" style="329" customWidth="1"/>
    <col min="1541" max="1541" width="9.7265625" style="329" customWidth="1"/>
    <col min="1542" max="1542" width="9.54296875" style="329" customWidth="1"/>
    <col min="1543" max="1543" width="12.54296875" style="329" customWidth="1"/>
    <col min="1544" max="1544" width="10" style="329" customWidth="1"/>
    <col min="1545" max="1545" width="9.7265625" style="329" customWidth="1"/>
    <col min="1546" max="1548" width="9.1796875" style="329" customWidth="1"/>
    <col min="1549" max="1792" width="9.1796875" style="329"/>
    <col min="1793" max="1793" width="13.26953125" style="329" customWidth="1"/>
    <col min="1794" max="1794" width="27.453125" style="329" customWidth="1"/>
    <col min="1795" max="1796" width="9.54296875" style="329" customWidth="1"/>
    <col min="1797" max="1797" width="9.7265625" style="329" customWidth="1"/>
    <col min="1798" max="1798" width="9.54296875" style="329" customWidth="1"/>
    <col min="1799" max="1799" width="12.54296875" style="329" customWidth="1"/>
    <col min="1800" max="1800" width="10" style="329" customWidth="1"/>
    <col min="1801" max="1801" width="9.7265625" style="329" customWidth="1"/>
    <col min="1802" max="1804" width="9.1796875" style="329" customWidth="1"/>
    <col min="1805" max="2048" width="9.1796875" style="329"/>
    <col min="2049" max="2049" width="13.26953125" style="329" customWidth="1"/>
    <col min="2050" max="2050" width="27.453125" style="329" customWidth="1"/>
    <col min="2051" max="2052" width="9.54296875" style="329" customWidth="1"/>
    <col min="2053" max="2053" width="9.7265625" style="329" customWidth="1"/>
    <col min="2054" max="2054" width="9.54296875" style="329" customWidth="1"/>
    <col min="2055" max="2055" width="12.54296875" style="329" customWidth="1"/>
    <col min="2056" max="2056" width="10" style="329" customWidth="1"/>
    <col min="2057" max="2057" width="9.7265625" style="329" customWidth="1"/>
    <col min="2058" max="2060" width="9.1796875" style="329" customWidth="1"/>
    <col min="2061" max="2304" width="9.1796875" style="329"/>
    <col min="2305" max="2305" width="13.26953125" style="329" customWidth="1"/>
    <col min="2306" max="2306" width="27.453125" style="329" customWidth="1"/>
    <col min="2307" max="2308" width="9.54296875" style="329" customWidth="1"/>
    <col min="2309" max="2309" width="9.7265625" style="329" customWidth="1"/>
    <col min="2310" max="2310" width="9.54296875" style="329" customWidth="1"/>
    <col min="2311" max="2311" width="12.54296875" style="329" customWidth="1"/>
    <col min="2312" max="2312" width="10" style="329" customWidth="1"/>
    <col min="2313" max="2313" width="9.7265625" style="329" customWidth="1"/>
    <col min="2314" max="2316" width="9.1796875" style="329" customWidth="1"/>
    <col min="2317" max="2560" width="9.1796875" style="329"/>
    <col min="2561" max="2561" width="13.26953125" style="329" customWidth="1"/>
    <col min="2562" max="2562" width="27.453125" style="329" customWidth="1"/>
    <col min="2563" max="2564" width="9.54296875" style="329" customWidth="1"/>
    <col min="2565" max="2565" width="9.7265625" style="329" customWidth="1"/>
    <col min="2566" max="2566" width="9.54296875" style="329" customWidth="1"/>
    <col min="2567" max="2567" width="12.54296875" style="329" customWidth="1"/>
    <col min="2568" max="2568" width="10" style="329" customWidth="1"/>
    <col min="2569" max="2569" width="9.7265625" style="329" customWidth="1"/>
    <col min="2570" max="2572" width="9.1796875" style="329" customWidth="1"/>
    <col min="2573" max="2816" width="9.1796875" style="329"/>
    <col min="2817" max="2817" width="13.26953125" style="329" customWidth="1"/>
    <col min="2818" max="2818" width="27.453125" style="329" customWidth="1"/>
    <col min="2819" max="2820" width="9.54296875" style="329" customWidth="1"/>
    <col min="2821" max="2821" width="9.7265625" style="329" customWidth="1"/>
    <col min="2822" max="2822" width="9.54296875" style="329" customWidth="1"/>
    <col min="2823" max="2823" width="12.54296875" style="329" customWidth="1"/>
    <col min="2824" max="2824" width="10" style="329" customWidth="1"/>
    <col min="2825" max="2825" width="9.7265625" style="329" customWidth="1"/>
    <col min="2826" max="2828" width="9.1796875" style="329" customWidth="1"/>
    <col min="2829" max="3072" width="9.1796875" style="329"/>
    <col min="3073" max="3073" width="13.26953125" style="329" customWidth="1"/>
    <col min="3074" max="3074" width="27.453125" style="329" customWidth="1"/>
    <col min="3075" max="3076" width="9.54296875" style="329" customWidth="1"/>
    <col min="3077" max="3077" width="9.7265625" style="329" customWidth="1"/>
    <col min="3078" max="3078" width="9.54296875" style="329" customWidth="1"/>
    <col min="3079" max="3079" width="12.54296875" style="329" customWidth="1"/>
    <col min="3080" max="3080" width="10" style="329" customWidth="1"/>
    <col min="3081" max="3081" width="9.7265625" style="329" customWidth="1"/>
    <col min="3082" max="3084" width="9.1796875" style="329" customWidth="1"/>
    <col min="3085" max="3328" width="9.1796875" style="329"/>
    <col min="3329" max="3329" width="13.26953125" style="329" customWidth="1"/>
    <col min="3330" max="3330" width="27.453125" style="329" customWidth="1"/>
    <col min="3331" max="3332" width="9.54296875" style="329" customWidth="1"/>
    <col min="3333" max="3333" width="9.7265625" style="329" customWidth="1"/>
    <col min="3334" max="3334" width="9.54296875" style="329" customWidth="1"/>
    <col min="3335" max="3335" width="12.54296875" style="329" customWidth="1"/>
    <col min="3336" max="3336" width="10" style="329" customWidth="1"/>
    <col min="3337" max="3337" width="9.7265625" style="329" customWidth="1"/>
    <col min="3338" max="3340" width="9.1796875" style="329" customWidth="1"/>
    <col min="3341" max="3584" width="9.1796875" style="329"/>
    <col min="3585" max="3585" width="13.26953125" style="329" customWidth="1"/>
    <col min="3586" max="3586" width="27.453125" style="329" customWidth="1"/>
    <col min="3587" max="3588" width="9.54296875" style="329" customWidth="1"/>
    <col min="3589" max="3589" width="9.7265625" style="329" customWidth="1"/>
    <col min="3590" max="3590" width="9.54296875" style="329" customWidth="1"/>
    <col min="3591" max="3591" width="12.54296875" style="329" customWidth="1"/>
    <col min="3592" max="3592" width="10" style="329" customWidth="1"/>
    <col min="3593" max="3593" width="9.7265625" style="329" customWidth="1"/>
    <col min="3594" max="3596" width="9.1796875" style="329" customWidth="1"/>
    <col min="3597" max="3840" width="9.1796875" style="329"/>
    <col min="3841" max="3841" width="13.26953125" style="329" customWidth="1"/>
    <col min="3842" max="3842" width="27.453125" style="329" customWidth="1"/>
    <col min="3843" max="3844" width="9.54296875" style="329" customWidth="1"/>
    <col min="3845" max="3845" width="9.7265625" style="329" customWidth="1"/>
    <col min="3846" max="3846" width="9.54296875" style="329" customWidth="1"/>
    <col min="3847" max="3847" width="12.54296875" style="329" customWidth="1"/>
    <col min="3848" max="3848" width="10" style="329" customWidth="1"/>
    <col min="3849" max="3849" width="9.7265625" style="329" customWidth="1"/>
    <col min="3850" max="3852" width="9.1796875" style="329" customWidth="1"/>
    <col min="3853" max="4096" width="9.1796875" style="329"/>
    <col min="4097" max="4097" width="13.26953125" style="329" customWidth="1"/>
    <col min="4098" max="4098" width="27.453125" style="329" customWidth="1"/>
    <col min="4099" max="4100" width="9.54296875" style="329" customWidth="1"/>
    <col min="4101" max="4101" width="9.7265625" style="329" customWidth="1"/>
    <col min="4102" max="4102" width="9.54296875" style="329" customWidth="1"/>
    <col min="4103" max="4103" width="12.54296875" style="329" customWidth="1"/>
    <col min="4104" max="4104" width="10" style="329" customWidth="1"/>
    <col min="4105" max="4105" width="9.7265625" style="329" customWidth="1"/>
    <col min="4106" max="4108" width="9.1796875" style="329" customWidth="1"/>
    <col min="4109" max="4352" width="9.1796875" style="329"/>
    <col min="4353" max="4353" width="13.26953125" style="329" customWidth="1"/>
    <col min="4354" max="4354" width="27.453125" style="329" customWidth="1"/>
    <col min="4355" max="4356" width="9.54296875" style="329" customWidth="1"/>
    <col min="4357" max="4357" width="9.7265625" style="329" customWidth="1"/>
    <col min="4358" max="4358" width="9.54296875" style="329" customWidth="1"/>
    <col min="4359" max="4359" width="12.54296875" style="329" customWidth="1"/>
    <col min="4360" max="4360" width="10" style="329" customWidth="1"/>
    <col min="4361" max="4361" width="9.7265625" style="329" customWidth="1"/>
    <col min="4362" max="4364" width="9.1796875" style="329" customWidth="1"/>
    <col min="4365" max="4608" width="9.1796875" style="329"/>
    <col min="4609" max="4609" width="13.26953125" style="329" customWidth="1"/>
    <col min="4610" max="4610" width="27.453125" style="329" customWidth="1"/>
    <col min="4611" max="4612" width="9.54296875" style="329" customWidth="1"/>
    <col min="4613" max="4613" width="9.7265625" style="329" customWidth="1"/>
    <col min="4614" max="4614" width="9.54296875" style="329" customWidth="1"/>
    <col min="4615" max="4615" width="12.54296875" style="329" customWidth="1"/>
    <col min="4616" max="4616" width="10" style="329" customWidth="1"/>
    <col min="4617" max="4617" width="9.7265625" style="329" customWidth="1"/>
    <col min="4618" max="4620" width="9.1796875" style="329" customWidth="1"/>
    <col min="4621" max="4864" width="9.1796875" style="329"/>
    <col min="4865" max="4865" width="13.26953125" style="329" customWidth="1"/>
    <col min="4866" max="4866" width="27.453125" style="329" customWidth="1"/>
    <col min="4867" max="4868" width="9.54296875" style="329" customWidth="1"/>
    <col min="4869" max="4869" width="9.7265625" style="329" customWidth="1"/>
    <col min="4870" max="4870" width="9.54296875" style="329" customWidth="1"/>
    <col min="4871" max="4871" width="12.54296875" style="329" customWidth="1"/>
    <col min="4872" max="4872" width="10" style="329" customWidth="1"/>
    <col min="4873" max="4873" width="9.7265625" style="329" customWidth="1"/>
    <col min="4874" max="4876" width="9.1796875" style="329" customWidth="1"/>
    <col min="4877" max="5120" width="9.1796875" style="329"/>
    <col min="5121" max="5121" width="13.26953125" style="329" customWidth="1"/>
    <col min="5122" max="5122" width="27.453125" style="329" customWidth="1"/>
    <col min="5123" max="5124" width="9.54296875" style="329" customWidth="1"/>
    <col min="5125" max="5125" width="9.7265625" style="329" customWidth="1"/>
    <col min="5126" max="5126" width="9.54296875" style="329" customWidth="1"/>
    <col min="5127" max="5127" width="12.54296875" style="329" customWidth="1"/>
    <col min="5128" max="5128" width="10" style="329" customWidth="1"/>
    <col min="5129" max="5129" width="9.7265625" style="329" customWidth="1"/>
    <col min="5130" max="5132" width="9.1796875" style="329" customWidth="1"/>
    <col min="5133" max="5376" width="9.1796875" style="329"/>
    <col min="5377" max="5377" width="13.26953125" style="329" customWidth="1"/>
    <col min="5378" max="5378" width="27.453125" style="329" customWidth="1"/>
    <col min="5379" max="5380" width="9.54296875" style="329" customWidth="1"/>
    <col min="5381" max="5381" width="9.7265625" style="329" customWidth="1"/>
    <col min="5382" max="5382" width="9.54296875" style="329" customWidth="1"/>
    <col min="5383" max="5383" width="12.54296875" style="329" customWidth="1"/>
    <col min="5384" max="5384" width="10" style="329" customWidth="1"/>
    <col min="5385" max="5385" width="9.7265625" style="329" customWidth="1"/>
    <col min="5386" max="5388" width="9.1796875" style="329" customWidth="1"/>
    <col min="5389" max="5632" width="9.1796875" style="329"/>
    <col min="5633" max="5633" width="13.26953125" style="329" customWidth="1"/>
    <col min="5634" max="5634" width="27.453125" style="329" customWidth="1"/>
    <col min="5635" max="5636" width="9.54296875" style="329" customWidth="1"/>
    <col min="5637" max="5637" width="9.7265625" style="329" customWidth="1"/>
    <col min="5638" max="5638" width="9.54296875" style="329" customWidth="1"/>
    <col min="5639" max="5639" width="12.54296875" style="329" customWidth="1"/>
    <col min="5640" max="5640" width="10" style="329" customWidth="1"/>
    <col min="5641" max="5641" width="9.7265625" style="329" customWidth="1"/>
    <col min="5642" max="5644" width="9.1796875" style="329" customWidth="1"/>
    <col min="5645" max="5888" width="9.1796875" style="329"/>
    <col min="5889" max="5889" width="13.26953125" style="329" customWidth="1"/>
    <col min="5890" max="5890" width="27.453125" style="329" customWidth="1"/>
    <col min="5891" max="5892" width="9.54296875" style="329" customWidth="1"/>
    <col min="5893" max="5893" width="9.7265625" style="329" customWidth="1"/>
    <col min="5894" max="5894" width="9.54296875" style="329" customWidth="1"/>
    <col min="5895" max="5895" width="12.54296875" style="329" customWidth="1"/>
    <col min="5896" max="5896" width="10" style="329" customWidth="1"/>
    <col min="5897" max="5897" width="9.7265625" style="329" customWidth="1"/>
    <col min="5898" max="5900" width="9.1796875" style="329" customWidth="1"/>
    <col min="5901" max="6144" width="9.1796875" style="329"/>
    <col min="6145" max="6145" width="13.26953125" style="329" customWidth="1"/>
    <col min="6146" max="6146" width="27.453125" style="329" customWidth="1"/>
    <col min="6147" max="6148" width="9.54296875" style="329" customWidth="1"/>
    <col min="6149" max="6149" width="9.7265625" style="329" customWidth="1"/>
    <col min="6150" max="6150" width="9.54296875" style="329" customWidth="1"/>
    <col min="6151" max="6151" width="12.54296875" style="329" customWidth="1"/>
    <col min="6152" max="6152" width="10" style="329" customWidth="1"/>
    <col min="6153" max="6153" width="9.7265625" style="329" customWidth="1"/>
    <col min="6154" max="6156" width="9.1796875" style="329" customWidth="1"/>
    <col min="6157" max="6400" width="9.1796875" style="329"/>
    <col min="6401" max="6401" width="13.26953125" style="329" customWidth="1"/>
    <col min="6402" max="6402" width="27.453125" style="329" customWidth="1"/>
    <col min="6403" max="6404" width="9.54296875" style="329" customWidth="1"/>
    <col min="6405" max="6405" width="9.7265625" style="329" customWidth="1"/>
    <col min="6406" max="6406" width="9.54296875" style="329" customWidth="1"/>
    <col min="6407" max="6407" width="12.54296875" style="329" customWidth="1"/>
    <col min="6408" max="6408" width="10" style="329" customWidth="1"/>
    <col min="6409" max="6409" width="9.7265625" style="329" customWidth="1"/>
    <col min="6410" max="6412" width="9.1796875" style="329" customWidth="1"/>
    <col min="6413" max="6656" width="9.1796875" style="329"/>
    <col min="6657" max="6657" width="13.26953125" style="329" customWidth="1"/>
    <col min="6658" max="6658" width="27.453125" style="329" customWidth="1"/>
    <col min="6659" max="6660" width="9.54296875" style="329" customWidth="1"/>
    <col min="6661" max="6661" width="9.7265625" style="329" customWidth="1"/>
    <col min="6662" max="6662" width="9.54296875" style="329" customWidth="1"/>
    <col min="6663" max="6663" width="12.54296875" style="329" customWidth="1"/>
    <col min="6664" max="6664" width="10" style="329" customWidth="1"/>
    <col min="6665" max="6665" width="9.7265625" style="329" customWidth="1"/>
    <col min="6666" max="6668" width="9.1796875" style="329" customWidth="1"/>
    <col min="6669" max="6912" width="9.1796875" style="329"/>
    <col min="6913" max="6913" width="13.26953125" style="329" customWidth="1"/>
    <col min="6914" max="6914" width="27.453125" style="329" customWidth="1"/>
    <col min="6915" max="6916" width="9.54296875" style="329" customWidth="1"/>
    <col min="6917" max="6917" width="9.7265625" style="329" customWidth="1"/>
    <col min="6918" max="6918" width="9.54296875" style="329" customWidth="1"/>
    <col min="6919" max="6919" width="12.54296875" style="329" customWidth="1"/>
    <col min="6920" max="6920" width="10" style="329" customWidth="1"/>
    <col min="6921" max="6921" width="9.7265625" style="329" customWidth="1"/>
    <col min="6922" max="6924" width="9.1796875" style="329" customWidth="1"/>
    <col min="6925" max="7168" width="9.1796875" style="329"/>
    <col min="7169" max="7169" width="13.26953125" style="329" customWidth="1"/>
    <col min="7170" max="7170" width="27.453125" style="329" customWidth="1"/>
    <col min="7171" max="7172" width="9.54296875" style="329" customWidth="1"/>
    <col min="7173" max="7173" width="9.7265625" style="329" customWidth="1"/>
    <col min="7174" max="7174" width="9.54296875" style="329" customWidth="1"/>
    <col min="7175" max="7175" width="12.54296875" style="329" customWidth="1"/>
    <col min="7176" max="7176" width="10" style="329" customWidth="1"/>
    <col min="7177" max="7177" width="9.7265625" style="329" customWidth="1"/>
    <col min="7178" max="7180" width="9.1796875" style="329" customWidth="1"/>
    <col min="7181" max="7424" width="9.1796875" style="329"/>
    <col min="7425" max="7425" width="13.26953125" style="329" customWidth="1"/>
    <col min="7426" max="7426" width="27.453125" style="329" customWidth="1"/>
    <col min="7427" max="7428" width="9.54296875" style="329" customWidth="1"/>
    <col min="7429" max="7429" width="9.7265625" style="329" customWidth="1"/>
    <col min="7430" max="7430" width="9.54296875" style="329" customWidth="1"/>
    <col min="7431" max="7431" width="12.54296875" style="329" customWidth="1"/>
    <col min="7432" max="7432" width="10" style="329" customWidth="1"/>
    <col min="7433" max="7433" width="9.7265625" style="329" customWidth="1"/>
    <col min="7434" max="7436" width="9.1796875" style="329" customWidth="1"/>
    <col min="7437" max="7680" width="9.1796875" style="329"/>
    <col min="7681" max="7681" width="13.26953125" style="329" customWidth="1"/>
    <col min="7682" max="7682" width="27.453125" style="329" customWidth="1"/>
    <col min="7683" max="7684" width="9.54296875" style="329" customWidth="1"/>
    <col min="7685" max="7685" width="9.7265625" style="329" customWidth="1"/>
    <col min="7686" max="7686" width="9.54296875" style="329" customWidth="1"/>
    <col min="7687" max="7687" width="12.54296875" style="329" customWidth="1"/>
    <col min="7688" max="7688" width="10" style="329" customWidth="1"/>
    <col min="7689" max="7689" width="9.7265625" style="329" customWidth="1"/>
    <col min="7690" max="7692" width="9.1796875" style="329" customWidth="1"/>
    <col min="7693" max="7936" width="9.1796875" style="329"/>
    <col min="7937" max="7937" width="13.26953125" style="329" customWidth="1"/>
    <col min="7938" max="7938" width="27.453125" style="329" customWidth="1"/>
    <col min="7939" max="7940" width="9.54296875" style="329" customWidth="1"/>
    <col min="7941" max="7941" width="9.7265625" style="329" customWidth="1"/>
    <col min="7942" max="7942" width="9.54296875" style="329" customWidth="1"/>
    <col min="7943" max="7943" width="12.54296875" style="329" customWidth="1"/>
    <col min="7944" max="7944" width="10" style="329" customWidth="1"/>
    <col min="7945" max="7945" width="9.7265625" style="329" customWidth="1"/>
    <col min="7946" max="7948" width="9.1796875" style="329" customWidth="1"/>
    <col min="7949" max="8192" width="9.1796875" style="329"/>
    <col min="8193" max="8193" width="13.26953125" style="329" customWidth="1"/>
    <col min="8194" max="8194" width="27.453125" style="329" customWidth="1"/>
    <col min="8195" max="8196" width="9.54296875" style="329" customWidth="1"/>
    <col min="8197" max="8197" width="9.7265625" style="329" customWidth="1"/>
    <col min="8198" max="8198" width="9.54296875" style="329" customWidth="1"/>
    <col min="8199" max="8199" width="12.54296875" style="329" customWidth="1"/>
    <col min="8200" max="8200" width="10" style="329" customWidth="1"/>
    <col min="8201" max="8201" width="9.7265625" style="329" customWidth="1"/>
    <col min="8202" max="8204" width="9.1796875" style="329" customWidth="1"/>
    <col min="8205" max="8448" width="9.1796875" style="329"/>
    <col min="8449" max="8449" width="13.26953125" style="329" customWidth="1"/>
    <col min="8450" max="8450" width="27.453125" style="329" customWidth="1"/>
    <col min="8451" max="8452" width="9.54296875" style="329" customWidth="1"/>
    <col min="8453" max="8453" width="9.7265625" style="329" customWidth="1"/>
    <col min="8454" max="8454" width="9.54296875" style="329" customWidth="1"/>
    <col min="8455" max="8455" width="12.54296875" style="329" customWidth="1"/>
    <col min="8456" max="8456" width="10" style="329" customWidth="1"/>
    <col min="8457" max="8457" width="9.7265625" style="329" customWidth="1"/>
    <col min="8458" max="8460" width="9.1796875" style="329" customWidth="1"/>
    <col min="8461" max="8704" width="9.1796875" style="329"/>
    <col min="8705" max="8705" width="13.26953125" style="329" customWidth="1"/>
    <col min="8706" max="8706" width="27.453125" style="329" customWidth="1"/>
    <col min="8707" max="8708" width="9.54296875" style="329" customWidth="1"/>
    <col min="8709" max="8709" width="9.7265625" style="329" customWidth="1"/>
    <col min="8710" max="8710" width="9.54296875" style="329" customWidth="1"/>
    <col min="8711" max="8711" width="12.54296875" style="329" customWidth="1"/>
    <col min="8712" max="8712" width="10" style="329" customWidth="1"/>
    <col min="8713" max="8713" width="9.7265625" style="329" customWidth="1"/>
    <col min="8714" max="8716" width="9.1796875" style="329" customWidth="1"/>
    <col min="8717" max="8960" width="9.1796875" style="329"/>
    <col min="8961" max="8961" width="13.26953125" style="329" customWidth="1"/>
    <col min="8962" max="8962" width="27.453125" style="329" customWidth="1"/>
    <col min="8963" max="8964" width="9.54296875" style="329" customWidth="1"/>
    <col min="8965" max="8965" width="9.7265625" style="329" customWidth="1"/>
    <col min="8966" max="8966" width="9.54296875" style="329" customWidth="1"/>
    <col min="8967" max="8967" width="12.54296875" style="329" customWidth="1"/>
    <col min="8968" max="8968" width="10" style="329" customWidth="1"/>
    <col min="8969" max="8969" width="9.7265625" style="329" customWidth="1"/>
    <col min="8970" max="8972" width="9.1796875" style="329" customWidth="1"/>
    <col min="8973" max="9216" width="9.1796875" style="329"/>
    <col min="9217" max="9217" width="13.26953125" style="329" customWidth="1"/>
    <col min="9218" max="9218" width="27.453125" style="329" customWidth="1"/>
    <col min="9219" max="9220" width="9.54296875" style="329" customWidth="1"/>
    <col min="9221" max="9221" width="9.7265625" style="329" customWidth="1"/>
    <col min="9222" max="9222" width="9.54296875" style="329" customWidth="1"/>
    <col min="9223" max="9223" width="12.54296875" style="329" customWidth="1"/>
    <col min="9224" max="9224" width="10" style="329" customWidth="1"/>
    <col min="9225" max="9225" width="9.7265625" style="329" customWidth="1"/>
    <col min="9226" max="9228" width="9.1796875" style="329" customWidth="1"/>
    <col min="9229" max="9472" width="9.1796875" style="329"/>
    <col min="9473" max="9473" width="13.26953125" style="329" customWidth="1"/>
    <col min="9474" max="9474" width="27.453125" style="329" customWidth="1"/>
    <col min="9475" max="9476" width="9.54296875" style="329" customWidth="1"/>
    <col min="9477" max="9477" width="9.7265625" style="329" customWidth="1"/>
    <col min="9478" max="9478" width="9.54296875" style="329" customWidth="1"/>
    <col min="9479" max="9479" width="12.54296875" style="329" customWidth="1"/>
    <col min="9480" max="9480" width="10" style="329" customWidth="1"/>
    <col min="9481" max="9481" width="9.7265625" style="329" customWidth="1"/>
    <col min="9482" max="9484" width="9.1796875" style="329" customWidth="1"/>
    <col min="9485" max="9728" width="9.1796875" style="329"/>
    <col min="9729" max="9729" width="13.26953125" style="329" customWidth="1"/>
    <col min="9730" max="9730" width="27.453125" style="329" customWidth="1"/>
    <col min="9731" max="9732" width="9.54296875" style="329" customWidth="1"/>
    <col min="9733" max="9733" width="9.7265625" style="329" customWidth="1"/>
    <col min="9734" max="9734" width="9.54296875" style="329" customWidth="1"/>
    <col min="9735" max="9735" width="12.54296875" style="329" customWidth="1"/>
    <col min="9736" max="9736" width="10" style="329" customWidth="1"/>
    <col min="9737" max="9737" width="9.7265625" style="329" customWidth="1"/>
    <col min="9738" max="9740" width="9.1796875" style="329" customWidth="1"/>
    <col min="9741" max="9984" width="9.1796875" style="329"/>
    <col min="9985" max="9985" width="13.26953125" style="329" customWidth="1"/>
    <col min="9986" max="9986" width="27.453125" style="329" customWidth="1"/>
    <col min="9987" max="9988" width="9.54296875" style="329" customWidth="1"/>
    <col min="9989" max="9989" width="9.7265625" style="329" customWidth="1"/>
    <col min="9990" max="9990" width="9.54296875" style="329" customWidth="1"/>
    <col min="9991" max="9991" width="12.54296875" style="329" customWidth="1"/>
    <col min="9992" max="9992" width="10" style="329" customWidth="1"/>
    <col min="9993" max="9993" width="9.7265625" style="329" customWidth="1"/>
    <col min="9994" max="9996" width="9.1796875" style="329" customWidth="1"/>
    <col min="9997" max="10240" width="9.1796875" style="329"/>
    <col min="10241" max="10241" width="13.26953125" style="329" customWidth="1"/>
    <col min="10242" max="10242" width="27.453125" style="329" customWidth="1"/>
    <col min="10243" max="10244" width="9.54296875" style="329" customWidth="1"/>
    <col min="10245" max="10245" width="9.7265625" style="329" customWidth="1"/>
    <col min="10246" max="10246" width="9.54296875" style="329" customWidth="1"/>
    <col min="10247" max="10247" width="12.54296875" style="329" customWidth="1"/>
    <col min="10248" max="10248" width="10" style="329" customWidth="1"/>
    <col min="10249" max="10249" width="9.7265625" style="329" customWidth="1"/>
    <col min="10250" max="10252" width="9.1796875" style="329" customWidth="1"/>
    <col min="10253" max="10496" width="9.1796875" style="329"/>
    <col min="10497" max="10497" width="13.26953125" style="329" customWidth="1"/>
    <col min="10498" max="10498" width="27.453125" style="329" customWidth="1"/>
    <col min="10499" max="10500" width="9.54296875" style="329" customWidth="1"/>
    <col min="10501" max="10501" width="9.7265625" style="329" customWidth="1"/>
    <col min="10502" max="10502" width="9.54296875" style="329" customWidth="1"/>
    <col min="10503" max="10503" width="12.54296875" style="329" customWidth="1"/>
    <col min="10504" max="10504" width="10" style="329" customWidth="1"/>
    <col min="10505" max="10505" width="9.7265625" style="329" customWidth="1"/>
    <col min="10506" max="10508" width="9.1796875" style="329" customWidth="1"/>
    <col min="10509" max="10752" width="9.1796875" style="329"/>
    <col min="10753" max="10753" width="13.26953125" style="329" customWidth="1"/>
    <col min="10754" max="10754" width="27.453125" style="329" customWidth="1"/>
    <col min="10755" max="10756" width="9.54296875" style="329" customWidth="1"/>
    <col min="10757" max="10757" width="9.7265625" style="329" customWidth="1"/>
    <col min="10758" max="10758" width="9.54296875" style="329" customWidth="1"/>
    <col min="10759" max="10759" width="12.54296875" style="329" customWidth="1"/>
    <col min="10760" max="10760" width="10" style="329" customWidth="1"/>
    <col min="10761" max="10761" width="9.7265625" style="329" customWidth="1"/>
    <col min="10762" max="10764" width="9.1796875" style="329" customWidth="1"/>
    <col min="10765" max="11008" width="9.1796875" style="329"/>
    <col min="11009" max="11009" width="13.26953125" style="329" customWidth="1"/>
    <col min="11010" max="11010" width="27.453125" style="329" customWidth="1"/>
    <col min="11011" max="11012" width="9.54296875" style="329" customWidth="1"/>
    <col min="11013" max="11013" width="9.7265625" style="329" customWidth="1"/>
    <col min="11014" max="11014" width="9.54296875" style="329" customWidth="1"/>
    <col min="11015" max="11015" width="12.54296875" style="329" customWidth="1"/>
    <col min="11016" max="11016" width="10" style="329" customWidth="1"/>
    <col min="11017" max="11017" width="9.7265625" style="329" customWidth="1"/>
    <col min="11018" max="11020" width="9.1796875" style="329" customWidth="1"/>
    <col min="11021" max="11264" width="9.1796875" style="329"/>
    <col min="11265" max="11265" width="13.26953125" style="329" customWidth="1"/>
    <col min="11266" max="11266" width="27.453125" style="329" customWidth="1"/>
    <col min="11267" max="11268" width="9.54296875" style="329" customWidth="1"/>
    <col min="11269" max="11269" width="9.7265625" style="329" customWidth="1"/>
    <col min="11270" max="11270" width="9.54296875" style="329" customWidth="1"/>
    <col min="11271" max="11271" width="12.54296875" style="329" customWidth="1"/>
    <col min="11272" max="11272" width="10" style="329" customWidth="1"/>
    <col min="11273" max="11273" width="9.7265625" style="329" customWidth="1"/>
    <col min="11274" max="11276" width="9.1796875" style="329" customWidth="1"/>
    <col min="11277" max="11520" width="9.1796875" style="329"/>
    <col min="11521" max="11521" width="13.26953125" style="329" customWidth="1"/>
    <col min="11522" max="11522" width="27.453125" style="329" customWidth="1"/>
    <col min="11523" max="11524" width="9.54296875" style="329" customWidth="1"/>
    <col min="11525" max="11525" width="9.7265625" style="329" customWidth="1"/>
    <col min="11526" max="11526" width="9.54296875" style="329" customWidth="1"/>
    <col min="11527" max="11527" width="12.54296875" style="329" customWidth="1"/>
    <col min="11528" max="11528" width="10" style="329" customWidth="1"/>
    <col min="11529" max="11529" width="9.7265625" style="329" customWidth="1"/>
    <col min="11530" max="11532" width="9.1796875" style="329" customWidth="1"/>
    <col min="11533" max="11776" width="9.1796875" style="329"/>
    <col min="11777" max="11777" width="13.26953125" style="329" customWidth="1"/>
    <col min="11778" max="11778" width="27.453125" style="329" customWidth="1"/>
    <col min="11779" max="11780" width="9.54296875" style="329" customWidth="1"/>
    <col min="11781" max="11781" width="9.7265625" style="329" customWidth="1"/>
    <col min="11782" max="11782" width="9.54296875" style="329" customWidth="1"/>
    <col min="11783" max="11783" width="12.54296875" style="329" customWidth="1"/>
    <col min="11784" max="11784" width="10" style="329" customWidth="1"/>
    <col min="11785" max="11785" width="9.7265625" style="329" customWidth="1"/>
    <col min="11786" max="11788" width="9.1796875" style="329" customWidth="1"/>
    <col min="11789" max="12032" width="9.1796875" style="329"/>
    <col min="12033" max="12033" width="13.26953125" style="329" customWidth="1"/>
    <col min="12034" max="12034" width="27.453125" style="329" customWidth="1"/>
    <col min="12035" max="12036" width="9.54296875" style="329" customWidth="1"/>
    <col min="12037" max="12037" width="9.7265625" style="329" customWidth="1"/>
    <col min="12038" max="12038" width="9.54296875" style="329" customWidth="1"/>
    <col min="12039" max="12039" width="12.54296875" style="329" customWidth="1"/>
    <col min="12040" max="12040" width="10" style="329" customWidth="1"/>
    <col min="12041" max="12041" width="9.7265625" style="329" customWidth="1"/>
    <col min="12042" max="12044" width="9.1796875" style="329" customWidth="1"/>
    <col min="12045" max="12288" width="9.1796875" style="329"/>
    <col min="12289" max="12289" width="13.26953125" style="329" customWidth="1"/>
    <col min="12290" max="12290" width="27.453125" style="329" customWidth="1"/>
    <col min="12291" max="12292" width="9.54296875" style="329" customWidth="1"/>
    <col min="12293" max="12293" width="9.7265625" style="329" customWidth="1"/>
    <col min="12294" max="12294" width="9.54296875" style="329" customWidth="1"/>
    <col min="12295" max="12295" width="12.54296875" style="329" customWidth="1"/>
    <col min="12296" max="12296" width="10" style="329" customWidth="1"/>
    <col min="12297" max="12297" width="9.7265625" style="329" customWidth="1"/>
    <col min="12298" max="12300" width="9.1796875" style="329" customWidth="1"/>
    <col min="12301" max="12544" width="9.1796875" style="329"/>
    <col min="12545" max="12545" width="13.26953125" style="329" customWidth="1"/>
    <col min="12546" max="12546" width="27.453125" style="329" customWidth="1"/>
    <col min="12547" max="12548" width="9.54296875" style="329" customWidth="1"/>
    <col min="12549" max="12549" width="9.7265625" style="329" customWidth="1"/>
    <col min="12550" max="12550" width="9.54296875" style="329" customWidth="1"/>
    <col min="12551" max="12551" width="12.54296875" style="329" customWidth="1"/>
    <col min="12552" max="12552" width="10" style="329" customWidth="1"/>
    <col min="12553" max="12553" width="9.7265625" style="329" customWidth="1"/>
    <col min="12554" max="12556" width="9.1796875" style="329" customWidth="1"/>
    <col min="12557" max="12800" width="9.1796875" style="329"/>
    <col min="12801" max="12801" width="13.26953125" style="329" customWidth="1"/>
    <col min="12802" max="12802" width="27.453125" style="329" customWidth="1"/>
    <col min="12803" max="12804" width="9.54296875" style="329" customWidth="1"/>
    <col min="12805" max="12805" width="9.7265625" style="329" customWidth="1"/>
    <col min="12806" max="12806" width="9.54296875" style="329" customWidth="1"/>
    <col min="12807" max="12807" width="12.54296875" style="329" customWidth="1"/>
    <col min="12808" max="12808" width="10" style="329" customWidth="1"/>
    <col min="12809" max="12809" width="9.7265625" style="329" customWidth="1"/>
    <col min="12810" max="12812" width="9.1796875" style="329" customWidth="1"/>
    <col min="12813" max="13056" width="9.1796875" style="329"/>
    <col min="13057" max="13057" width="13.26953125" style="329" customWidth="1"/>
    <col min="13058" max="13058" width="27.453125" style="329" customWidth="1"/>
    <col min="13059" max="13060" width="9.54296875" style="329" customWidth="1"/>
    <col min="13061" max="13061" width="9.7265625" style="329" customWidth="1"/>
    <col min="13062" max="13062" width="9.54296875" style="329" customWidth="1"/>
    <col min="13063" max="13063" width="12.54296875" style="329" customWidth="1"/>
    <col min="13064" max="13064" width="10" style="329" customWidth="1"/>
    <col min="13065" max="13065" width="9.7265625" style="329" customWidth="1"/>
    <col min="13066" max="13068" width="9.1796875" style="329" customWidth="1"/>
    <col min="13069" max="13312" width="9.1796875" style="329"/>
    <col min="13313" max="13313" width="13.26953125" style="329" customWidth="1"/>
    <col min="13314" max="13314" width="27.453125" style="329" customWidth="1"/>
    <col min="13315" max="13316" width="9.54296875" style="329" customWidth="1"/>
    <col min="13317" max="13317" width="9.7265625" style="329" customWidth="1"/>
    <col min="13318" max="13318" width="9.54296875" style="329" customWidth="1"/>
    <col min="13319" max="13319" width="12.54296875" style="329" customWidth="1"/>
    <col min="13320" max="13320" width="10" style="329" customWidth="1"/>
    <col min="13321" max="13321" width="9.7265625" style="329" customWidth="1"/>
    <col min="13322" max="13324" width="9.1796875" style="329" customWidth="1"/>
    <col min="13325" max="13568" width="9.1796875" style="329"/>
    <col min="13569" max="13569" width="13.26953125" style="329" customWidth="1"/>
    <col min="13570" max="13570" width="27.453125" style="329" customWidth="1"/>
    <col min="13571" max="13572" width="9.54296875" style="329" customWidth="1"/>
    <col min="13573" max="13573" width="9.7265625" style="329" customWidth="1"/>
    <col min="13574" max="13574" width="9.54296875" style="329" customWidth="1"/>
    <col min="13575" max="13575" width="12.54296875" style="329" customWidth="1"/>
    <col min="13576" max="13576" width="10" style="329" customWidth="1"/>
    <col min="13577" max="13577" width="9.7265625" style="329" customWidth="1"/>
    <col min="13578" max="13580" width="9.1796875" style="329" customWidth="1"/>
    <col min="13581" max="13824" width="9.1796875" style="329"/>
    <col min="13825" max="13825" width="13.26953125" style="329" customWidth="1"/>
    <col min="13826" max="13826" width="27.453125" style="329" customWidth="1"/>
    <col min="13827" max="13828" width="9.54296875" style="329" customWidth="1"/>
    <col min="13829" max="13829" width="9.7265625" style="329" customWidth="1"/>
    <col min="13830" max="13830" width="9.54296875" style="329" customWidth="1"/>
    <col min="13831" max="13831" width="12.54296875" style="329" customWidth="1"/>
    <col min="13832" max="13832" width="10" style="329" customWidth="1"/>
    <col min="13833" max="13833" width="9.7265625" style="329" customWidth="1"/>
    <col min="13834" max="13836" width="9.1796875" style="329" customWidth="1"/>
    <col min="13837" max="14080" width="9.1796875" style="329"/>
    <col min="14081" max="14081" width="13.26953125" style="329" customWidth="1"/>
    <col min="14082" max="14082" width="27.453125" style="329" customWidth="1"/>
    <col min="14083" max="14084" width="9.54296875" style="329" customWidth="1"/>
    <col min="14085" max="14085" width="9.7265625" style="329" customWidth="1"/>
    <col min="14086" max="14086" width="9.54296875" style="329" customWidth="1"/>
    <col min="14087" max="14087" width="12.54296875" style="329" customWidth="1"/>
    <col min="14088" max="14088" width="10" style="329" customWidth="1"/>
    <col min="14089" max="14089" width="9.7265625" style="329" customWidth="1"/>
    <col min="14090" max="14092" width="9.1796875" style="329" customWidth="1"/>
    <col min="14093" max="14336" width="9.1796875" style="329"/>
    <col min="14337" max="14337" width="13.26953125" style="329" customWidth="1"/>
    <col min="14338" max="14338" width="27.453125" style="329" customWidth="1"/>
    <col min="14339" max="14340" width="9.54296875" style="329" customWidth="1"/>
    <col min="14341" max="14341" width="9.7265625" style="329" customWidth="1"/>
    <col min="14342" max="14342" width="9.54296875" style="329" customWidth="1"/>
    <col min="14343" max="14343" width="12.54296875" style="329" customWidth="1"/>
    <col min="14344" max="14344" width="10" style="329" customWidth="1"/>
    <col min="14345" max="14345" width="9.7265625" style="329" customWidth="1"/>
    <col min="14346" max="14348" width="9.1796875" style="329" customWidth="1"/>
    <col min="14349" max="14592" width="9.1796875" style="329"/>
    <col min="14593" max="14593" width="13.26953125" style="329" customWidth="1"/>
    <col min="14594" max="14594" width="27.453125" style="329" customWidth="1"/>
    <col min="14595" max="14596" width="9.54296875" style="329" customWidth="1"/>
    <col min="14597" max="14597" width="9.7265625" style="329" customWidth="1"/>
    <col min="14598" max="14598" width="9.54296875" style="329" customWidth="1"/>
    <col min="14599" max="14599" width="12.54296875" style="329" customWidth="1"/>
    <col min="14600" max="14600" width="10" style="329" customWidth="1"/>
    <col min="14601" max="14601" width="9.7265625" style="329" customWidth="1"/>
    <col min="14602" max="14604" width="9.1796875" style="329" customWidth="1"/>
    <col min="14605" max="14848" width="9.1796875" style="329"/>
    <col min="14849" max="14849" width="13.26953125" style="329" customWidth="1"/>
    <col min="14850" max="14850" width="27.453125" style="329" customWidth="1"/>
    <col min="14851" max="14852" width="9.54296875" style="329" customWidth="1"/>
    <col min="14853" max="14853" width="9.7265625" style="329" customWidth="1"/>
    <col min="14854" max="14854" width="9.54296875" style="329" customWidth="1"/>
    <col min="14855" max="14855" width="12.54296875" style="329" customWidth="1"/>
    <col min="14856" max="14856" width="10" style="329" customWidth="1"/>
    <col min="14857" max="14857" width="9.7265625" style="329" customWidth="1"/>
    <col min="14858" max="14860" width="9.1796875" style="329" customWidth="1"/>
    <col min="14861" max="15104" width="9.1796875" style="329"/>
    <col min="15105" max="15105" width="13.26953125" style="329" customWidth="1"/>
    <col min="15106" max="15106" width="27.453125" style="329" customWidth="1"/>
    <col min="15107" max="15108" width="9.54296875" style="329" customWidth="1"/>
    <col min="15109" max="15109" width="9.7265625" style="329" customWidth="1"/>
    <col min="15110" max="15110" width="9.54296875" style="329" customWidth="1"/>
    <col min="15111" max="15111" width="12.54296875" style="329" customWidth="1"/>
    <col min="15112" max="15112" width="10" style="329" customWidth="1"/>
    <col min="15113" max="15113" width="9.7265625" style="329" customWidth="1"/>
    <col min="15114" max="15116" width="9.1796875" style="329" customWidth="1"/>
    <col min="15117" max="15360" width="9.1796875" style="329"/>
    <col min="15361" max="15361" width="13.26953125" style="329" customWidth="1"/>
    <col min="15362" max="15362" width="27.453125" style="329" customWidth="1"/>
    <col min="15363" max="15364" width="9.54296875" style="329" customWidth="1"/>
    <col min="15365" max="15365" width="9.7265625" style="329" customWidth="1"/>
    <col min="15366" max="15366" width="9.54296875" style="329" customWidth="1"/>
    <col min="15367" max="15367" width="12.54296875" style="329" customWidth="1"/>
    <col min="15368" max="15368" width="10" style="329" customWidth="1"/>
    <col min="15369" max="15369" width="9.7265625" style="329" customWidth="1"/>
    <col min="15370" max="15372" width="9.1796875" style="329" customWidth="1"/>
    <col min="15373" max="15616" width="9.1796875" style="329"/>
    <col min="15617" max="15617" width="13.26953125" style="329" customWidth="1"/>
    <col min="15618" max="15618" width="27.453125" style="329" customWidth="1"/>
    <col min="15619" max="15620" width="9.54296875" style="329" customWidth="1"/>
    <col min="15621" max="15621" width="9.7265625" style="329" customWidth="1"/>
    <col min="15622" max="15622" width="9.54296875" style="329" customWidth="1"/>
    <col min="15623" max="15623" width="12.54296875" style="329" customWidth="1"/>
    <col min="15624" max="15624" width="10" style="329" customWidth="1"/>
    <col min="15625" max="15625" width="9.7265625" style="329" customWidth="1"/>
    <col min="15626" max="15628" width="9.1796875" style="329" customWidth="1"/>
    <col min="15629" max="15872" width="9.1796875" style="329"/>
    <col min="15873" max="15873" width="13.26953125" style="329" customWidth="1"/>
    <col min="15874" max="15874" width="27.453125" style="329" customWidth="1"/>
    <col min="15875" max="15876" width="9.54296875" style="329" customWidth="1"/>
    <col min="15877" max="15877" width="9.7265625" style="329" customWidth="1"/>
    <col min="15878" max="15878" width="9.54296875" style="329" customWidth="1"/>
    <col min="15879" max="15879" width="12.54296875" style="329" customWidth="1"/>
    <col min="15880" max="15880" width="10" style="329" customWidth="1"/>
    <col min="15881" max="15881" width="9.7265625" style="329" customWidth="1"/>
    <col min="15882" max="15884" width="9.1796875" style="329" customWidth="1"/>
    <col min="15885" max="16128" width="9.1796875" style="329"/>
    <col min="16129" max="16129" width="13.26953125" style="329" customWidth="1"/>
    <col min="16130" max="16130" width="27.453125" style="329" customWidth="1"/>
    <col min="16131" max="16132" width="9.54296875" style="329" customWidth="1"/>
    <col min="16133" max="16133" width="9.7265625" style="329" customWidth="1"/>
    <col min="16134" max="16134" width="9.54296875" style="329" customWidth="1"/>
    <col min="16135" max="16135" width="12.54296875" style="329" customWidth="1"/>
    <col min="16136" max="16136" width="10" style="329" customWidth="1"/>
    <col min="16137" max="16137" width="9.7265625" style="329" customWidth="1"/>
    <col min="16138" max="16140" width="9.1796875" style="329" customWidth="1"/>
    <col min="16141" max="16384" width="9.1796875" style="329"/>
  </cols>
  <sheetData>
    <row r="1" spans="1:18" x14ac:dyDescent="0.35">
      <c r="B1" s="1120" t="s">
        <v>0</v>
      </c>
      <c r="C1" s="1120"/>
      <c r="D1" s="1120"/>
      <c r="E1" s="1120"/>
      <c r="F1" s="1120"/>
      <c r="G1" s="1120"/>
      <c r="H1" s="1120"/>
      <c r="I1" s="1120"/>
      <c r="J1" s="361"/>
      <c r="K1" s="329"/>
      <c r="L1" s="355"/>
      <c r="M1" s="354"/>
    </row>
    <row r="2" spans="1:18" x14ac:dyDescent="0.35">
      <c r="B2" s="1120" t="s">
        <v>297</v>
      </c>
      <c r="C2" s="1120"/>
      <c r="D2" s="1120"/>
      <c r="E2" s="1120"/>
      <c r="F2" s="1120"/>
      <c r="G2" s="1120"/>
      <c r="H2" s="1120"/>
      <c r="I2" s="1120"/>
      <c r="J2" s="361"/>
      <c r="K2" s="329"/>
      <c r="L2" s="355"/>
      <c r="M2" s="354"/>
    </row>
    <row r="3" spans="1:18" x14ac:dyDescent="0.35">
      <c r="B3" s="1119">
        <v>2021</v>
      </c>
      <c r="C3" s="1119"/>
      <c r="D3" s="1119"/>
      <c r="E3" s="1119"/>
      <c r="F3" s="1119"/>
      <c r="G3" s="1119"/>
      <c r="H3" s="1119"/>
      <c r="I3" s="1119"/>
      <c r="J3" s="361"/>
      <c r="K3" s="329"/>
      <c r="L3" s="355"/>
      <c r="M3" s="354"/>
    </row>
    <row r="4" spans="1:18" x14ac:dyDescent="0.35">
      <c r="B4" s="371"/>
      <c r="C4" s="371"/>
      <c r="D4" s="371"/>
      <c r="E4" s="371"/>
      <c r="F4" s="371"/>
      <c r="G4" s="371"/>
      <c r="H4" s="371"/>
      <c r="I4" s="371"/>
      <c r="J4" s="361"/>
      <c r="K4" s="371"/>
      <c r="L4" s="355"/>
      <c r="M4" s="354"/>
    </row>
    <row r="5" spans="1:18" s="317" customFormat="1" ht="20.149999999999999" customHeight="1" x14ac:dyDescent="0.35">
      <c r="B5" s="366" t="s">
        <v>302</v>
      </c>
      <c r="C5" s="365" t="s">
        <v>28</v>
      </c>
      <c r="D5" s="1252" t="s">
        <v>729</v>
      </c>
      <c r="E5" s="1253" t="s">
        <v>728</v>
      </c>
      <c r="F5" s="1253"/>
      <c r="G5" s="1253"/>
      <c r="H5" s="1253"/>
      <c r="I5" s="1254" t="s">
        <v>29</v>
      </c>
      <c r="J5" s="364" t="s">
        <v>303</v>
      </c>
      <c r="K5" s="365" t="s">
        <v>306</v>
      </c>
      <c r="L5" s="451"/>
      <c r="M5" s="319"/>
    </row>
    <row r="6" spans="1:18" s="317" customFormat="1" ht="20.149999999999999" customHeight="1" x14ac:dyDescent="0.35">
      <c r="B6" s="368"/>
      <c r="C6" s="369"/>
      <c r="D6" s="1252"/>
      <c r="E6" s="370" t="s">
        <v>308</v>
      </c>
      <c r="F6" s="370" t="s">
        <v>309</v>
      </c>
      <c r="G6" s="370" t="s">
        <v>310</v>
      </c>
      <c r="H6" s="370" t="s">
        <v>311</v>
      </c>
      <c r="I6" s="1254"/>
      <c r="J6" s="364"/>
      <c r="K6" s="367"/>
      <c r="L6" s="451"/>
      <c r="M6" s="319"/>
      <c r="N6" s="320"/>
      <c r="P6" s="320"/>
    </row>
    <row r="7" spans="1:18" ht="18.75" customHeight="1" x14ac:dyDescent="0.35">
      <c r="B7" s="384" t="s">
        <v>3</v>
      </c>
      <c r="C7" s="382"/>
      <c r="D7" s="382"/>
      <c r="E7" s="382"/>
      <c r="F7" s="382"/>
      <c r="G7" s="382"/>
      <c r="H7" s="382"/>
      <c r="I7" s="383"/>
      <c r="K7" s="329"/>
    </row>
    <row r="8" spans="1:18" ht="20.149999999999999" customHeight="1" x14ac:dyDescent="0.35">
      <c r="A8" s="329">
        <v>1</v>
      </c>
      <c r="B8" s="321">
        <v>219</v>
      </c>
      <c r="C8" s="330" t="s">
        <v>214</v>
      </c>
      <c r="D8" s="323">
        <f>'[1]road inventory 2018'!C10</f>
        <v>0.65</v>
      </c>
      <c r="E8" s="323">
        <v>0.25</v>
      </c>
      <c r="F8" s="323">
        <v>0</v>
      </c>
      <c r="G8" s="323">
        <v>0</v>
      </c>
      <c r="H8" s="323">
        <v>0.4</v>
      </c>
      <c r="I8" s="325" t="s">
        <v>12</v>
      </c>
      <c r="J8" s="323">
        <f t="shared" ref="J8:J26" si="0">SUM(E8:H8)</f>
        <v>0.65</v>
      </c>
      <c r="K8" s="326" t="s">
        <v>313</v>
      </c>
      <c r="L8" s="363"/>
      <c r="M8" s="328"/>
    </row>
    <row r="9" spans="1:18" ht="20.149999999999999" customHeight="1" x14ac:dyDescent="0.35">
      <c r="A9" s="329">
        <v>2</v>
      </c>
      <c r="B9" s="321">
        <v>1</v>
      </c>
      <c r="C9" s="330" t="s">
        <v>314</v>
      </c>
      <c r="D9" s="323">
        <f>'[1]road inventory 2018'!C11</f>
        <v>5.5</v>
      </c>
      <c r="E9" s="323">
        <v>4.88</v>
      </c>
      <c r="F9" s="323">
        <v>0</v>
      </c>
      <c r="G9" s="323">
        <v>0</v>
      </c>
      <c r="H9" s="323">
        <v>0.62</v>
      </c>
      <c r="I9" s="326" t="s">
        <v>10</v>
      </c>
      <c r="J9" s="323">
        <f t="shared" si="0"/>
        <v>5.5</v>
      </c>
      <c r="K9" s="326" t="s">
        <v>315</v>
      </c>
      <c r="L9" s="363"/>
      <c r="M9" s="328"/>
      <c r="N9" s="331"/>
      <c r="P9" s="331"/>
      <c r="R9" s="331"/>
    </row>
    <row r="10" spans="1:18" ht="20.149999999999999" customHeight="1" x14ac:dyDescent="0.35">
      <c r="A10" s="329">
        <v>3</v>
      </c>
      <c r="B10" s="321">
        <v>2</v>
      </c>
      <c r="C10" s="330" t="s">
        <v>212</v>
      </c>
      <c r="D10" s="323">
        <f>'[1]road inventory 2018'!C12</f>
        <v>0.8</v>
      </c>
      <c r="E10" s="323">
        <v>7.0000000000000007E-2</v>
      </c>
      <c r="F10" s="323">
        <v>0</v>
      </c>
      <c r="G10" s="323">
        <v>0</v>
      </c>
      <c r="H10" s="323">
        <v>0.73</v>
      </c>
      <c r="I10" s="326" t="s">
        <v>12</v>
      </c>
      <c r="J10" s="323">
        <f t="shared" si="0"/>
        <v>0.8</v>
      </c>
      <c r="K10" s="326" t="s">
        <v>316</v>
      </c>
      <c r="L10" s="363"/>
      <c r="M10" s="328"/>
    </row>
    <row r="11" spans="1:18" ht="20.149999999999999" customHeight="1" x14ac:dyDescent="0.35">
      <c r="A11" s="329">
        <v>4</v>
      </c>
      <c r="B11" s="321">
        <v>3</v>
      </c>
      <c r="C11" s="330" t="s">
        <v>217</v>
      </c>
      <c r="D11" s="323">
        <f>'[1]road inventory 2018'!C13</f>
        <v>4.9000000000000004</v>
      </c>
      <c r="E11" s="323">
        <v>0</v>
      </c>
      <c r="F11" s="323">
        <v>0</v>
      </c>
      <c r="G11" s="323">
        <v>0</v>
      </c>
      <c r="H11" s="323">
        <v>4.9000000000000004</v>
      </c>
      <c r="I11" s="325" t="s">
        <v>12</v>
      </c>
      <c r="J11" s="323">
        <f t="shared" si="0"/>
        <v>4.9000000000000004</v>
      </c>
      <c r="K11" s="326" t="s">
        <v>318</v>
      </c>
      <c r="L11" s="363"/>
      <c r="M11" s="328"/>
      <c r="N11" s="331"/>
    </row>
    <row r="12" spans="1:18" ht="20.149999999999999" customHeight="1" x14ac:dyDescent="0.35">
      <c r="A12" s="329">
        <v>5</v>
      </c>
      <c r="B12" s="321">
        <v>4</v>
      </c>
      <c r="C12" s="330" t="s">
        <v>211</v>
      </c>
      <c r="D12" s="323">
        <f>'[1]road inventory 2018'!C14</f>
        <v>2.7</v>
      </c>
      <c r="E12" s="323">
        <v>0</v>
      </c>
      <c r="F12" s="323">
        <v>0</v>
      </c>
      <c r="G12" s="323">
        <v>0</v>
      </c>
      <c r="H12" s="323">
        <v>2.7</v>
      </c>
      <c r="I12" s="325" t="s">
        <v>12</v>
      </c>
      <c r="J12" s="323">
        <f t="shared" si="0"/>
        <v>2.7</v>
      </c>
      <c r="K12" s="326" t="s">
        <v>320</v>
      </c>
      <c r="L12" s="363"/>
      <c r="M12" s="328"/>
    </row>
    <row r="13" spans="1:18" ht="20.149999999999999" customHeight="1" x14ac:dyDescent="0.35">
      <c r="A13" s="329">
        <v>6</v>
      </c>
      <c r="B13" s="321">
        <v>93</v>
      </c>
      <c r="C13" s="330" t="s">
        <v>13</v>
      </c>
      <c r="D13" s="323">
        <f>'[1]road inventory 2018'!C15</f>
        <v>3.9</v>
      </c>
      <c r="E13" s="323">
        <v>3.79</v>
      </c>
      <c r="F13" s="323">
        <v>0</v>
      </c>
      <c r="G13" s="323">
        <v>0</v>
      </c>
      <c r="H13" s="323">
        <v>0.11</v>
      </c>
      <c r="I13" s="325" t="s">
        <v>12</v>
      </c>
      <c r="J13" s="323">
        <f t="shared" si="0"/>
        <v>3.9</v>
      </c>
      <c r="K13" s="326" t="s">
        <v>320</v>
      </c>
      <c r="L13" s="363"/>
      <c r="M13" s="328"/>
      <c r="N13" s="331"/>
      <c r="P13" s="331"/>
    </row>
    <row r="14" spans="1:18" ht="20.149999999999999" customHeight="1" x14ac:dyDescent="0.35">
      <c r="A14" s="329">
        <v>7</v>
      </c>
      <c r="B14" s="321">
        <v>218</v>
      </c>
      <c r="C14" s="330" t="s">
        <v>213</v>
      </c>
      <c r="D14" s="323">
        <f>'[1]road inventory 2018'!C16</f>
        <v>5.8</v>
      </c>
      <c r="E14" s="323">
        <v>0</v>
      </c>
      <c r="F14" s="323">
        <v>0</v>
      </c>
      <c r="G14" s="323">
        <v>0</v>
      </c>
      <c r="H14" s="323">
        <v>5.8</v>
      </c>
      <c r="I14" s="325" t="s">
        <v>12</v>
      </c>
      <c r="J14" s="323">
        <f t="shared" si="0"/>
        <v>5.8</v>
      </c>
      <c r="K14" s="326" t="s">
        <v>316</v>
      </c>
      <c r="L14" s="363"/>
      <c r="M14" s="328"/>
      <c r="O14" s="329" t="s">
        <v>299</v>
      </c>
      <c r="P14" s="327" t="s">
        <v>846</v>
      </c>
    </row>
    <row r="15" spans="1:18" ht="20.149999999999999" customHeight="1" x14ac:dyDescent="0.35">
      <c r="A15" s="329">
        <v>8</v>
      </c>
      <c r="B15" s="321">
        <v>5</v>
      </c>
      <c r="C15" s="330" t="s">
        <v>16</v>
      </c>
      <c r="D15" s="323">
        <f>'[1]road inventory 2018'!C17</f>
        <v>2.8</v>
      </c>
      <c r="E15" s="323">
        <v>2.8</v>
      </c>
      <c r="F15" s="323">
        <v>0</v>
      </c>
      <c r="G15" s="323">
        <v>0</v>
      </c>
      <c r="H15" s="323">
        <v>0</v>
      </c>
      <c r="I15" s="325" t="s">
        <v>12</v>
      </c>
      <c r="J15" s="323">
        <f t="shared" si="0"/>
        <v>2.8</v>
      </c>
      <c r="K15" s="326" t="s">
        <v>320</v>
      </c>
      <c r="L15" s="363"/>
      <c r="M15" s="328"/>
      <c r="N15" s="331"/>
      <c r="O15" s="320" t="e">
        <f>D27+D32+D41+D66+D87+#REF!+#REF!+D95</f>
        <v>#REF!</v>
      </c>
      <c r="P15" s="331" t="e">
        <f>O15+N167</f>
        <v>#REF!</v>
      </c>
    </row>
    <row r="16" spans="1:18" ht="20.149999999999999" customHeight="1" x14ac:dyDescent="0.35">
      <c r="A16" s="329">
        <v>9</v>
      </c>
      <c r="B16" s="321">
        <v>6</v>
      </c>
      <c r="C16" s="330" t="s">
        <v>220</v>
      </c>
      <c r="D16" s="323">
        <f>'[1]road inventory 2018'!C18</f>
        <v>3.9</v>
      </c>
      <c r="E16" s="323">
        <f>2.6+0.9</f>
        <v>3.5</v>
      </c>
      <c r="F16" s="323">
        <v>0</v>
      </c>
      <c r="G16" s="323">
        <v>0</v>
      </c>
      <c r="H16" s="323">
        <v>0.4</v>
      </c>
      <c r="I16" s="325" t="s">
        <v>10</v>
      </c>
      <c r="J16" s="323">
        <f t="shared" si="0"/>
        <v>3.9</v>
      </c>
      <c r="K16" s="326" t="s">
        <v>315</v>
      </c>
      <c r="L16" s="363"/>
      <c r="M16" s="328"/>
      <c r="P16" s="331" t="e">
        <f>P15+O144</f>
        <v>#REF!</v>
      </c>
    </row>
    <row r="17" spans="1:16" ht="20.149999999999999" customHeight="1" x14ac:dyDescent="0.35">
      <c r="A17" s="329">
        <v>10</v>
      </c>
      <c r="B17" s="321">
        <v>7</v>
      </c>
      <c r="C17" s="330" t="s">
        <v>205</v>
      </c>
      <c r="D17" s="323">
        <f>'[1]road inventory 2018'!C19</f>
        <v>1.1000000000000001</v>
      </c>
      <c r="E17" s="323">
        <v>1.1000000000000001</v>
      </c>
      <c r="F17" s="323">
        <v>0</v>
      </c>
      <c r="G17" s="323">
        <v>0</v>
      </c>
      <c r="H17" s="323">
        <v>0</v>
      </c>
      <c r="I17" s="325" t="s">
        <v>12</v>
      </c>
      <c r="J17" s="323">
        <f t="shared" si="0"/>
        <v>1.1000000000000001</v>
      </c>
      <c r="K17" s="326" t="s">
        <v>321</v>
      </c>
      <c r="L17" s="363"/>
      <c r="M17" s="328"/>
    </row>
    <row r="18" spans="1:16" ht="20.149999999999999" customHeight="1" x14ac:dyDescent="0.35">
      <c r="A18" s="329">
        <v>11</v>
      </c>
      <c r="B18" s="321">
        <v>8</v>
      </c>
      <c r="C18" s="330" t="s">
        <v>324</v>
      </c>
      <c r="D18" s="323">
        <f>'[1]road inventory 2018'!C20</f>
        <v>0.6</v>
      </c>
      <c r="E18" s="323">
        <v>0.6</v>
      </c>
      <c r="F18" s="323">
        <v>0</v>
      </c>
      <c r="G18" s="323">
        <v>0</v>
      </c>
      <c r="H18" s="323">
        <v>0</v>
      </c>
      <c r="I18" s="325" t="s">
        <v>12</v>
      </c>
      <c r="J18" s="323">
        <f t="shared" si="0"/>
        <v>0.6</v>
      </c>
      <c r="K18" s="326" t="s">
        <v>325</v>
      </c>
      <c r="L18" s="363"/>
      <c r="M18" s="328"/>
      <c r="N18" s="331"/>
      <c r="P18" s="331"/>
    </row>
    <row r="19" spans="1:16" ht="20.149999999999999" customHeight="1" x14ac:dyDescent="0.35">
      <c r="A19" s="329">
        <v>12</v>
      </c>
      <c r="B19" s="321">
        <v>9</v>
      </c>
      <c r="C19" s="330" t="s">
        <v>19</v>
      </c>
      <c r="D19" s="323">
        <f>'[1]road inventory 2018'!C21</f>
        <v>9</v>
      </c>
      <c r="E19" s="323">
        <v>8.6460000000000008</v>
      </c>
      <c r="F19" s="323">
        <v>0</v>
      </c>
      <c r="G19" s="323">
        <v>0</v>
      </c>
      <c r="H19" s="323">
        <v>0.35399999999999998</v>
      </c>
      <c r="I19" s="325" t="s">
        <v>10</v>
      </c>
      <c r="J19" s="323">
        <f t="shared" si="0"/>
        <v>9</v>
      </c>
      <c r="K19" s="326" t="s">
        <v>326</v>
      </c>
      <c r="L19" s="363"/>
      <c r="M19" s="328">
        <v>8.6460000000000008</v>
      </c>
      <c r="N19" s="331"/>
      <c r="P19" s="331"/>
    </row>
    <row r="20" spans="1:16" ht="20.149999999999999" customHeight="1" x14ac:dyDescent="0.35">
      <c r="A20" s="329">
        <v>13</v>
      </c>
      <c r="B20" s="321">
        <v>10</v>
      </c>
      <c r="C20" s="330" t="s">
        <v>23</v>
      </c>
      <c r="D20" s="323">
        <f>'[1]road inventory 2018'!C22</f>
        <v>13.6</v>
      </c>
      <c r="E20" s="323">
        <f>8.47+1.31+0.34</f>
        <v>10.120000000000001</v>
      </c>
      <c r="F20" s="323">
        <v>0</v>
      </c>
      <c r="G20" s="323">
        <v>0</v>
      </c>
      <c r="H20" s="323">
        <v>3.48</v>
      </c>
      <c r="I20" s="325" t="s">
        <v>10</v>
      </c>
      <c r="J20" s="323">
        <f t="shared" si="0"/>
        <v>13.600000000000001</v>
      </c>
      <c r="K20" s="326" t="s">
        <v>327</v>
      </c>
      <c r="L20" s="363"/>
      <c r="M20" s="328"/>
      <c r="N20" s="331"/>
      <c r="P20" s="331"/>
    </row>
    <row r="21" spans="1:16" ht="20.149999999999999" customHeight="1" x14ac:dyDescent="0.35">
      <c r="A21" s="329">
        <v>14</v>
      </c>
      <c r="B21" s="321">
        <v>11</v>
      </c>
      <c r="C21" s="330" t="s">
        <v>223</v>
      </c>
      <c r="D21" s="323">
        <f>'[1]road inventory 2018'!C23</f>
        <v>2.2000000000000002</v>
      </c>
      <c r="E21" s="323">
        <v>1.3</v>
      </c>
      <c r="F21" s="323">
        <v>0</v>
      </c>
      <c r="G21" s="323">
        <v>0</v>
      </c>
      <c r="H21" s="323">
        <v>0.9</v>
      </c>
      <c r="I21" s="325" t="s">
        <v>12</v>
      </c>
      <c r="J21" s="323">
        <f t="shared" si="0"/>
        <v>2.2000000000000002</v>
      </c>
      <c r="K21" s="326" t="s">
        <v>328</v>
      </c>
      <c r="L21" s="363"/>
      <c r="M21" s="328"/>
      <c r="N21" s="333"/>
      <c r="P21" s="333"/>
    </row>
    <row r="22" spans="1:16" ht="20.149999999999999" customHeight="1" x14ac:dyDescent="0.35">
      <c r="A22" s="329">
        <v>18</v>
      </c>
      <c r="B22" s="321">
        <v>14</v>
      </c>
      <c r="C22" s="330" t="s">
        <v>215</v>
      </c>
      <c r="D22" s="323">
        <f>'[1]road inventory 2018'!C27</f>
        <v>4</v>
      </c>
      <c r="E22" s="323">
        <v>4</v>
      </c>
      <c r="F22" s="323">
        <v>0</v>
      </c>
      <c r="G22" s="323">
        <v>0</v>
      </c>
      <c r="H22" s="323">
        <v>0</v>
      </c>
      <c r="I22" s="325" t="s">
        <v>12</v>
      </c>
      <c r="J22" s="323">
        <f t="shared" si="0"/>
        <v>4</v>
      </c>
      <c r="K22" s="326" t="s">
        <v>327</v>
      </c>
      <c r="L22" s="363"/>
      <c r="M22" s="328"/>
      <c r="N22" s="331"/>
      <c r="P22" s="331"/>
    </row>
    <row r="23" spans="1:16" ht="20.149999999999999" customHeight="1" x14ac:dyDescent="0.35">
      <c r="A23" s="329">
        <v>20</v>
      </c>
      <c r="B23" s="321">
        <v>16</v>
      </c>
      <c r="C23" s="330" t="s">
        <v>25</v>
      </c>
      <c r="D23" s="323">
        <f>'[1]road inventory 2018'!C29</f>
        <v>1</v>
      </c>
      <c r="E23" s="323">
        <v>0</v>
      </c>
      <c r="F23" s="323">
        <v>0</v>
      </c>
      <c r="G23" s="323">
        <v>0</v>
      </c>
      <c r="H23" s="323">
        <v>1</v>
      </c>
      <c r="I23" s="325" t="s">
        <v>12</v>
      </c>
      <c r="J23" s="323">
        <f t="shared" si="0"/>
        <v>1</v>
      </c>
      <c r="K23" s="326" t="s">
        <v>337</v>
      </c>
      <c r="L23" s="363"/>
      <c r="M23" s="328"/>
      <c r="N23" s="331"/>
      <c r="P23" s="331"/>
    </row>
    <row r="24" spans="1:16" ht="20.149999999999999" customHeight="1" x14ac:dyDescent="0.35">
      <c r="A24" s="329">
        <v>21</v>
      </c>
      <c r="B24" s="321">
        <v>17</v>
      </c>
      <c r="C24" s="330" t="s">
        <v>216</v>
      </c>
      <c r="D24" s="323">
        <f>'[1]road inventory 2018'!C30</f>
        <v>4</v>
      </c>
      <c r="E24" s="323">
        <v>1.4219999999999999</v>
      </c>
      <c r="F24" s="323">
        <v>0</v>
      </c>
      <c r="G24" s="323">
        <v>0</v>
      </c>
      <c r="H24" s="323">
        <v>2.5779999999999998</v>
      </c>
      <c r="I24" s="325" t="s">
        <v>10</v>
      </c>
      <c r="J24" s="323">
        <f t="shared" si="0"/>
        <v>4</v>
      </c>
      <c r="K24" s="326" t="s">
        <v>339</v>
      </c>
      <c r="L24" s="363"/>
      <c r="M24" s="328">
        <v>1.4219999999999999</v>
      </c>
      <c r="N24" s="331"/>
      <c r="P24" s="331"/>
    </row>
    <row r="25" spans="1:16" ht="20.149999999999999" customHeight="1" x14ac:dyDescent="0.35">
      <c r="A25" s="329">
        <v>22</v>
      </c>
      <c r="B25" s="321">
        <v>18</v>
      </c>
      <c r="C25" s="330" t="s">
        <v>27</v>
      </c>
      <c r="D25" s="323">
        <f>'[1]road inventory 2018'!C31</f>
        <v>10.5</v>
      </c>
      <c r="E25" s="323">
        <v>10.5</v>
      </c>
      <c r="F25" s="323">
        <v>0</v>
      </c>
      <c r="G25" s="323">
        <v>0</v>
      </c>
      <c r="H25" s="323">
        <v>0</v>
      </c>
      <c r="I25" s="325" t="s">
        <v>12</v>
      </c>
      <c r="J25" s="323">
        <f t="shared" si="0"/>
        <v>10.5</v>
      </c>
      <c r="K25" s="326" t="s">
        <v>335</v>
      </c>
      <c r="L25" s="363" t="s">
        <v>749</v>
      </c>
      <c r="M25" s="328">
        <v>2</v>
      </c>
      <c r="N25" s="331"/>
      <c r="P25" s="331"/>
    </row>
    <row r="26" spans="1:16" ht="20.149999999999999" customHeight="1" x14ac:dyDescent="0.35">
      <c r="A26" s="329">
        <v>23</v>
      </c>
      <c r="B26" s="321">
        <v>221</v>
      </c>
      <c r="C26" s="330" t="s">
        <v>219</v>
      </c>
      <c r="D26" s="323">
        <f>'[1]road inventory 2018'!C32</f>
        <v>5.2</v>
      </c>
      <c r="E26" s="323">
        <v>1.17</v>
      </c>
      <c r="F26" s="323">
        <v>0</v>
      </c>
      <c r="G26" s="323">
        <v>0</v>
      </c>
      <c r="H26" s="323">
        <v>4.03</v>
      </c>
      <c r="I26" s="325" t="s">
        <v>12</v>
      </c>
      <c r="J26" s="323">
        <f t="shared" si="0"/>
        <v>5.2</v>
      </c>
      <c r="K26" s="326" t="s">
        <v>340</v>
      </c>
      <c r="L26" s="363"/>
      <c r="M26" s="328"/>
      <c r="N26" s="331"/>
      <c r="P26" s="331"/>
    </row>
    <row r="27" spans="1:16" s="317" customFormat="1" ht="20.149999999999999" customHeight="1" x14ac:dyDescent="0.35">
      <c r="B27" s="373"/>
      <c r="C27" s="374" t="s">
        <v>341</v>
      </c>
      <c r="D27" s="375">
        <f>SUM(D8:D26)</f>
        <v>82.15</v>
      </c>
      <c r="E27" s="375">
        <f>SUM(E8:E26)</f>
        <v>54.147999999999996</v>
      </c>
      <c r="F27" s="375">
        <f>SUM(F8:F26)</f>
        <v>0</v>
      </c>
      <c r="G27" s="375">
        <f>SUM(G8:G26)</f>
        <v>0</v>
      </c>
      <c r="H27" s="375">
        <f>SUM(H8:H26)</f>
        <v>28.002000000000002</v>
      </c>
      <c r="I27" s="376"/>
      <c r="J27" s="375"/>
      <c r="K27" s="372"/>
      <c r="L27" s="453"/>
      <c r="M27" s="377"/>
      <c r="N27" s="320"/>
    </row>
    <row r="28" spans="1:16" ht="20.149999999999999" customHeight="1" x14ac:dyDescent="0.35">
      <c r="B28" s="321"/>
      <c r="C28" s="330"/>
      <c r="D28" s="323"/>
      <c r="E28" s="323"/>
      <c r="F28" s="323"/>
      <c r="G28" s="323"/>
      <c r="H28" s="323"/>
      <c r="I28" s="325"/>
      <c r="J28" s="323"/>
      <c r="K28" s="326"/>
      <c r="L28" s="363"/>
      <c r="M28" s="328"/>
      <c r="N28" s="331"/>
    </row>
    <row r="29" spans="1:16" ht="20.149999999999999" customHeight="1" x14ac:dyDescent="0.35">
      <c r="B29" s="381" t="s">
        <v>455</v>
      </c>
      <c r="C29" s="379"/>
      <c r="D29" s="379"/>
      <c r="E29" s="379"/>
      <c r="F29" s="379"/>
      <c r="G29" s="379"/>
      <c r="H29" s="379"/>
      <c r="I29" s="380"/>
      <c r="J29" s="323"/>
      <c r="K29" s="329"/>
      <c r="L29" s="363"/>
      <c r="M29" s="328"/>
    </row>
    <row r="30" spans="1:16" ht="20.149999999999999" customHeight="1" x14ac:dyDescent="0.35">
      <c r="A30" s="329">
        <v>1</v>
      </c>
      <c r="B30" s="321">
        <v>91</v>
      </c>
      <c r="C30" s="335" t="s">
        <v>62</v>
      </c>
      <c r="D30" s="323">
        <f>'[1]road inventory 2018'!C169</f>
        <v>12.9</v>
      </c>
      <c r="E30" s="323">
        <f>0.04+0.29+0.12+1.23+1+3+1+1.23+0.77+1+0.77+0.86 +0.9</f>
        <v>12.209999999999999</v>
      </c>
      <c r="F30" s="323">
        <v>0</v>
      </c>
      <c r="G30" s="323">
        <v>0</v>
      </c>
      <c r="H30" s="323">
        <f>0.06+0.26+0.36+0.01</f>
        <v>0.69</v>
      </c>
      <c r="I30" s="325" t="s">
        <v>10</v>
      </c>
      <c r="J30" s="323">
        <f>SUM(E30:H30)</f>
        <v>12.899999999999999</v>
      </c>
      <c r="K30" s="326" t="s">
        <v>726</v>
      </c>
      <c r="L30" s="363"/>
      <c r="M30" s="328"/>
    </row>
    <row r="31" spans="1:16" ht="20.149999999999999" customHeight="1" x14ac:dyDescent="0.35">
      <c r="A31" s="329">
        <v>2</v>
      </c>
      <c r="B31" s="321">
        <v>92</v>
      </c>
      <c r="C31" s="335" t="s">
        <v>457</v>
      </c>
      <c r="D31" s="323">
        <f>'[1]road inventory 2018'!C170</f>
        <v>5.6</v>
      </c>
      <c r="E31" s="323">
        <v>5.6</v>
      </c>
      <c r="F31" s="323">
        <v>0</v>
      </c>
      <c r="G31" s="323">
        <v>0</v>
      </c>
      <c r="H31" s="323">
        <v>0</v>
      </c>
      <c r="I31" s="325" t="s">
        <v>12</v>
      </c>
      <c r="J31" s="323">
        <f>SUM(E31:H31)</f>
        <v>5.6</v>
      </c>
      <c r="K31" s="325" t="s">
        <v>727</v>
      </c>
      <c r="L31" s="363"/>
      <c r="M31" s="328"/>
    </row>
    <row r="32" spans="1:16" s="317" customFormat="1" ht="20.149999999999999" customHeight="1" x14ac:dyDescent="0.35">
      <c r="B32" s="373"/>
      <c r="C32" s="374" t="s">
        <v>341</v>
      </c>
      <c r="D32" s="375">
        <f>SUM(D30:D31)</f>
        <v>18.5</v>
      </c>
      <c r="E32" s="375">
        <f>SUM(E30:E31)</f>
        <v>17.809999999999999</v>
      </c>
      <c r="F32" s="375">
        <f>SUM(F30:F31)</f>
        <v>0</v>
      </c>
      <c r="G32" s="375">
        <f>SUM(G30:G31)</f>
        <v>0</v>
      </c>
      <c r="H32" s="375">
        <f>SUM(H30:H31)</f>
        <v>0.69</v>
      </c>
      <c r="I32" s="376"/>
      <c r="J32" s="375"/>
      <c r="K32" s="372"/>
      <c r="L32" s="453"/>
      <c r="M32" s="377"/>
      <c r="N32" s="320"/>
    </row>
    <row r="33" spans="1:14" ht="20.149999999999999" customHeight="1" x14ac:dyDescent="0.35">
      <c r="B33" s="321"/>
      <c r="C33" s="330"/>
      <c r="D33" s="323"/>
      <c r="E33" s="323"/>
      <c r="F33" s="323"/>
      <c r="G33" s="323"/>
      <c r="H33" s="323"/>
      <c r="I33" s="325"/>
      <c r="J33" s="323"/>
      <c r="K33" s="326"/>
      <c r="L33" s="363"/>
      <c r="M33" s="328"/>
      <c r="N33" s="331"/>
    </row>
    <row r="34" spans="1:14" ht="20.149999999999999" customHeight="1" x14ac:dyDescent="0.35">
      <c r="B34" s="389" t="s">
        <v>441</v>
      </c>
      <c r="C34" s="388"/>
      <c r="D34" s="385"/>
      <c r="E34" s="385"/>
      <c r="F34" s="385"/>
      <c r="G34" s="385"/>
      <c r="H34" s="385"/>
      <c r="I34" s="386"/>
      <c r="J34" s="385"/>
      <c r="K34" s="388"/>
      <c r="L34" s="454"/>
      <c r="M34" s="387"/>
    </row>
    <row r="35" spans="1:14" ht="20.149999999999999" customHeight="1" x14ac:dyDescent="0.35">
      <c r="A35" s="329">
        <v>2</v>
      </c>
      <c r="B35" s="321">
        <v>77</v>
      </c>
      <c r="C35" s="335" t="s">
        <v>271</v>
      </c>
      <c r="D35" s="323">
        <f>'[1]road inventory 2018'!C150</f>
        <v>0.7</v>
      </c>
      <c r="E35" s="323">
        <v>0</v>
      </c>
      <c r="F35" s="323">
        <v>0</v>
      </c>
      <c r="G35" s="323">
        <v>0</v>
      </c>
      <c r="H35" s="323">
        <v>0.7</v>
      </c>
      <c r="I35" s="325" t="s">
        <v>10</v>
      </c>
      <c r="J35" s="323">
        <f t="shared" ref="J35:J40" si="1">SUM(E35:H35)</f>
        <v>0.7</v>
      </c>
      <c r="K35" s="326" t="s">
        <v>443</v>
      </c>
      <c r="L35" s="363"/>
      <c r="M35" s="328"/>
    </row>
    <row r="36" spans="1:14" ht="20.149999999999999" customHeight="1" x14ac:dyDescent="0.35">
      <c r="A36" s="329">
        <v>3</v>
      </c>
      <c r="B36" s="321">
        <v>94</v>
      </c>
      <c r="C36" s="335" t="s">
        <v>278</v>
      </c>
      <c r="D36" s="323">
        <f>'[1]road inventory 2018'!C151</f>
        <v>0.6</v>
      </c>
      <c r="E36" s="323">
        <v>0</v>
      </c>
      <c r="F36" s="323">
        <v>0</v>
      </c>
      <c r="G36" s="323">
        <v>0</v>
      </c>
      <c r="H36" s="323">
        <v>0.6</v>
      </c>
      <c r="I36" s="325" t="s">
        <v>10</v>
      </c>
      <c r="J36" s="323">
        <f t="shared" si="1"/>
        <v>0.6</v>
      </c>
      <c r="K36" s="326" t="s">
        <v>444</v>
      </c>
      <c r="L36" s="363"/>
      <c r="M36" s="328"/>
    </row>
    <row r="37" spans="1:14" ht="20.149999999999999" customHeight="1" x14ac:dyDescent="0.35">
      <c r="A37" s="329">
        <v>7</v>
      </c>
      <c r="B37" s="321">
        <v>81</v>
      </c>
      <c r="C37" s="335" t="s">
        <v>279</v>
      </c>
      <c r="D37" s="323">
        <f>'[1]road inventory 2018'!C155</f>
        <v>3.8</v>
      </c>
      <c r="E37" s="323">
        <f>0.2+0.27</f>
        <v>0.47000000000000003</v>
      </c>
      <c r="F37" s="323">
        <v>0</v>
      </c>
      <c r="G37" s="323">
        <v>0</v>
      </c>
      <c r="H37" s="323">
        <v>3.33</v>
      </c>
      <c r="I37" s="325" t="s">
        <v>12</v>
      </c>
      <c r="J37" s="323">
        <f t="shared" si="1"/>
        <v>3.8000000000000003</v>
      </c>
      <c r="K37" s="326" t="s">
        <v>448</v>
      </c>
      <c r="L37" s="363"/>
      <c r="M37" s="328"/>
    </row>
    <row r="38" spans="1:14" ht="20.149999999999999" customHeight="1" x14ac:dyDescent="0.35">
      <c r="A38" s="329">
        <v>9</v>
      </c>
      <c r="B38" s="321">
        <v>83</v>
      </c>
      <c r="C38" s="335" t="s">
        <v>58</v>
      </c>
      <c r="D38" s="323">
        <f>'[1]road inventory 2018'!C157</f>
        <v>4.2</v>
      </c>
      <c r="E38" s="323">
        <f>0.12+0.22</f>
        <v>0.33999999999999997</v>
      </c>
      <c r="F38" s="323">
        <v>0</v>
      </c>
      <c r="G38" s="323">
        <v>0</v>
      </c>
      <c r="H38" s="323">
        <v>3.86</v>
      </c>
      <c r="I38" s="325" t="s">
        <v>12</v>
      </c>
      <c r="J38" s="323">
        <f t="shared" si="1"/>
        <v>4.2</v>
      </c>
      <c r="K38" s="326" t="s">
        <v>447</v>
      </c>
      <c r="L38" s="363"/>
      <c r="M38" s="328"/>
    </row>
    <row r="39" spans="1:14" ht="20.149999999999999" customHeight="1" x14ac:dyDescent="0.35">
      <c r="A39" s="329">
        <v>11</v>
      </c>
      <c r="B39" s="321">
        <v>85</v>
      </c>
      <c r="C39" s="335" t="s">
        <v>281</v>
      </c>
      <c r="D39" s="323">
        <f>'[1]road inventory 2018'!C159</f>
        <v>2.8</v>
      </c>
      <c r="E39" s="323">
        <v>0</v>
      </c>
      <c r="F39" s="323">
        <v>0</v>
      </c>
      <c r="G39" s="323">
        <v>0</v>
      </c>
      <c r="H39" s="323">
        <v>2.8</v>
      </c>
      <c r="I39" s="325" t="s">
        <v>12</v>
      </c>
      <c r="J39" s="323">
        <f t="shared" si="1"/>
        <v>2.8</v>
      </c>
      <c r="K39" s="326" t="s">
        <v>451</v>
      </c>
      <c r="L39" s="363"/>
      <c r="M39" s="328"/>
    </row>
    <row r="40" spans="1:14" ht="20.149999999999999" customHeight="1" x14ac:dyDescent="0.35">
      <c r="A40" s="329">
        <v>13</v>
      </c>
      <c r="B40" s="321">
        <v>87</v>
      </c>
      <c r="C40" s="335" t="s">
        <v>273</v>
      </c>
      <c r="D40" s="323">
        <f>'[1]road inventory 2018'!C161</f>
        <v>0.5</v>
      </c>
      <c r="E40" s="323">
        <v>0</v>
      </c>
      <c r="F40" s="323">
        <v>0</v>
      </c>
      <c r="G40" s="323">
        <v>0</v>
      </c>
      <c r="H40" s="323">
        <v>0.5</v>
      </c>
      <c r="I40" s="325" t="s">
        <v>12</v>
      </c>
      <c r="J40" s="323">
        <f t="shared" si="1"/>
        <v>0.5</v>
      </c>
      <c r="K40" s="326" t="s">
        <v>450</v>
      </c>
      <c r="L40" s="363"/>
      <c r="M40" s="328"/>
    </row>
    <row r="41" spans="1:14" s="317" customFormat="1" ht="20.149999999999999" customHeight="1" x14ac:dyDescent="0.35">
      <c r="B41" s="373"/>
      <c r="C41" s="374" t="s">
        <v>341</v>
      </c>
      <c r="D41" s="375">
        <f>SUM(D35:D40)</f>
        <v>12.600000000000001</v>
      </c>
      <c r="E41" s="375">
        <f>SUM(E35:E40)</f>
        <v>0.81</v>
      </c>
      <c r="F41" s="375">
        <f>SUM(F35:F40)</f>
        <v>0</v>
      </c>
      <c r="G41" s="375">
        <f>SUM(G35:G40)</f>
        <v>0</v>
      </c>
      <c r="H41" s="375">
        <f>SUM(H35:H40)</f>
        <v>11.79</v>
      </c>
      <c r="I41" s="376"/>
      <c r="J41" s="375"/>
      <c r="K41" s="372"/>
      <c r="L41" s="453"/>
      <c r="M41" s="377"/>
      <c r="N41" s="320"/>
    </row>
    <row r="42" spans="1:14" ht="20.149999999999999" customHeight="1" x14ac:dyDescent="0.35">
      <c r="B42" s="389" t="s">
        <v>411</v>
      </c>
      <c r="C42" s="388"/>
      <c r="D42" s="385"/>
      <c r="E42" s="385"/>
      <c r="F42" s="385"/>
      <c r="G42" s="385"/>
      <c r="H42" s="385"/>
      <c r="I42" s="386"/>
      <c r="J42" s="385"/>
      <c r="K42" s="388"/>
      <c r="L42" s="454"/>
      <c r="M42" s="387"/>
    </row>
    <row r="43" spans="1:14" ht="20.149999999999999" customHeight="1" x14ac:dyDescent="0.35">
      <c r="A43" s="329">
        <v>2</v>
      </c>
      <c r="B43" s="321">
        <v>50</v>
      </c>
      <c r="C43" s="335" t="s">
        <v>255</v>
      </c>
      <c r="D43" s="323">
        <f>'[1]road inventory 2018'!C110</f>
        <v>7.6</v>
      </c>
      <c r="E43" s="323">
        <v>2</v>
      </c>
      <c r="F43" s="323">
        <v>0</v>
      </c>
      <c r="G43" s="323">
        <v>0</v>
      </c>
      <c r="H43" s="323">
        <v>5.6</v>
      </c>
      <c r="I43" s="325" t="s">
        <v>12</v>
      </c>
      <c r="J43" s="323">
        <f t="shared" ref="J43:J65" si="2">SUM(E43:H43)</f>
        <v>7.6</v>
      </c>
      <c r="K43" s="326" t="s">
        <v>413</v>
      </c>
      <c r="L43" s="363"/>
      <c r="M43" s="328"/>
    </row>
    <row r="44" spans="1:14" ht="20.149999999999999" customHeight="1" x14ac:dyDescent="0.35">
      <c r="A44" s="329">
        <v>4</v>
      </c>
      <c r="B44" s="321">
        <v>52</v>
      </c>
      <c r="C44" s="335" t="s">
        <v>251</v>
      </c>
      <c r="D44" s="323">
        <f>'[1]road inventory 2018'!C112</f>
        <v>6.5</v>
      </c>
      <c r="E44" s="323">
        <v>0</v>
      </c>
      <c r="F44" s="323">
        <v>0</v>
      </c>
      <c r="G44" s="323">
        <v>0</v>
      </c>
      <c r="H44" s="323">
        <v>6.5</v>
      </c>
      <c r="I44" s="325" t="s">
        <v>12</v>
      </c>
      <c r="J44" s="323">
        <f t="shared" si="2"/>
        <v>6.5</v>
      </c>
      <c r="K44" s="326" t="s">
        <v>415</v>
      </c>
      <c r="L44" s="363"/>
      <c r="M44" s="328"/>
    </row>
    <row r="45" spans="1:14" ht="20.149999999999999" customHeight="1" x14ac:dyDescent="0.35">
      <c r="A45" s="329">
        <v>5</v>
      </c>
      <c r="B45" s="321">
        <v>53</v>
      </c>
      <c r="C45" s="335" t="s">
        <v>249</v>
      </c>
      <c r="D45" s="323">
        <f>'[1]road inventory 2018'!C113</f>
        <v>6.4</v>
      </c>
      <c r="E45" s="323">
        <v>5.64</v>
      </c>
      <c r="F45" s="323">
        <v>0</v>
      </c>
      <c r="G45" s="323">
        <v>0</v>
      </c>
      <c r="H45" s="323">
        <v>0.76</v>
      </c>
      <c r="I45" s="325" t="s">
        <v>12</v>
      </c>
      <c r="J45" s="323">
        <f t="shared" si="2"/>
        <v>6.3999999999999995</v>
      </c>
      <c r="K45" s="326" t="s">
        <v>416</v>
      </c>
      <c r="L45" s="363"/>
      <c r="M45" s="328">
        <v>5.64</v>
      </c>
    </row>
    <row r="46" spans="1:14" ht="20.149999999999999" customHeight="1" x14ac:dyDescent="0.35">
      <c r="A46" s="329">
        <v>6</v>
      </c>
      <c r="B46" s="321">
        <v>54</v>
      </c>
      <c r="C46" s="335" t="s">
        <v>252</v>
      </c>
      <c r="D46" s="323">
        <f>'[1]road inventory 2018'!C114</f>
        <v>1.6</v>
      </c>
      <c r="E46" s="323">
        <v>1.18</v>
      </c>
      <c r="F46" s="323">
        <v>0</v>
      </c>
      <c r="G46" s="323">
        <v>0</v>
      </c>
      <c r="H46" s="323">
        <v>0.42</v>
      </c>
      <c r="I46" s="325" t="s">
        <v>10</v>
      </c>
      <c r="J46" s="323">
        <f t="shared" si="2"/>
        <v>1.5999999999999999</v>
      </c>
      <c r="K46" s="326" t="s">
        <v>417</v>
      </c>
      <c r="L46" s="363"/>
      <c r="M46" s="328"/>
    </row>
    <row r="47" spans="1:14" ht="20.149999999999999" customHeight="1" x14ac:dyDescent="0.35">
      <c r="A47" s="329">
        <v>7</v>
      </c>
      <c r="B47" s="321">
        <v>103</v>
      </c>
      <c r="C47" s="335" t="s">
        <v>245</v>
      </c>
      <c r="D47" s="323">
        <f>'[1]road inventory 2018'!C115</f>
        <v>1.2</v>
      </c>
      <c r="E47" s="323">
        <v>0.19</v>
      </c>
      <c r="F47" s="323">
        <v>0</v>
      </c>
      <c r="G47" s="323">
        <v>0</v>
      </c>
      <c r="H47" s="323">
        <v>1.01</v>
      </c>
      <c r="I47" s="325" t="s">
        <v>12</v>
      </c>
      <c r="J47" s="323">
        <f t="shared" si="2"/>
        <v>1.2</v>
      </c>
      <c r="K47" s="326" t="s">
        <v>418</v>
      </c>
      <c r="L47" s="363"/>
      <c r="M47" s="328"/>
    </row>
    <row r="48" spans="1:14" ht="20.149999999999999" customHeight="1" x14ac:dyDescent="0.35">
      <c r="A48" s="329">
        <v>9</v>
      </c>
      <c r="B48" s="321">
        <v>57</v>
      </c>
      <c r="C48" s="335" t="s">
        <v>268</v>
      </c>
      <c r="D48" s="323">
        <f>'[1]road inventory 2018'!C117</f>
        <v>1.3</v>
      </c>
      <c r="E48" s="323">
        <v>0.3</v>
      </c>
      <c r="F48" s="323">
        <v>0</v>
      </c>
      <c r="G48" s="323">
        <v>0</v>
      </c>
      <c r="H48" s="323">
        <v>1</v>
      </c>
      <c r="I48" s="325" t="s">
        <v>12</v>
      </c>
      <c r="J48" s="323">
        <f t="shared" si="2"/>
        <v>1.3</v>
      </c>
      <c r="K48" s="326" t="s">
        <v>420</v>
      </c>
      <c r="L48" s="363"/>
      <c r="M48" s="328"/>
    </row>
    <row r="49" spans="1:13" ht="20.149999999999999" customHeight="1" x14ac:dyDescent="0.35">
      <c r="A49" s="329">
        <v>10</v>
      </c>
      <c r="B49" s="321">
        <v>58</v>
      </c>
      <c r="C49" s="335" t="s">
        <v>421</v>
      </c>
      <c r="D49" s="323">
        <f>'[1]road inventory 2018'!C118</f>
        <v>0.3</v>
      </c>
      <c r="E49" s="323">
        <v>0</v>
      </c>
      <c r="F49" s="323">
        <v>0</v>
      </c>
      <c r="G49" s="323">
        <v>0</v>
      </c>
      <c r="H49" s="323">
        <v>0.3</v>
      </c>
      <c r="I49" s="325" t="s">
        <v>12</v>
      </c>
      <c r="J49" s="323">
        <f t="shared" si="2"/>
        <v>0.3</v>
      </c>
      <c r="K49" s="326" t="s">
        <v>422</v>
      </c>
      <c r="L49" s="363"/>
      <c r="M49" s="328"/>
    </row>
    <row r="50" spans="1:13" ht="20.149999999999999" customHeight="1" x14ac:dyDescent="0.35">
      <c r="A50" s="329">
        <v>11</v>
      </c>
      <c r="B50" s="321">
        <v>59</v>
      </c>
      <c r="C50" s="335" t="s">
        <v>262</v>
      </c>
      <c r="D50" s="323">
        <f>'[1]road inventory 2018'!C119</f>
        <v>0.8</v>
      </c>
      <c r="E50" s="323">
        <v>0</v>
      </c>
      <c r="F50" s="323">
        <v>0</v>
      </c>
      <c r="G50" s="323">
        <v>0</v>
      </c>
      <c r="H50" s="323">
        <v>0.8</v>
      </c>
      <c r="I50" s="325" t="s">
        <v>12</v>
      </c>
      <c r="J50" s="323">
        <f t="shared" si="2"/>
        <v>0.8</v>
      </c>
      <c r="K50" s="326" t="s">
        <v>422</v>
      </c>
      <c r="L50" s="363"/>
      <c r="M50" s="328"/>
    </row>
    <row r="51" spans="1:13" ht="20.149999999999999" customHeight="1" x14ac:dyDescent="0.35">
      <c r="A51" s="329">
        <v>12</v>
      </c>
      <c r="B51" s="321">
        <v>97</v>
      </c>
      <c r="C51" s="335" t="s">
        <v>51</v>
      </c>
      <c r="D51" s="323">
        <f>'[1]road inventory 2018'!C120</f>
        <v>8.3000000000000007</v>
      </c>
      <c r="E51" s="323">
        <v>8.3000000000000007</v>
      </c>
      <c r="F51" s="323">
        <v>0</v>
      </c>
      <c r="G51" s="323">
        <v>0</v>
      </c>
      <c r="H51" s="323">
        <v>0</v>
      </c>
      <c r="I51" s="325" t="s">
        <v>12</v>
      </c>
      <c r="J51" s="323">
        <f t="shared" si="2"/>
        <v>8.3000000000000007</v>
      </c>
      <c r="K51" s="326" t="s">
        <v>423</v>
      </c>
      <c r="L51" s="363"/>
      <c r="M51" s="328"/>
    </row>
    <row r="52" spans="1:13" ht="20.149999999999999" customHeight="1" x14ac:dyDescent="0.35">
      <c r="A52" s="329">
        <v>13</v>
      </c>
      <c r="B52" s="321">
        <v>56</v>
      </c>
      <c r="C52" s="335" t="s">
        <v>250</v>
      </c>
      <c r="D52" s="323">
        <f>'[1]road inventory 2018'!C121</f>
        <v>5.7</v>
      </c>
      <c r="E52" s="323">
        <f>1.73-0.01</f>
        <v>1.72</v>
      </c>
      <c r="F52" s="323">
        <v>0</v>
      </c>
      <c r="G52" s="323">
        <v>0</v>
      </c>
      <c r="H52" s="323">
        <v>3.98</v>
      </c>
      <c r="I52" s="325" t="s">
        <v>12</v>
      </c>
      <c r="J52" s="323">
        <f t="shared" si="2"/>
        <v>5.7</v>
      </c>
      <c r="K52" s="326" t="s">
        <v>414</v>
      </c>
      <c r="L52" s="363"/>
      <c r="M52" s="328"/>
    </row>
    <row r="53" spans="1:13" ht="20.149999999999999" customHeight="1" x14ac:dyDescent="0.35">
      <c r="A53" s="329">
        <v>14</v>
      </c>
      <c r="B53" s="321">
        <v>60</v>
      </c>
      <c r="C53" s="335" t="s">
        <v>253</v>
      </c>
      <c r="D53" s="323">
        <f>'[1]road inventory 2018'!C122</f>
        <v>9.1999999999999993</v>
      </c>
      <c r="E53" s="323">
        <v>7.1</v>
      </c>
      <c r="F53" s="323">
        <v>0</v>
      </c>
      <c r="G53" s="323">
        <v>0</v>
      </c>
      <c r="H53" s="323">
        <v>2.1</v>
      </c>
      <c r="I53" s="325" t="s">
        <v>10</v>
      </c>
      <c r="J53" s="323">
        <f t="shared" si="2"/>
        <v>9.1999999999999993</v>
      </c>
      <c r="K53" s="326" t="s">
        <v>424</v>
      </c>
      <c r="L53" s="363"/>
      <c r="M53" s="328"/>
    </row>
    <row r="54" spans="1:13" ht="20.149999999999999" customHeight="1" x14ac:dyDescent="0.35">
      <c r="A54" s="329">
        <v>15</v>
      </c>
      <c r="B54" s="321">
        <v>61</v>
      </c>
      <c r="C54" s="335" t="s">
        <v>260</v>
      </c>
      <c r="D54" s="323">
        <f>'[1]road inventory 2018'!C123</f>
        <v>4.5</v>
      </c>
      <c r="E54" s="323">
        <v>1.63</v>
      </c>
      <c r="F54" s="323">
        <v>0</v>
      </c>
      <c r="G54" s="323">
        <v>0</v>
      </c>
      <c r="H54" s="323">
        <f>2.88-0.01</f>
        <v>2.87</v>
      </c>
      <c r="I54" s="325" t="s">
        <v>12</v>
      </c>
      <c r="J54" s="323">
        <f t="shared" si="2"/>
        <v>4.5</v>
      </c>
      <c r="K54" s="326" t="s">
        <v>425</v>
      </c>
      <c r="L54" s="363"/>
      <c r="M54" s="328"/>
    </row>
    <row r="55" spans="1:13" ht="20.149999999999999" customHeight="1" x14ac:dyDescent="0.35">
      <c r="A55" s="329">
        <v>16</v>
      </c>
      <c r="B55" s="321">
        <v>62</v>
      </c>
      <c r="C55" s="335" t="s">
        <v>269</v>
      </c>
      <c r="D55" s="323">
        <f>'[1]road inventory 2018'!C124</f>
        <v>2</v>
      </c>
      <c r="E55" s="323">
        <v>0</v>
      </c>
      <c r="F55" s="323">
        <v>0</v>
      </c>
      <c r="G55" s="323">
        <v>0</v>
      </c>
      <c r="H55" s="323">
        <v>2</v>
      </c>
      <c r="I55" s="325" t="s">
        <v>12</v>
      </c>
      <c r="J55" s="323">
        <f t="shared" si="2"/>
        <v>2</v>
      </c>
      <c r="K55" s="326" t="s">
        <v>426</v>
      </c>
      <c r="L55" s="363"/>
      <c r="M55" s="328"/>
    </row>
    <row r="56" spans="1:13" ht="20.149999999999999" customHeight="1" x14ac:dyDescent="0.35">
      <c r="A56" s="329">
        <v>17</v>
      </c>
      <c r="B56" s="321">
        <v>63</v>
      </c>
      <c r="C56" s="335" t="s">
        <v>265</v>
      </c>
      <c r="D56" s="323">
        <f>'[1]road inventory 2018'!C125</f>
        <v>3</v>
      </c>
      <c r="E56" s="323">
        <v>1.1100000000000001</v>
      </c>
      <c r="F56" s="323">
        <v>0</v>
      </c>
      <c r="G56" s="323">
        <v>0</v>
      </c>
      <c r="H56" s="323">
        <v>1.89</v>
      </c>
      <c r="I56" s="325" t="s">
        <v>12</v>
      </c>
      <c r="J56" s="323">
        <f t="shared" si="2"/>
        <v>3</v>
      </c>
      <c r="K56" s="326" t="s">
        <v>427</v>
      </c>
      <c r="L56" s="363"/>
      <c r="M56" s="328"/>
    </row>
    <row r="57" spans="1:13" ht="20.149999999999999" customHeight="1" x14ac:dyDescent="0.35">
      <c r="A57" s="329">
        <v>18</v>
      </c>
      <c r="B57" s="321">
        <v>98</v>
      </c>
      <c r="C57" s="335" t="s">
        <v>247</v>
      </c>
      <c r="D57" s="323">
        <f>'[1]road inventory 2018'!C126</f>
        <v>5.1000000000000005</v>
      </c>
      <c r="E57" s="323">
        <v>4.9800000000000004</v>
      </c>
      <c r="F57" s="323">
        <v>0</v>
      </c>
      <c r="G57" s="323">
        <v>0</v>
      </c>
      <c r="H57" s="323">
        <v>0.12</v>
      </c>
      <c r="I57" s="325" t="s">
        <v>10</v>
      </c>
      <c r="J57" s="323">
        <f t="shared" si="2"/>
        <v>5.1000000000000005</v>
      </c>
      <c r="K57" s="326" t="s">
        <v>428</v>
      </c>
      <c r="L57" s="363"/>
      <c r="M57" s="328">
        <v>4.9800000000000004</v>
      </c>
    </row>
    <row r="58" spans="1:13" ht="20.149999999999999" customHeight="1" x14ac:dyDescent="0.35">
      <c r="A58" s="329">
        <v>19</v>
      </c>
      <c r="B58" s="321">
        <v>64</v>
      </c>
      <c r="C58" s="335" t="s">
        <v>246</v>
      </c>
      <c r="D58" s="323">
        <f>'[1]road inventory 2018'!C127</f>
        <v>3.6</v>
      </c>
      <c r="E58" s="323">
        <v>3.6</v>
      </c>
      <c r="F58" s="323">
        <v>0</v>
      </c>
      <c r="G58" s="323">
        <v>0</v>
      </c>
      <c r="H58" s="323">
        <v>0</v>
      </c>
      <c r="I58" s="325" t="s">
        <v>10</v>
      </c>
      <c r="J58" s="323">
        <f t="shared" si="2"/>
        <v>3.6</v>
      </c>
      <c r="K58" s="326" t="s">
        <v>429</v>
      </c>
      <c r="L58" s="363"/>
      <c r="M58" s="328"/>
    </row>
    <row r="59" spans="1:13" ht="20.149999999999999" customHeight="1" x14ac:dyDescent="0.35">
      <c r="A59" s="329">
        <v>20</v>
      </c>
      <c r="B59" s="321">
        <v>96</v>
      </c>
      <c r="C59" s="335" t="s">
        <v>270</v>
      </c>
      <c r="D59" s="323">
        <f>'[1]road inventory 2018'!C128</f>
        <v>5.6999999999999993</v>
      </c>
      <c r="E59" s="323">
        <v>2.089</v>
      </c>
      <c r="F59" s="323">
        <v>0</v>
      </c>
      <c r="G59" s="323">
        <v>0</v>
      </c>
      <c r="H59" s="323">
        <v>3.6110000000000002</v>
      </c>
      <c r="I59" s="325" t="s">
        <v>12</v>
      </c>
      <c r="J59" s="323">
        <f t="shared" si="2"/>
        <v>5.7</v>
      </c>
      <c r="K59" s="326" t="s">
        <v>430</v>
      </c>
      <c r="L59" s="363"/>
      <c r="M59" s="328">
        <v>2.089</v>
      </c>
    </row>
    <row r="60" spans="1:13" ht="20.149999999999999" customHeight="1" x14ac:dyDescent="0.35">
      <c r="A60" s="329">
        <v>21</v>
      </c>
      <c r="B60" s="321">
        <v>65</v>
      </c>
      <c r="C60" s="335" t="s">
        <v>261</v>
      </c>
      <c r="D60" s="323">
        <f>'[1]road inventory 2018'!C129</f>
        <v>1.65</v>
      </c>
      <c r="E60" s="323">
        <v>0</v>
      </c>
      <c r="F60" s="323">
        <v>0</v>
      </c>
      <c r="G60" s="323">
        <v>0</v>
      </c>
      <c r="H60" s="323">
        <v>1.65</v>
      </c>
      <c r="I60" s="325" t="s">
        <v>12</v>
      </c>
      <c r="J60" s="323">
        <f t="shared" si="2"/>
        <v>1.65</v>
      </c>
      <c r="K60" s="326" t="s">
        <v>431</v>
      </c>
      <c r="L60" s="363"/>
      <c r="M60" s="328"/>
    </row>
    <row r="61" spans="1:13" ht="20.149999999999999" customHeight="1" x14ac:dyDescent="0.35">
      <c r="A61" s="329">
        <v>22</v>
      </c>
      <c r="B61" s="321">
        <v>66</v>
      </c>
      <c r="C61" s="335" t="s">
        <v>432</v>
      </c>
      <c r="D61" s="323">
        <f>'[1]road inventory 2018'!C130</f>
        <v>3.8000000000000003</v>
      </c>
      <c r="E61" s="323">
        <v>0</v>
      </c>
      <c r="F61" s="323">
        <v>0</v>
      </c>
      <c r="G61" s="323">
        <v>0</v>
      </c>
      <c r="H61" s="323">
        <v>3.8</v>
      </c>
      <c r="I61" s="325" t="s">
        <v>12</v>
      </c>
      <c r="J61" s="323">
        <f t="shared" si="2"/>
        <v>3.8</v>
      </c>
      <c r="K61" s="326" t="s">
        <v>433</v>
      </c>
      <c r="L61" s="363"/>
      <c r="M61" s="328"/>
    </row>
    <row r="62" spans="1:13" ht="20.149999999999999" customHeight="1" x14ac:dyDescent="0.35">
      <c r="A62" s="329">
        <v>27</v>
      </c>
      <c r="B62" s="321">
        <v>71</v>
      </c>
      <c r="C62" s="335" t="s">
        <v>54</v>
      </c>
      <c r="D62" s="323">
        <f>'[1]road inventory 2018'!C137</f>
        <v>2.7</v>
      </c>
      <c r="E62" s="323">
        <v>0</v>
      </c>
      <c r="F62" s="323">
        <v>0</v>
      </c>
      <c r="G62" s="323">
        <v>0</v>
      </c>
      <c r="H62" s="323">
        <v>2.7</v>
      </c>
      <c r="I62" s="325" t="s">
        <v>12</v>
      </c>
      <c r="J62" s="323">
        <f t="shared" si="2"/>
        <v>2.7</v>
      </c>
      <c r="K62" s="326" t="s">
        <v>437</v>
      </c>
      <c r="L62" s="363"/>
      <c r="M62" s="328"/>
    </row>
    <row r="63" spans="1:13" ht="20.149999999999999" customHeight="1" x14ac:dyDescent="0.35">
      <c r="A63" s="329">
        <v>28</v>
      </c>
      <c r="B63" s="321">
        <v>72</v>
      </c>
      <c r="C63" s="335" t="s">
        <v>56</v>
      </c>
      <c r="D63" s="323">
        <f>'[1]road inventory 2018'!C138</f>
        <v>1.7</v>
      </c>
      <c r="E63" s="323">
        <v>0.83</v>
      </c>
      <c r="F63" s="323">
        <v>0</v>
      </c>
      <c r="G63" s="323">
        <v>0</v>
      </c>
      <c r="H63" s="323">
        <v>0.87</v>
      </c>
      <c r="I63" s="325" t="s">
        <v>12</v>
      </c>
      <c r="J63" s="323">
        <f t="shared" si="2"/>
        <v>1.7</v>
      </c>
      <c r="K63" s="326" t="s">
        <v>438</v>
      </c>
      <c r="L63" s="363"/>
      <c r="M63" s="328"/>
    </row>
    <row r="64" spans="1:13" ht="20.149999999999999" customHeight="1" x14ac:dyDescent="0.35">
      <c r="A64" s="329">
        <v>29</v>
      </c>
      <c r="B64" s="321">
        <v>73</v>
      </c>
      <c r="C64" s="336" t="s">
        <v>258</v>
      </c>
      <c r="D64" s="323">
        <f>'[1]road inventory 2018'!C139</f>
        <v>5.5</v>
      </c>
      <c r="E64" s="323">
        <v>0</v>
      </c>
      <c r="F64" s="323">
        <v>0</v>
      </c>
      <c r="G64" s="323">
        <v>0</v>
      </c>
      <c r="H64" s="323">
        <v>5.5</v>
      </c>
      <c r="I64" s="325" t="s">
        <v>12</v>
      </c>
      <c r="J64" s="323">
        <f t="shared" si="2"/>
        <v>5.5</v>
      </c>
      <c r="K64" s="326" t="s">
        <v>439</v>
      </c>
      <c r="L64" s="363"/>
      <c r="M64" s="328"/>
    </row>
    <row r="65" spans="1:16" ht="20.149999999999999" customHeight="1" x14ac:dyDescent="0.35">
      <c r="A65" s="329">
        <v>32</v>
      </c>
      <c r="B65" s="321">
        <v>76</v>
      </c>
      <c r="C65" s="336" t="s">
        <v>256</v>
      </c>
      <c r="D65" s="323">
        <f>'[1]road inventory 2018'!C142</f>
        <v>0.2</v>
      </c>
      <c r="E65" s="323">
        <v>0.2</v>
      </c>
      <c r="F65" s="323">
        <v>0</v>
      </c>
      <c r="G65" s="323">
        <v>0</v>
      </c>
      <c r="H65" s="323">
        <v>0</v>
      </c>
      <c r="I65" s="325" t="s">
        <v>12</v>
      </c>
      <c r="J65" s="323">
        <f t="shared" si="2"/>
        <v>0.2</v>
      </c>
      <c r="K65" s="326" t="s">
        <v>425</v>
      </c>
      <c r="L65" s="363"/>
      <c r="M65" s="328"/>
    </row>
    <row r="66" spans="1:16" s="317" customFormat="1" ht="20.149999999999999" customHeight="1" x14ac:dyDescent="0.35">
      <c r="B66" s="373"/>
      <c r="C66" s="374" t="s">
        <v>341</v>
      </c>
      <c r="D66" s="375">
        <f>SUM(D43:D65)</f>
        <v>88.350000000000023</v>
      </c>
      <c r="E66" s="375">
        <f>SUM(E43:E65)</f>
        <v>40.869</v>
      </c>
      <c r="F66" s="375">
        <f>SUM(F43:F65)</f>
        <v>0</v>
      </c>
      <c r="G66" s="375">
        <f>SUM(G43:G65)</f>
        <v>0</v>
      </c>
      <c r="H66" s="375">
        <f>SUM(H43:H65)</f>
        <v>47.481000000000002</v>
      </c>
      <c r="I66" s="376"/>
      <c r="J66" s="375"/>
      <c r="K66" s="372"/>
      <c r="L66" s="453"/>
      <c r="M66" s="377"/>
      <c r="N66" s="320"/>
    </row>
    <row r="67" spans="1:16" ht="20.149999999999999" customHeight="1" x14ac:dyDescent="0.35">
      <c r="B67" s="321"/>
      <c r="C67" s="330"/>
      <c r="D67" s="323"/>
      <c r="E67" s="323"/>
      <c r="F67" s="323"/>
      <c r="G67" s="323"/>
      <c r="H67" s="323"/>
      <c r="I67" s="325"/>
      <c r="J67" s="323"/>
      <c r="K67" s="326"/>
      <c r="L67" s="363"/>
      <c r="M67" s="328"/>
      <c r="N67" s="331"/>
    </row>
    <row r="68" spans="1:16" s="317" customFormat="1" ht="20.149999999999999" customHeight="1" x14ac:dyDescent="0.35">
      <c r="B68" s="390" t="s">
        <v>342</v>
      </c>
      <c r="C68" s="378"/>
      <c r="D68" s="375"/>
      <c r="E68" s="375"/>
      <c r="F68" s="375"/>
      <c r="G68" s="375"/>
      <c r="H68" s="375"/>
      <c r="I68" s="376"/>
      <c r="J68" s="375"/>
      <c r="K68" s="378"/>
      <c r="L68" s="453"/>
      <c r="M68" s="377"/>
    </row>
    <row r="69" spans="1:16" ht="20.149999999999999" customHeight="1" x14ac:dyDescent="0.35">
      <c r="A69" s="329">
        <v>1</v>
      </c>
      <c r="B69" s="321">
        <v>21</v>
      </c>
      <c r="C69" s="336" t="s">
        <v>241</v>
      </c>
      <c r="D69" s="323">
        <f>'[1]road inventory 2018'!C41</f>
        <v>4.3</v>
      </c>
      <c r="E69" s="323">
        <v>4.3</v>
      </c>
      <c r="F69" s="323">
        <v>0</v>
      </c>
      <c r="G69" s="323">
        <v>0</v>
      </c>
      <c r="H69" s="323">
        <v>0</v>
      </c>
      <c r="I69" s="325" t="s">
        <v>10</v>
      </c>
      <c r="J69" s="323">
        <f t="shared" ref="J69:J86" si="3">SUM(E69:H69)</f>
        <v>4.3</v>
      </c>
      <c r="K69" s="326" t="s">
        <v>345</v>
      </c>
      <c r="L69" s="363"/>
      <c r="M69" s="328">
        <v>4.3</v>
      </c>
      <c r="N69" s="331"/>
      <c r="O69" s="331"/>
      <c r="P69" s="331"/>
    </row>
    <row r="70" spans="1:16" ht="20.149999999999999" customHeight="1" x14ac:dyDescent="0.35">
      <c r="A70" s="329">
        <v>3</v>
      </c>
      <c r="B70" s="321">
        <v>23</v>
      </c>
      <c r="C70" s="336" t="s">
        <v>237</v>
      </c>
      <c r="D70" s="323">
        <f>'[1]road inventory 2018'!C43</f>
        <v>4.3</v>
      </c>
      <c r="E70" s="323">
        <v>2.9</v>
      </c>
      <c r="F70" s="323">
        <v>0</v>
      </c>
      <c r="G70" s="323">
        <v>0</v>
      </c>
      <c r="H70" s="323">
        <v>1.4</v>
      </c>
      <c r="I70" s="325" t="s">
        <v>12</v>
      </c>
      <c r="J70" s="323">
        <f t="shared" si="3"/>
        <v>4.3</v>
      </c>
      <c r="K70" s="326" t="s">
        <v>347</v>
      </c>
      <c r="L70" s="363"/>
      <c r="M70" s="328"/>
    </row>
    <row r="71" spans="1:16" ht="20.149999999999999" customHeight="1" x14ac:dyDescent="0.35">
      <c r="A71" s="329">
        <v>4</v>
      </c>
      <c r="B71" s="321">
        <v>24</v>
      </c>
      <c r="C71" s="336" t="s">
        <v>236</v>
      </c>
      <c r="D71" s="323">
        <v>7.9</v>
      </c>
      <c r="E71" s="323">
        <v>7.9</v>
      </c>
      <c r="F71" s="323">
        <v>0</v>
      </c>
      <c r="G71" s="323">
        <v>0</v>
      </c>
      <c r="H71" s="323">
        <v>0</v>
      </c>
      <c r="I71" s="325" t="s">
        <v>12</v>
      </c>
      <c r="J71" s="323">
        <f t="shared" si="3"/>
        <v>7.9</v>
      </c>
      <c r="K71" s="326" t="s">
        <v>347</v>
      </c>
      <c r="L71" s="363"/>
      <c r="M71" s="328"/>
    </row>
    <row r="72" spans="1:16" ht="20.149999999999999" customHeight="1" x14ac:dyDescent="0.35">
      <c r="A72" s="329">
        <v>5</v>
      </c>
      <c r="B72" s="321">
        <v>25</v>
      </c>
      <c r="C72" s="336" t="s">
        <v>30</v>
      </c>
      <c r="D72" s="323">
        <f>'[1]road inventory 2018'!C45</f>
        <v>1.7</v>
      </c>
      <c r="E72" s="323">
        <v>0</v>
      </c>
      <c r="F72" s="323">
        <v>0</v>
      </c>
      <c r="G72" s="323">
        <v>0</v>
      </c>
      <c r="H72" s="323">
        <v>1.7</v>
      </c>
      <c r="I72" s="325" t="s">
        <v>12</v>
      </c>
      <c r="J72" s="323">
        <f t="shared" si="3"/>
        <v>1.7</v>
      </c>
      <c r="K72" s="326" t="s">
        <v>348</v>
      </c>
      <c r="L72" s="363"/>
      <c r="M72" s="328"/>
    </row>
    <row r="73" spans="1:16" ht="20.149999999999999" customHeight="1" x14ac:dyDescent="0.35">
      <c r="A73" s="329">
        <v>6</v>
      </c>
      <c r="B73" s="321">
        <v>26</v>
      </c>
      <c r="C73" s="336" t="s">
        <v>350</v>
      </c>
      <c r="D73" s="323">
        <f>'[1]road inventory 2018'!C46</f>
        <v>5.9</v>
      </c>
      <c r="E73" s="323">
        <v>1.85</v>
      </c>
      <c r="F73" s="323">
        <v>0</v>
      </c>
      <c r="G73" s="323">
        <v>0</v>
      </c>
      <c r="H73" s="323">
        <v>4.05</v>
      </c>
      <c r="I73" s="326" t="s">
        <v>10</v>
      </c>
      <c r="J73" s="323">
        <f t="shared" si="3"/>
        <v>5.9</v>
      </c>
      <c r="K73" s="326" t="s">
        <v>348</v>
      </c>
      <c r="L73" s="363"/>
      <c r="M73" s="328">
        <v>1.85</v>
      </c>
    </row>
    <row r="74" spans="1:16" ht="20.149999999999999" customHeight="1" x14ac:dyDescent="0.35">
      <c r="A74" s="329">
        <v>7</v>
      </c>
      <c r="B74" s="321">
        <v>27</v>
      </c>
      <c r="C74" s="336" t="s">
        <v>224</v>
      </c>
      <c r="D74" s="323">
        <f>'[1]road inventory 2018'!C47</f>
        <v>1.9</v>
      </c>
      <c r="E74" s="323">
        <v>0.28000000000000003</v>
      </c>
      <c r="F74" s="323">
        <v>0</v>
      </c>
      <c r="G74" s="323">
        <v>0</v>
      </c>
      <c r="H74" s="323">
        <v>1.62</v>
      </c>
      <c r="I74" s="325" t="s">
        <v>12</v>
      </c>
      <c r="J74" s="323">
        <f t="shared" si="3"/>
        <v>1.9000000000000001</v>
      </c>
      <c r="K74" s="326" t="s">
        <v>351</v>
      </c>
      <c r="L74" s="363"/>
      <c r="M74" s="328"/>
    </row>
    <row r="75" spans="1:16" ht="20.149999999999999" customHeight="1" x14ac:dyDescent="0.35">
      <c r="A75" s="329">
        <v>9</v>
      </c>
      <c r="B75" s="321">
        <v>29</v>
      </c>
      <c r="C75" s="336" t="s">
        <v>239</v>
      </c>
      <c r="D75" s="323">
        <f>'[1]road inventory 2018'!C49</f>
        <v>0.8</v>
      </c>
      <c r="E75" s="323">
        <v>0.8</v>
      </c>
      <c r="F75" s="323">
        <v>0</v>
      </c>
      <c r="G75" s="323">
        <v>0</v>
      </c>
      <c r="H75" s="323">
        <v>0</v>
      </c>
      <c r="I75" s="325" t="s">
        <v>12</v>
      </c>
      <c r="J75" s="323">
        <f t="shared" si="3"/>
        <v>0.8</v>
      </c>
      <c r="K75" s="326" t="s">
        <v>353</v>
      </c>
      <c r="L75" s="363"/>
      <c r="M75" s="328"/>
    </row>
    <row r="76" spans="1:16" ht="20.149999999999999" customHeight="1" x14ac:dyDescent="0.35">
      <c r="A76" s="329">
        <v>10</v>
      </c>
      <c r="B76" s="321">
        <v>30</v>
      </c>
      <c r="C76" s="336" t="s">
        <v>354</v>
      </c>
      <c r="D76" s="323">
        <f>'[1]road inventory 2018'!C50</f>
        <v>2</v>
      </c>
      <c r="E76" s="323">
        <v>0</v>
      </c>
      <c r="F76" s="323">
        <v>0</v>
      </c>
      <c r="G76" s="323">
        <v>0</v>
      </c>
      <c r="H76" s="323">
        <v>2</v>
      </c>
      <c r="I76" s="325" t="s">
        <v>10</v>
      </c>
      <c r="J76" s="323">
        <f t="shared" si="3"/>
        <v>2</v>
      </c>
      <c r="K76" s="326" t="s">
        <v>355</v>
      </c>
      <c r="L76" s="363"/>
      <c r="M76" s="328" t="s">
        <v>753</v>
      </c>
    </row>
    <row r="77" spans="1:16" ht="20.149999999999999" customHeight="1" x14ac:dyDescent="0.35">
      <c r="A77" s="329">
        <v>11</v>
      </c>
      <c r="B77" s="321">
        <v>106</v>
      </c>
      <c r="C77" s="336" t="s">
        <v>238</v>
      </c>
      <c r="D77" s="323">
        <f>'[1]road inventory 2018'!C51</f>
        <v>3.2</v>
      </c>
      <c r="E77" s="323">
        <v>3.2</v>
      </c>
      <c r="F77" s="323">
        <v>0</v>
      </c>
      <c r="G77" s="323">
        <v>0</v>
      </c>
      <c r="H77" s="323">
        <v>0</v>
      </c>
      <c r="I77" s="325" t="s">
        <v>10</v>
      </c>
      <c r="J77" s="323">
        <f t="shared" si="3"/>
        <v>3.2</v>
      </c>
      <c r="K77" s="326" t="s">
        <v>358</v>
      </c>
      <c r="L77" s="363"/>
      <c r="M77" s="328"/>
    </row>
    <row r="78" spans="1:16" ht="20.149999999999999" customHeight="1" x14ac:dyDescent="0.35">
      <c r="A78" s="329">
        <v>12</v>
      </c>
      <c r="B78" s="321">
        <v>31</v>
      </c>
      <c r="C78" s="336" t="s">
        <v>359</v>
      </c>
      <c r="D78" s="323">
        <f>'[1]road inventory 2018'!C52</f>
        <v>0.8</v>
      </c>
      <c r="E78" s="323">
        <v>0.8</v>
      </c>
      <c r="F78" s="323">
        <v>0</v>
      </c>
      <c r="G78" s="323">
        <v>0</v>
      </c>
      <c r="H78" s="323">
        <v>0</v>
      </c>
      <c r="I78" s="325" t="s">
        <v>12</v>
      </c>
      <c r="J78" s="323">
        <f t="shared" si="3"/>
        <v>0.8</v>
      </c>
      <c r="K78" s="326" t="s">
        <v>360</v>
      </c>
      <c r="L78" s="363"/>
      <c r="M78" s="328"/>
    </row>
    <row r="79" spans="1:16" ht="20.149999999999999" customHeight="1" x14ac:dyDescent="0.35">
      <c r="A79" s="329">
        <v>16</v>
      </c>
      <c r="B79" s="321">
        <v>35</v>
      </c>
      <c r="C79" s="336" t="s">
        <v>364</v>
      </c>
      <c r="D79" s="323">
        <f>'[1]road inventory 2018'!C56</f>
        <v>3</v>
      </c>
      <c r="E79" s="323">
        <f>0.4+0.31+0.1</f>
        <v>0.80999999999999994</v>
      </c>
      <c r="F79" s="323">
        <v>0</v>
      </c>
      <c r="G79" s="323">
        <v>0</v>
      </c>
      <c r="H79" s="323">
        <v>2.19</v>
      </c>
      <c r="I79" s="325" t="s">
        <v>12</v>
      </c>
      <c r="J79" s="323">
        <f t="shared" si="3"/>
        <v>3</v>
      </c>
      <c r="K79" s="326" t="s">
        <v>365</v>
      </c>
      <c r="L79" s="363"/>
      <c r="M79" s="328"/>
    </row>
    <row r="80" spans="1:16" ht="20.149999999999999" customHeight="1" x14ac:dyDescent="0.35">
      <c r="A80" s="329">
        <v>17</v>
      </c>
      <c r="B80" s="321">
        <v>36</v>
      </c>
      <c r="C80" s="336" t="s">
        <v>366</v>
      </c>
      <c r="D80" s="323">
        <f>'[1]road inventory 2018'!C57</f>
        <v>6.2</v>
      </c>
      <c r="E80" s="323">
        <v>0</v>
      </c>
      <c r="F80" s="323">
        <v>0</v>
      </c>
      <c r="G80" s="323">
        <v>0</v>
      </c>
      <c r="H80" s="323">
        <v>6.2</v>
      </c>
      <c r="I80" s="325" t="s">
        <v>12</v>
      </c>
      <c r="J80" s="323">
        <f t="shared" si="3"/>
        <v>6.2</v>
      </c>
      <c r="K80" s="326" t="s">
        <v>367</v>
      </c>
      <c r="L80" s="363"/>
      <c r="M80" s="328"/>
    </row>
    <row r="81" spans="1:14" ht="20.149999999999999" customHeight="1" x14ac:dyDescent="0.35">
      <c r="A81" s="329">
        <v>19</v>
      </c>
      <c r="B81" s="321">
        <v>38</v>
      </c>
      <c r="C81" s="336" t="s">
        <v>36</v>
      </c>
      <c r="D81" s="323">
        <f>'[1]road inventory 2018'!C59</f>
        <v>4.4000000000000004</v>
      </c>
      <c r="E81" s="323">
        <v>1.58</v>
      </c>
      <c r="F81" s="323">
        <v>0</v>
      </c>
      <c r="G81" s="323">
        <v>0</v>
      </c>
      <c r="H81" s="323">
        <v>2.82</v>
      </c>
      <c r="I81" s="325" t="s">
        <v>12</v>
      </c>
      <c r="J81" s="323">
        <f t="shared" si="3"/>
        <v>4.4000000000000004</v>
      </c>
      <c r="K81" s="326" t="s">
        <v>369</v>
      </c>
      <c r="L81" s="363"/>
      <c r="M81" s="328">
        <v>1.58</v>
      </c>
    </row>
    <row r="82" spans="1:14" ht="20.149999999999999" customHeight="1" x14ac:dyDescent="0.35">
      <c r="A82" s="329">
        <v>20</v>
      </c>
      <c r="B82" s="321">
        <v>39</v>
      </c>
      <c r="C82" s="336" t="s">
        <v>370</v>
      </c>
      <c r="D82" s="323">
        <f>'[1]road inventory 2018'!C60</f>
        <v>4.9000000000000004</v>
      </c>
      <c r="E82" s="323">
        <v>0.14000000000000001</v>
      </c>
      <c r="F82" s="323">
        <v>0</v>
      </c>
      <c r="G82" s="323">
        <v>0</v>
      </c>
      <c r="H82" s="323">
        <v>4.76</v>
      </c>
      <c r="I82" s="325" t="s">
        <v>12</v>
      </c>
      <c r="J82" s="323">
        <f t="shared" si="3"/>
        <v>4.8999999999999995</v>
      </c>
      <c r="K82" s="326" t="s">
        <v>371</v>
      </c>
      <c r="L82" s="363"/>
      <c r="M82" s="328"/>
    </row>
    <row r="83" spans="1:14" ht="20.149999999999999" customHeight="1" x14ac:dyDescent="0.35">
      <c r="A83" s="329">
        <v>21</v>
      </c>
      <c r="B83" s="321">
        <v>105</v>
      </c>
      <c r="C83" s="336" t="s">
        <v>228</v>
      </c>
      <c r="D83" s="323">
        <f>'[1]road inventory 2018'!C61</f>
        <v>3.6</v>
      </c>
      <c r="E83" s="323">
        <v>0</v>
      </c>
      <c r="F83" s="323">
        <v>0</v>
      </c>
      <c r="G83" s="323">
        <v>0</v>
      </c>
      <c r="H83" s="323">
        <v>3.6</v>
      </c>
      <c r="I83" s="325" t="s">
        <v>12</v>
      </c>
      <c r="J83" s="323">
        <f t="shared" si="3"/>
        <v>3.6</v>
      </c>
      <c r="K83" s="326" t="s">
        <v>372</v>
      </c>
      <c r="L83" s="363"/>
      <c r="M83" s="328"/>
    </row>
    <row r="84" spans="1:14" ht="20.149999999999999" customHeight="1" x14ac:dyDescent="0.35">
      <c r="A84" s="329">
        <v>22</v>
      </c>
      <c r="B84" s="321">
        <v>40</v>
      </c>
      <c r="C84" s="336" t="s">
        <v>231</v>
      </c>
      <c r="D84" s="323">
        <f>'[1]road inventory 2018'!C62</f>
        <v>1.5</v>
      </c>
      <c r="E84" s="323">
        <v>1.1000000000000001</v>
      </c>
      <c r="F84" s="323">
        <v>0</v>
      </c>
      <c r="G84" s="323">
        <v>0</v>
      </c>
      <c r="H84" s="323">
        <v>0.4</v>
      </c>
      <c r="I84" s="325" t="s">
        <v>10</v>
      </c>
      <c r="J84" s="323">
        <f t="shared" si="3"/>
        <v>1.5</v>
      </c>
      <c r="K84" s="326" t="s">
        <v>373</v>
      </c>
      <c r="L84" s="363"/>
      <c r="M84" s="328"/>
    </row>
    <row r="85" spans="1:14" ht="20.149999999999999" customHeight="1" x14ac:dyDescent="0.35">
      <c r="A85" s="329">
        <v>23</v>
      </c>
      <c r="B85" s="321">
        <v>41</v>
      </c>
      <c r="C85" s="336" t="s">
        <v>230</v>
      </c>
      <c r="D85" s="323">
        <f>'[1]road inventory 2018'!C63</f>
        <v>2.8</v>
      </c>
      <c r="E85" s="323">
        <v>0</v>
      </c>
      <c r="F85" s="323">
        <v>0</v>
      </c>
      <c r="G85" s="323">
        <v>0</v>
      </c>
      <c r="H85" s="323">
        <v>2.8</v>
      </c>
      <c r="I85" s="325" t="s">
        <v>12</v>
      </c>
      <c r="J85" s="323">
        <f t="shared" si="3"/>
        <v>2.8</v>
      </c>
      <c r="K85" s="326" t="s">
        <v>374</v>
      </c>
      <c r="L85" s="363"/>
      <c r="M85" s="328"/>
    </row>
    <row r="86" spans="1:14" ht="20.149999999999999" customHeight="1" x14ac:dyDescent="0.35">
      <c r="A86" s="329">
        <v>27</v>
      </c>
      <c r="B86" s="321">
        <v>104</v>
      </c>
      <c r="C86" s="336" t="s">
        <v>240</v>
      </c>
      <c r="D86" s="323">
        <f>'[1]road inventory 2018'!C67</f>
        <v>3.1</v>
      </c>
      <c r="E86" s="323">
        <v>0</v>
      </c>
      <c r="F86" s="323">
        <v>0</v>
      </c>
      <c r="G86" s="323">
        <v>0</v>
      </c>
      <c r="H86" s="323">
        <v>3.1</v>
      </c>
      <c r="I86" s="325" t="s">
        <v>12</v>
      </c>
      <c r="J86" s="323">
        <f t="shared" si="3"/>
        <v>3.1</v>
      </c>
      <c r="K86" s="326" t="s">
        <v>379</v>
      </c>
      <c r="L86" s="363"/>
      <c r="M86" s="328"/>
    </row>
    <row r="87" spans="1:14" s="317" customFormat="1" ht="20.149999999999999" customHeight="1" x14ac:dyDescent="0.35">
      <c r="B87" s="373"/>
      <c r="C87" s="374" t="s">
        <v>341</v>
      </c>
      <c r="D87" s="375">
        <f>SUM(D69:D86)</f>
        <v>62.3</v>
      </c>
      <c r="E87" s="375">
        <f>SUM(E69:E86)</f>
        <v>25.660000000000004</v>
      </c>
      <c r="F87" s="375">
        <f>SUM(F69:F86)</f>
        <v>0</v>
      </c>
      <c r="G87" s="375">
        <f>SUM(G69:G86)</f>
        <v>0</v>
      </c>
      <c r="H87" s="375">
        <f>SUM(H69:H86)</f>
        <v>36.64</v>
      </c>
      <c r="I87" s="376"/>
      <c r="J87" s="375"/>
      <c r="K87" s="372"/>
      <c r="L87" s="453"/>
      <c r="M87" s="377"/>
      <c r="N87" s="320"/>
    </row>
    <row r="88" spans="1:14" ht="20.149999999999999" customHeight="1" x14ac:dyDescent="0.35">
      <c r="B88" s="321"/>
      <c r="C88" s="330"/>
      <c r="D88" s="323"/>
      <c r="E88" s="323"/>
      <c r="F88" s="323"/>
      <c r="G88" s="323"/>
      <c r="H88" s="323"/>
      <c r="I88" s="325"/>
      <c r="J88" s="323"/>
      <c r="K88" s="326"/>
      <c r="L88" s="363"/>
      <c r="M88" s="328"/>
      <c r="N88" s="331"/>
    </row>
    <row r="89" spans="1:14" ht="20.149999999999999" customHeight="1" x14ac:dyDescent="0.35">
      <c r="B89" s="321"/>
      <c r="C89" s="330"/>
      <c r="D89" s="323"/>
      <c r="E89" s="323"/>
      <c r="F89" s="323"/>
      <c r="G89" s="323"/>
      <c r="H89" s="323"/>
      <c r="I89" s="325"/>
      <c r="J89" s="323"/>
      <c r="K89" s="326"/>
      <c r="L89" s="363"/>
      <c r="M89" s="328"/>
      <c r="N89" s="331"/>
    </row>
    <row r="90" spans="1:14" s="317" customFormat="1" ht="20.149999999999999" customHeight="1" x14ac:dyDescent="0.35">
      <c r="B90" s="390" t="s">
        <v>397</v>
      </c>
      <c r="C90" s="378"/>
      <c r="D90" s="375"/>
      <c r="E90" s="375"/>
      <c r="F90" s="375"/>
      <c r="G90" s="375"/>
      <c r="H90" s="375"/>
      <c r="I90" s="376"/>
      <c r="J90" s="375"/>
      <c r="K90" s="378"/>
      <c r="L90" s="453"/>
      <c r="M90" s="377"/>
    </row>
    <row r="91" spans="1:14" ht="20.149999999999999" customHeight="1" x14ac:dyDescent="0.35">
      <c r="A91" s="329">
        <v>4</v>
      </c>
      <c r="B91" s="321">
        <v>217</v>
      </c>
      <c r="C91" s="336" t="s">
        <v>243</v>
      </c>
      <c r="D91" s="323">
        <f>'[1]road inventory 2018'!C96</f>
        <v>1.1000000000000001</v>
      </c>
      <c r="E91" s="323">
        <v>1.1000000000000001</v>
      </c>
      <c r="F91" s="323">
        <v>0</v>
      </c>
      <c r="G91" s="323">
        <v>0</v>
      </c>
      <c r="H91" s="323">
        <v>0</v>
      </c>
      <c r="I91" s="325" t="s">
        <v>10</v>
      </c>
      <c r="J91" s="323">
        <f>SUM(E91:H91)</f>
        <v>1.1000000000000001</v>
      </c>
      <c r="K91" s="326" t="s">
        <v>402</v>
      </c>
      <c r="L91" s="363"/>
      <c r="M91" s="328"/>
    </row>
    <row r="92" spans="1:14" ht="20.149999999999999" customHeight="1" x14ac:dyDescent="0.35">
      <c r="A92" s="329">
        <v>6</v>
      </c>
      <c r="B92" s="321">
        <v>226</v>
      </c>
      <c r="C92" s="336" t="s">
        <v>45</v>
      </c>
      <c r="D92" s="323">
        <f>'[1]road inventory 2018'!C98</f>
        <v>4.8</v>
      </c>
      <c r="E92" s="323">
        <v>0.86</v>
      </c>
      <c r="F92" s="323">
        <v>0</v>
      </c>
      <c r="G92" s="323">
        <v>0</v>
      </c>
      <c r="H92" s="323">
        <v>3.94</v>
      </c>
      <c r="I92" s="325" t="s">
        <v>10</v>
      </c>
      <c r="J92" s="323">
        <f>SUM(E92:H92)</f>
        <v>4.8</v>
      </c>
      <c r="K92" s="326" t="s">
        <v>405</v>
      </c>
      <c r="L92" s="363"/>
      <c r="M92" s="328"/>
    </row>
    <row r="93" spans="1:14" ht="20.149999999999999" customHeight="1" x14ac:dyDescent="0.35">
      <c r="A93" s="329">
        <v>7</v>
      </c>
      <c r="B93" s="321">
        <v>116</v>
      </c>
      <c r="C93" s="336" t="s">
        <v>47</v>
      </c>
      <c r="D93" s="323">
        <f>'[1]road inventory 2018'!C99</f>
        <v>12.3</v>
      </c>
      <c r="E93" s="323">
        <v>6.67</v>
      </c>
      <c r="F93" s="323">
        <v>0</v>
      </c>
      <c r="G93" s="323">
        <v>0</v>
      </c>
      <c r="H93" s="323">
        <v>5.63</v>
      </c>
      <c r="I93" s="325" t="s">
        <v>12</v>
      </c>
      <c r="J93" s="323">
        <f>SUM(E93:H93)</f>
        <v>12.3</v>
      </c>
      <c r="K93" s="326" t="s">
        <v>405</v>
      </c>
      <c r="L93" s="363"/>
      <c r="M93" s="328"/>
    </row>
    <row r="94" spans="1:14" ht="20.149999999999999" customHeight="1" x14ac:dyDescent="0.35">
      <c r="A94" s="329">
        <v>8</v>
      </c>
      <c r="B94" s="321">
        <v>46</v>
      </c>
      <c r="C94" s="336" t="s">
        <v>406</v>
      </c>
      <c r="D94" s="323">
        <f>'[1]road inventory 2018'!C100</f>
        <v>1.3</v>
      </c>
      <c r="E94" s="323">
        <v>1.3</v>
      </c>
      <c r="F94" s="323">
        <v>0</v>
      </c>
      <c r="G94" s="323">
        <v>0</v>
      </c>
      <c r="H94" s="323">
        <v>0</v>
      </c>
      <c r="I94" s="325" t="s">
        <v>10</v>
      </c>
      <c r="J94" s="323">
        <f>SUM(E94:H94)</f>
        <v>1.3</v>
      </c>
      <c r="K94" s="326" t="s">
        <v>407</v>
      </c>
      <c r="L94" s="363"/>
      <c r="M94" s="328"/>
    </row>
    <row r="95" spans="1:14" s="317" customFormat="1" ht="20.149999999999999" customHeight="1" x14ac:dyDescent="0.35">
      <c r="B95" s="373"/>
      <c r="C95" s="374" t="s">
        <v>341</v>
      </c>
      <c r="D95" s="375">
        <f>SUM(D91:D94)</f>
        <v>19.500000000000004</v>
      </c>
      <c r="E95" s="375">
        <f>SUM(E91:E94)</f>
        <v>9.93</v>
      </c>
      <c r="F95" s="375">
        <f>SUM(F91:F94)</f>
        <v>0</v>
      </c>
      <c r="G95" s="375">
        <f>SUM(G91:G94)</f>
        <v>0</v>
      </c>
      <c r="H95" s="375">
        <f>SUM(H91:H94)</f>
        <v>9.57</v>
      </c>
      <c r="I95" s="376"/>
      <c r="J95" s="375"/>
      <c r="K95" s="372"/>
      <c r="L95" s="453"/>
      <c r="M95" s="377"/>
      <c r="N95" s="320"/>
    </row>
    <row r="96" spans="1:14" ht="20.149999999999999" customHeight="1" x14ac:dyDescent="0.35">
      <c r="B96" s="321"/>
      <c r="C96" s="330"/>
      <c r="D96" s="323"/>
      <c r="E96" s="323"/>
      <c r="F96" s="323"/>
      <c r="G96" s="323"/>
      <c r="H96" s="323"/>
      <c r="I96" s="325"/>
      <c r="J96" s="323"/>
      <c r="K96" s="326"/>
      <c r="L96" s="363"/>
      <c r="M96" s="328"/>
      <c r="N96" s="331"/>
    </row>
    <row r="97" spans="1:14" s="317" customFormat="1" ht="20.149999999999999" customHeight="1" x14ac:dyDescent="0.35">
      <c r="B97" s="391" t="s">
        <v>579</v>
      </c>
      <c r="C97" s="378"/>
      <c r="D97" s="375"/>
      <c r="E97" s="375"/>
      <c r="F97" s="375"/>
      <c r="G97" s="375"/>
      <c r="H97" s="375"/>
      <c r="I97" s="376"/>
      <c r="J97" s="375"/>
      <c r="K97" s="378"/>
      <c r="L97" s="453"/>
      <c r="M97" s="377"/>
      <c r="N97" s="320"/>
    </row>
    <row r="98" spans="1:14" ht="20.149999999999999" customHeight="1" x14ac:dyDescent="0.35">
      <c r="A98" s="329">
        <v>1</v>
      </c>
      <c r="B98" s="321">
        <v>214</v>
      </c>
      <c r="C98" s="336" t="s">
        <v>580</v>
      </c>
      <c r="D98" s="323">
        <f>'[1]road inventory 2018'!C318</f>
        <v>4.5</v>
      </c>
      <c r="E98" s="337">
        <v>0.7</v>
      </c>
      <c r="F98" s="337">
        <v>0</v>
      </c>
      <c r="G98" s="337">
        <v>0</v>
      </c>
      <c r="H98" s="323">
        <v>3.8</v>
      </c>
      <c r="I98" s="325" t="s">
        <v>12</v>
      </c>
      <c r="J98" s="323">
        <f>SUM(E98:H98)</f>
        <v>4.5</v>
      </c>
      <c r="K98" s="326" t="s">
        <v>581</v>
      </c>
      <c r="L98" s="363"/>
      <c r="M98" s="328"/>
    </row>
    <row r="99" spans="1:14" ht="20.149999999999999" customHeight="1" x14ac:dyDescent="0.35">
      <c r="A99" s="329">
        <v>2</v>
      </c>
      <c r="B99" s="321">
        <v>212</v>
      </c>
      <c r="C99" s="336" t="s">
        <v>582</v>
      </c>
      <c r="D99" s="323">
        <f>'[1]road inventory 2018'!C319</f>
        <v>2.75</v>
      </c>
      <c r="E99" s="337">
        <v>2.6</v>
      </c>
      <c r="F99" s="337">
        <v>0</v>
      </c>
      <c r="G99" s="337">
        <v>0</v>
      </c>
      <c r="H99" s="323">
        <v>0.15</v>
      </c>
      <c r="I99" s="325" t="s">
        <v>12</v>
      </c>
      <c r="J99" s="323">
        <f>SUM(E99:H99)</f>
        <v>2.75</v>
      </c>
      <c r="K99" s="326" t="s">
        <v>528</v>
      </c>
      <c r="L99" s="363"/>
      <c r="M99" s="328"/>
    </row>
    <row r="100" spans="1:14" s="317" customFormat="1" ht="20.149999999999999" customHeight="1" x14ac:dyDescent="0.35">
      <c r="B100" s="357"/>
      <c r="C100" s="322" t="s">
        <v>341</v>
      </c>
      <c r="D100" s="324">
        <f>SUM(D98:D99)</f>
        <v>7.25</v>
      </c>
      <c r="E100" s="324">
        <f>SUM(E98:E99)</f>
        <v>3.3</v>
      </c>
      <c r="F100" s="324">
        <f>SUM(F98:F99)</f>
        <v>0</v>
      </c>
      <c r="G100" s="324">
        <f>SUM(G98:G99)</f>
        <v>0</v>
      </c>
      <c r="H100" s="324">
        <f>SUM(H98:H99)</f>
        <v>3.9499999999999997</v>
      </c>
      <c r="I100" s="358"/>
      <c r="J100" s="324"/>
      <c r="K100" s="359"/>
      <c r="L100" s="456"/>
      <c r="M100" s="334"/>
      <c r="N100" s="320"/>
    </row>
    <row r="101" spans="1:14" ht="15" customHeight="1" x14ac:dyDescent="0.35">
      <c r="B101" s="321"/>
      <c r="C101" s="330"/>
      <c r="D101" s="323"/>
      <c r="E101" s="323"/>
      <c r="F101" s="323"/>
      <c r="G101" s="323"/>
      <c r="H101" s="323"/>
      <c r="I101" s="325"/>
      <c r="J101" s="323"/>
      <c r="K101" s="326"/>
      <c r="L101" s="363"/>
      <c r="M101" s="328"/>
      <c r="N101" s="331"/>
    </row>
    <row r="102" spans="1:14" s="317" customFormat="1" ht="20.149999999999999" customHeight="1" x14ac:dyDescent="0.35">
      <c r="B102" s="390" t="s">
        <v>526</v>
      </c>
      <c r="C102" s="378"/>
      <c r="D102" s="375"/>
      <c r="E102" s="392"/>
      <c r="F102" s="392"/>
      <c r="G102" s="392"/>
      <c r="H102" s="375"/>
      <c r="I102" s="376"/>
      <c r="J102" s="375"/>
      <c r="K102" s="378"/>
      <c r="L102" s="453"/>
      <c r="M102" s="377"/>
    </row>
    <row r="103" spans="1:14" ht="20.149999999999999" customHeight="1" x14ac:dyDescent="0.35">
      <c r="A103" s="329">
        <v>2</v>
      </c>
      <c r="B103" s="321">
        <v>161</v>
      </c>
      <c r="C103" s="336" t="s">
        <v>529</v>
      </c>
      <c r="D103" s="323">
        <f>'[1]road inventory 2018'!C267</f>
        <v>1.8</v>
      </c>
      <c r="E103" s="323">
        <v>1.8</v>
      </c>
      <c r="F103" s="323">
        <v>0</v>
      </c>
      <c r="G103" s="323">
        <v>0</v>
      </c>
      <c r="H103" s="323">
        <v>0</v>
      </c>
      <c r="I103" s="325" t="s">
        <v>12</v>
      </c>
      <c r="J103" s="323">
        <f>SUM(E103:H103)</f>
        <v>1.8</v>
      </c>
      <c r="K103" s="326" t="s">
        <v>528</v>
      </c>
      <c r="L103" s="363"/>
      <c r="M103" s="328"/>
    </row>
    <row r="104" spans="1:14" ht="20.149999999999999" customHeight="1" x14ac:dyDescent="0.35">
      <c r="A104" s="329">
        <v>7</v>
      </c>
      <c r="B104" s="321">
        <v>166</v>
      </c>
      <c r="C104" s="336" t="s">
        <v>538</v>
      </c>
      <c r="D104" s="323">
        <f>'[1]road inventory 2018'!C272</f>
        <v>2.8</v>
      </c>
      <c r="E104" s="323">
        <v>0</v>
      </c>
      <c r="F104" s="323">
        <v>0</v>
      </c>
      <c r="G104" s="323">
        <v>0</v>
      </c>
      <c r="H104" s="323">
        <v>2.8</v>
      </c>
      <c r="I104" s="325" t="s">
        <v>12</v>
      </c>
      <c r="J104" s="323">
        <f>SUM(E104:H104)</f>
        <v>2.8</v>
      </c>
      <c r="K104" s="326" t="s">
        <v>539</v>
      </c>
      <c r="L104" s="363"/>
      <c r="M104" s="328"/>
    </row>
    <row r="105" spans="1:14" ht="20.149999999999999" customHeight="1" x14ac:dyDescent="0.35">
      <c r="A105" s="329">
        <v>8</v>
      </c>
      <c r="B105" s="321">
        <v>167</v>
      </c>
      <c r="C105" s="336" t="s">
        <v>540</v>
      </c>
      <c r="D105" s="323">
        <f>'[1]road inventory 2018'!C273</f>
        <v>5.5</v>
      </c>
      <c r="E105" s="323">
        <v>0</v>
      </c>
      <c r="F105" s="323">
        <v>0</v>
      </c>
      <c r="G105" s="323">
        <v>0</v>
      </c>
      <c r="H105" s="323">
        <v>5.5</v>
      </c>
      <c r="I105" s="325" t="s">
        <v>12</v>
      </c>
      <c r="J105" s="323">
        <f>SUM(E105:H105)</f>
        <v>5.5</v>
      </c>
      <c r="K105" s="326" t="s">
        <v>541</v>
      </c>
      <c r="L105" s="363"/>
      <c r="M105" s="328"/>
    </row>
    <row r="106" spans="1:14" s="317" customFormat="1" ht="20.149999999999999" customHeight="1" x14ac:dyDescent="0.35">
      <c r="B106" s="373"/>
      <c r="C106" s="374" t="s">
        <v>341</v>
      </c>
      <c r="D106" s="375">
        <f>SUM(D103:D105)</f>
        <v>10.1</v>
      </c>
      <c r="E106" s="375">
        <f>SUM(E103:E105)</f>
        <v>1.8</v>
      </c>
      <c r="F106" s="375">
        <f>SUM(F103:F105)</f>
        <v>0</v>
      </c>
      <c r="G106" s="375">
        <f>SUM(G103:G105)</f>
        <v>0</v>
      </c>
      <c r="H106" s="375">
        <f>SUM(H103:H105)</f>
        <v>8.3000000000000007</v>
      </c>
      <c r="I106" s="376"/>
      <c r="J106" s="375"/>
      <c r="K106" s="372"/>
      <c r="L106" s="453"/>
      <c r="M106" s="377"/>
      <c r="N106" s="320"/>
    </row>
    <row r="107" spans="1:14" ht="20.149999999999999" customHeight="1" x14ac:dyDescent="0.35">
      <c r="B107" s="321"/>
      <c r="C107" s="330"/>
      <c r="D107" s="323"/>
      <c r="E107" s="323"/>
      <c r="F107" s="323"/>
      <c r="G107" s="323"/>
      <c r="H107" s="323"/>
      <c r="I107" s="325"/>
      <c r="J107" s="323"/>
      <c r="K107" s="326"/>
      <c r="L107" s="363"/>
      <c r="M107" s="328"/>
      <c r="N107" s="331"/>
    </row>
    <row r="108" spans="1:14" s="317" customFormat="1" ht="20.149999999999999" customHeight="1" x14ac:dyDescent="0.35">
      <c r="B108" s="390" t="s">
        <v>596</v>
      </c>
      <c r="C108" s="378"/>
      <c r="D108" s="375"/>
      <c r="E108" s="375"/>
      <c r="F108" s="375"/>
      <c r="G108" s="375"/>
      <c r="H108" s="375"/>
      <c r="I108" s="376"/>
      <c r="J108" s="375"/>
      <c r="K108" s="378"/>
      <c r="L108" s="453"/>
      <c r="M108" s="377"/>
    </row>
    <row r="109" spans="1:14" ht="20.149999999999999" customHeight="1" x14ac:dyDescent="0.35">
      <c r="A109" s="329">
        <v>1</v>
      </c>
      <c r="B109" s="321">
        <v>187</v>
      </c>
      <c r="C109" s="336" t="s">
        <v>597</v>
      </c>
      <c r="D109" s="325">
        <f>'[1]road inventory 2018'!C345</f>
        <v>0.504</v>
      </c>
      <c r="E109" s="323">
        <v>0.504</v>
      </c>
      <c r="F109" s="323">
        <v>0</v>
      </c>
      <c r="G109" s="323">
        <v>0</v>
      </c>
      <c r="H109" s="323">
        <v>0</v>
      </c>
      <c r="I109" s="326" t="s">
        <v>12</v>
      </c>
      <c r="J109" s="323">
        <f t="shared" ref="J109:J115" si="4">SUM(E109:H109)</f>
        <v>0.504</v>
      </c>
      <c r="K109" s="326"/>
      <c r="L109" s="452" t="s">
        <v>745</v>
      </c>
    </row>
    <row r="110" spans="1:14" ht="20.149999999999999" customHeight="1" x14ac:dyDescent="0.35">
      <c r="A110" s="329">
        <v>2</v>
      </c>
      <c r="B110" s="321">
        <v>188</v>
      </c>
      <c r="C110" s="336" t="s">
        <v>598</v>
      </c>
      <c r="D110" s="325">
        <f>'[1]road inventory 2018'!C346</f>
        <v>0.158</v>
      </c>
      <c r="E110" s="323">
        <v>0.158</v>
      </c>
      <c r="F110" s="323">
        <v>0</v>
      </c>
      <c r="G110" s="323">
        <v>0</v>
      </c>
      <c r="H110" s="323">
        <v>0</v>
      </c>
      <c r="I110" s="326" t="s">
        <v>12</v>
      </c>
      <c r="J110" s="323">
        <f t="shared" si="4"/>
        <v>0.158</v>
      </c>
      <c r="K110" s="326"/>
    </row>
    <row r="111" spans="1:14" ht="20.149999999999999" customHeight="1" x14ac:dyDescent="0.35">
      <c r="A111" s="329">
        <v>3</v>
      </c>
      <c r="B111" s="321">
        <v>189</v>
      </c>
      <c r="C111" s="336" t="s">
        <v>599</v>
      </c>
      <c r="D111" s="325">
        <f>'[1]road inventory 2018'!C347</f>
        <v>0.74199999999999999</v>
      </c>
      <c r="E111" s="323">
        <v>0.74199999999999999</v>
      </c>
      <c r="F111" s="323">
        <v>0</v>
      </c>
      <c r="G111" s="323">
        <v>0</v>
      </c>
      <c r="H111" s="323">
        <v>0</v>
      </c>
      <c r="I111" s="326" t="s">
        <v>12</v>
      </c>
      <c r="J111" s="323">
        <f t="shared" si="4"/>
        <v>0.74199999999999999</v>
      </c>
      <c r="K111" s="326"/>
    </row>
    <row r="112" spans="1:14" ht="20.149999999999999" customHeight="1" x14ac:dyDescent="0.35">
      <c r="A112" s="329">
        <v>4</v>
      </c>
      <c r="B112" s="321">
        <v>185</v>
      </c>
      <c r="C112" s="336" t="s">
        <v>600</v>
      </c>
      <c r="D112" s="325">
        <v>7.6</v>
      </c>
      <c r="E112" s="323">
        <v>0</v>
      </c>
      <c r="F112" s="323">
        <v>0</v>
      </c>
      <c r="G112" s="323">
        <v>0</v>
      </c>
      <c r="H112" s="323">
        <v>7.6</v>
      </c>
      <c r="I112" s="326" t="s">
        <v>10</v>
      </c>
      <c r="J112" s="323">
        <f t="shared" si="4"/>
        <v>7.6</v>
      </c>
      <c r="K112" s="326"/>
    </row>
    <row r="113" spans="1:18" ht="20.149999999999999" customHeight="1" x14ac:dyDescent="0.35">
      <c r="A113" s="329">
        <v>5</v>
      </c>
      <c r="B113" s="321">
        <v>186</v>
      </c>
      <c r="C113" s="336" t="s">
        <v>601</v>
      </c>
      <c r="D113" s="325">
        <f>'[1]road inventory 2018'!C349</f>
        <v>10.5</v>
      </c>
      <c r="E113" s="323">
        <v>0</v>
      </c>
      <c r="F113" s="323">
        <v>0</v>
      </c>
      <c r="G113" s="323">
        <v>0</v>
      </c>
      <c r="H113" s="323">
        <v>10.5</v>
      </c>
      <c r="I113" s="326" t="s">
        <v>12</v>
      </c>
      <c r="J113" s="323">
        <f t="shared" si="4"/>
        <v>10.5</v>
      </c>
      <c r="K113" s="326"/>
    </row>
    <row r="114" spans="1:18" ht="20.149999999999999" customHeight="1" x14ac:dyDescent="0.35">
      <c r="A114" s="329">
        <v>6</v>
      </c>
      <c r="B114" s="321">
        <v>190</v>
      </c>
      <c r="C114" s="336" t="s">
        <v>602</v>
      </c>
      <c r="D114" s="325">
        <f>'[1]road inventory 2018'!C350</f>
        <v>17.5</v>
      </c>
      <c r="E114" s="323">
        <v>0</v>
      </c>
      <c r="F114" s="323">
        <v>0</v>
      </c>
      <c r="G114" s="323">
        <v>0</v>
      </c>
      <c r="H114" s="323">
        <v>17.5</v>
      </c>
      <c r="I114" s="326" t="s">
        <v>12</v>
      </c>
      <c r="J114" s="323">
        <f t="shared" si="4"/>
        <v>17.5</v>
      </c>
      <c r="K114" s="326"/>
    </row>
    <row r="115" spans="1:18" ht="20.149999999999999" customHeight="1" x14ac:dyDescent="0.35">
      <c r="A115" s="329">
        <v>7</v>
      </c>
      <c r="B115" s="321">
        <v>191</v>
      </c>
      <c r="C115" s="336" t="s">
        <v>603</v>
      </c>
      <c r="D115" s="325">
        <f>'[1]road inventory 2018'!C351</f>
        <v>3.5</v>
      </c>
      <c r="E115" s="323">
        <v>0</v>
      </c>
      <c r="F115" s="323">
        <v>0</v>
      </c>
      <c r="G115" s="323">
        <v>0</v>
      </c>
      <c r="H115" s="323">
        <v>3.5</v>
      </c>
      <c r="I115" s="326" t="s">
        <v>12</v>
      </c>
      <c r="J115" s="323">
        <f t="shared" si="4"/>
        <v>3.5</v>
      </c>
      <c r="K115" s="326"/>
    </row>
    <row r="116" spans="1:18" s="317" customFormat="1" ht="20.149999999999999" customHeight="1" x14ac:dyDescent="0.35">
      <c r="B116" s="373"/>
      <c r="C116" s="374" t="s">
        <v>341</v>
      </c>
      <c r="D116" s="375">
        <f>SUM(D109:D115)</f>
        <v>40.503999999999998</v>
      </c>
      <c r="E116" s="375">
        <f>SUM(E109:E115)</f>
        <v>1.4039999999999999</v>
      </c>
      <c r="F116" s="375">
        <f>SUM(F109:F115)</f>
        <v>0</v>
      </c>
      <c r="G116" s="375">
        <f>SUM(G109:G115)</f>
        <v>0</v>
      </c>
      <c r="H116" s="375">
        <f>SUM(H109:H115)</f>
        <v>39.1</v>
      </c>
      <c r="I116" s="376"/>
      <c r="J116" s="375"/>
      <c r="K116" s="372"/>
      <c r="L116" s="453"/>
      <c r="M116" s="377"/>
      <c r="N116" s="320"/>
    </row>
    <row r="117" spans="1:18" ht="20.149999999999999" customHeight="1" x14ac:dyDescent="0.35">
      <c r="B117" s="321"/>
      <c r="C117" s="330"/>
      <c r="D117" s="323"/>
      <c r="E117" s="323"/>
      <c r="F117" s="323"/>
      <c r="G117" s="323"/>
      <c r="H117" s="323"/>
      <c r="I117" s="325"/>
      <c r="J117" s="323"/>
      <c r="K117" s="326"/>
      <c r="L117" s="363"/>
      <c r="M117" s="328"/>
      <c r="N117" s="331"/>
    </row>
    <row r="118" spans="1:18" s="317" customFormat="1" ht="20.149999999999999" customHeight="1" x14ac:dyDescent="0.35">
      <c r="B118" s="390" t="s">
        <v>734</v>
      </c>
      <c r="C118" s="378"/>
      <c r="D118" s="376"/>
      <c r="E118" s="375"/>
      <c r="F118" s="375"/>
      <c r="G118" s="375"/>
      <c r="H118" s="375"/>
      <c r="I118" s="372"/>
      <c r="J118" s="375"/>
      <c r="K118" s="400"/>
      <c r="L118" s="457"/>
      <c r="M118" s="401"/>
    </row>
    <row r="119" spans="1:18" ht="20.149999999999999" customHeight="1" x14ac:dyDescent="0.35">
      <c r="A119" s="329">
        <v>1</v>
      </c>
      <c r="B119" s="321">
        <v>171</v>
      </c>
      <c r="C119" s="336" t="s">
        <v>611</v>
      </c>
      <c r="D119" s="323">
        <v>8.7409999999999997</v>
      </c>
      <c r="E119" s="323">
        <v>1.18</v>
      </c>
      <c r="F119" s="323">
        <v>0</v>
      </c>
      <c r="G119" s="323">
        <v>0</v>
      </c>
      <c r="H119" s="323">
        <v>7.5609999999999999</v>
      </c>
      <c r="I119" s="325" t="s">
        <v>12</v>
      </c>
      <c r="J119" s="323">
        <f>SUM(E119:H119)</f>
        <v>8.7409999999999997</v>
      </c>
      <c r="K119" s="326"/>
      <c r="L119" s="363"/>
      <c r="M119" s="328"/>
    </row>
    <row r="120" spans="1:18" s="317" customFormat="1" ht="20.149999999999999" customHeight="1" x14ac:dyDescent="0.35">
      <c r="B120" s="373"/>
      <c r="C120" s="374" t="s">
        <v>341</v>
      </c>
      <c r="D120" s="375">
        <f>SUM(D119)</f>
        <v>8.7409999999999997</v>
      </c>
      <c r="E120" s="375">
        <f>SUM(E119)</f>
        <v>1.18</v>
      </c>
      <c r="F120" s="375">
        <f>SUM(F119)</f>
        <v>0</v>
      </c>
      <c r="G120" s="375">
        <f>SUM(G119)</f>
        <v>0</v>
      </c>
      <c r="H120" s="375">
        <f>SUM(H119)</f>
        <v>7.5609999999999999</v>
      </c>
      <c r="I120" s="376"/>
      <c r="J120" s="375"/>
      <c r="K120" s="372"/>
      <c r="L120" s="453"/>
      <c r="M120" s="377"/>
      <c r="N120" s="320"/>
    </row>
    <row r="121" spans="1:18" ht="20.149999999999999" customHeight="1" x14ac:dyDescent="0.35">
      <c r="B121" s="321"/>
      <c r="C121" s="330"/>
      <c r="D121" s="323"/>
      <c r="E121" s="323"/>
      <c r="F121" s="323"/>
      <c r="G121" s="323"/>
      <c r="H121" s="323"/>
      <c r="I121" s="325"/>
      <c r="J121" s="323"/>
      <c r="K121" s="326"/>
      <c r="L121" s="363"/>
      <c r="M121" s="328"/>
      <c r="N121" s="331"/>
    </row>
    <row r="122" spans="1:18" s="317" customFormat="1" ht="20.149999999999999" customHeight="1" x14ac:dyDescent="0.35">
      <c r="B122" s="390" t="s">
        <v>583</v>
      </c>
      <c r="C122" s="378"/>
      <c r="D122" s="375"/>
      <c r="E122" s="375"/>
      <c r="F122" s="375"/>
      <c r="G122" s="375"/>
      <c r="H122" s="375"/>
      <c r="I122" s="376"/>
      <c r="J122" s="375"/>
      <c r="K122" s="400"/>
      <c r="L122" s="453"/>
      <c r="M122" s="377"/>
    </row>
    <row r="123" spans="1:18" ht="20.149999999999999" customHeight="1" x14ac:dyDescent="0.35">
      <c r="A123" s="329">
        <v>1</v>
      </c>
      <c r="B123" s="321">
        <v>173</v>
      </c>
      <c r="C123" s="336" t="s">
        <v>584</v>
      </c>
      <c r="D123" s="323">
        <f>'[1]road inventory 2018'!C326</f>
        <v>1.5</v>
      </c>
      <c r="E123" s="323">
        <v>1.5</v>
      </c>
      <c r="F123" s="323">
        <v>0</v>
      </c>
      <c r="G123" s="323">
        <v>0</v>
      </c>
      <c r="H123" s="323">
        <v>0</v>
      </c>
      <c r="I123" s="325" t="s">
        <v>10</v>
      </c>
      <c r="J123" s="323">
        <f t="shared" ref="J123:J134" si="5">SUM(E123:H123)</f>
        <v>1.5</v>
      </c>
      <c r="K123" s="326"/>
      <c r="L123" s="363"/>
      <c r="M123" s="328"/>
    </row>
    <row r="124" spans="1:18" ht="20.149999999999999" customHeight="1" x14ac:dyDescent="0.35">
      <c r="A124" s="329">
        <v>3</v>
      </c>
      <c r="B124" s="321">
        <v>175</v>
      </c>
      <c r="C124" s="336" t="s">
        <v>586</v>
      </c>
      <c r="D124" s="323">
        <f>'[1]road inventory 2018'!C328</f>
        <v>3.6</v>
      </c>
      <c r="E124" s="323">
        <v>3.31</v>
      </c>
      <c r="F124" s="323">
        <v>0</v>
      </c>
      <c r="G124" s="323">
        <v>0</v>
      </c>
      <c r="H124" s="323">
        <v>0.28999999999999998</v>
      </c>
      <c r="I124" s="326" t="s">
        <v>12</v>
      </c>
      <c r="J124" s="323">
        <f t="shared" si="5"/>
        <v>3.6</v>
      </c>
      <c r="K124" s="326"/>
      <c r="L124" s="363"/>
      <c r="M124" s="328"/>
    </row>
    <row r="125" spans="1:18" ht="20.149999999999999" customHeight="1" x14ac:dyDescent="0.35">
      <c r="A125" s="329">
        <v>4</v>
      </c>
      <c r="B125" s="321">
        <v>176</v>
      </c>
      <c r="C125" s="336" t="s">
        <v>587</v>
      </c>
      <c r="D125" s="323">
        <f>'[1]road inventory 2018'!C329</f>
        <v>20.5</v>
      </c>
      <c r="E125" s="323">
        <v>5.21</v>
      </c>
      <c r="F125" s="323">
        <v>0</v>
      </c>
      <c r="G125" s="323">
        <v>0</v>
      </c>
      <c r="H125" s="323">
        <v>15.29</v>
      </c>
      <c r="I125" s="326" t="s">
        <v>12</v>
      </c>
      <c r="J125" s="323">
        <f t="shared" si="5"/>
        <v>20.5</v>
      </c>
      <c r="K125" s="326"/>
      <c r="L125" s="363"/>
      <c r="M125" s="328"/>
    </row>
    <row r="126" spans="1:18" ht="20.149999999999999" customHeight="1" x14ac:dyDescent="0.35">
      <c r="A126" s="329">
        <v>5</v>
      </c>
      <c r="B126" s="321">
        <v>177</v>
      </c>
      <c r="C126" s="336" t="s">
        <v>588</v>
      </c>
      <c r="D126" s="323">
        <f>'[1]road inventory 2018'!C330</f>
        <v>13.5</v>
      </c>
      <c r="E126" s="323">
        <v>13.5</v>
      </c>
      <c r="F126" s="323">
        <v>0</v>
      </c>
      <c r="G126" s="323">
        <v>0</v>
      </c>
      <c r="H126" s="323">
        <v>0</v>
      </c>
      <c r="I126" s="325" t="s">
        <v>10</v>
      </c>
      <c r="J126" s="323">
        <f t="shared" si="5"/>
        <v>13.5</v>
      </c>
      <c r="K126" s="326"/>
      <c r="L126" s="363"/>
      <c r="M126" s="328"/>
    </row>
    <row r="127" spans="1:18" ht="20.149999999999999" customHeight="1" x14ac:dyDescent="0.35">
      <c r="A127" s="329">
        <v>6</v>
      </c>
      <c r="B127" s="321">
        <v>172</v>
      </c>
      <c r="C127" s="336" t="s">
        <v>589</v>
      </c>
      <c r="D127" s="323">
        <f>'[1]road inventory 2018'!C331</f>
        <v>5.7</v>
      </c>
      <c r="E127" s="323">
        <v>1.02</v>
      </c>
      <c r="F127" s="323">
        <v>0</v>
      </c>
      <c r="G127" s="323">
        <v>3.42</v>
      </c>
      <c r="H127" s="323">
        <v>1.26</v>
      </c>
      <c r="I127" s="325" t="s">
        <v>10</v>
      </c>
      <c r="J127" s="323">
        <f t="shared" si="5"/>
        <v>5.6999999999999993</v>
      </c>
      <c r="K127" s="326"/>
      <c r="L127" s="363"/>
      <c r="M127" s="328"/>
      <c r="R127" s="331"/>
    </row>
    <row r="128" spans="1:18" ht="20.149999999999999" customHeight="1" x14ac:dyDescent="0.35">
      <c r="A128" s="329">
        <v>7</v>
      </c>
      <c r="B128" s="321">
        <v>178</v>
      </c>
      <c r="C128" s="336" t="s">
        <v>296</v>
      </c>
      <c r="D128" s="323">
        <f>'[1]road inventory 2018'!C332</f>
        <v>25.54</v>
      </c>
      <c r="E128" s="323">
        <v>1.23</v>
      </c>
      <c r="F128" s="323">
        <v>0</v>
      </c>
      <c r="G128" s="323">
        <v>0</v>
      </c>
      <c r="H128" s="323">
        <v>24.31</v>
      </c>
      <c r="I128" s="326" t="s">
        <v>12</v>
      </c>
      <c r="J128" s="323">
        <f t="shared" si="5"/>
        <v>25.54</v>
      </c>
      <c r="K128" s="326"/>
      <c r="L128" s="363"/>
      <c r="M128" s="328"/>
    </row>
    <row r="129" spans="1:15" ht="20.149999999999999" customHeight="1" x14ac:dyDescent="0.35">
      <c r="A129" s="329">
        <v>8</v>
      </c>
      <c r="B129" s="321">
        <v>179</v>
      </c>
      <c r="C129" s="336" t="s">
        <v>590</v>
      </c>
      <c r="D129" s="323">
        <f>'[1]road inventory 2018'!C333</f>
        <v>9.4</v>
      </c>
      <c r="E129" s="323">
        <v>0.43</v>
      </c>
      <c r="F129" s="323">
        <v>0</v>
      </c>
      <c r="G129" s="323">
        <v>0</v>
      </c>
      <c r="H129" s="323">
        <v>8.9700000000000006</v>
      </c>
      <c r="I129" s="325" t="s">
        <v>12</v>
      </c>
      <c r="J129" s="323">
        <f t="shared" si="5"/>
        <v>9.4</v>
      </c>
      <c r="K129" s="326"/>
      <c r="L129" s="363"/>
      <c r="M129" s="328"/>
    </row>
    <row r="130" spans="1:15" ht="20.149999999999999" customHeight="1" x14ac:dyDescent="0.35">
      <c r="A130" s="329">
        <v>9</v>
      </c>
      <c r="B130" s="321">
        <v>180</v>
      </c>
      <c r="C130" s="336" t="s">
        <v>591</v>
      </c>
      <c r="D130" s="323">
        <f>'[1]road inventory 2018'!C334</f>
        <v>2.42</v>
      </c>
      <c r="E130" s="323">
        <v>0</v>
      </c>
      <c r="F130" s="323">
        <v>0</v>
      </c>
      <c r="G130" s="323">
        <v>0</v>
      </c>
      <c r="H130" s="323">
        <v>2.42</v>
      </c>
      <c r="I130" s="326" t="s">
        <v>12</v>
      </c>
      <c r="J130" s="323">
        <f t="shared" si="5"/>
        <v>2.42</v>
      </c>
      <c r="K130" s="326"/>
      <c r="L130" s="363"/>
      <c r="M130" s="328"/>
    </row>
    <row r="131" spans="1:15" ht="20.149999999999999" customHeight="1" x14ac:dyDescent="0.35">
      <c r="A131" s="329">
        <v>10</v>
      </c>
      <c r="B131" s="321">
        <v>181</v>
      </c>
      <c r="C131" s="336" t="s">
        <v>592</v>
      </c>
      <c r="D131" s="323">
        <f>'[1]road inventory 2018'!C335</f>
        <v>4.9000000000000004</v>
      </c>
      <c r="E131" s="323">
        <v>4.9000000000000004</v>
      </c>
      <c r="F131" s="323">
        <v>0</v>
      </c>
      <c r="G131" s="323">
        <v>0</v>
      </c>
      <c r="H131" s="323">
        <v>0</v>
      </c>
      <c r="I131" s="325" t="s">
        <v>10</v>
      </c>
      <c r="J131" s="323">
        <f t="shared" si="5"/>
        <v>4.9000000000000004</v>
      </c>
      <c r="K131" s="326"/>
      <c r="L131" s="363"/>
      <c r="M131" s="328"/>
    </row>
    <row r="132" spans="1:15" ht="20.149999999999999" customHeight="1" x14ac:dyDescent="0.35">
      <c r="A132" s="329">
        <v>11</v>
      </c>
      <c r="B132" s="321">
        <v>182</v>
      </c>
      <c r="C132" s="336" t="s">
        <v>593</v>
      </c>
      <c r="D132" s="323">
        <f>'[1]road inventory 2018'!C336</f>
        <v>16</v>
      </c>
      <c r="E132" s="323">
        <v>16</v>
      </c>
      <c r="F132" s="323">
        <v>0</v>
      </c>
      <c r="G132" s="323">
        <v>0</v>
      </c>
      <c r="H132" s="323">
        <v>0</v>
      </c>
      <c r="I132" s="326" t="s">
        <v>10</v>
      </c>
      <c r="J132" s="323">
        <f t="shared" si="5"/>
        <v>16</v>
      </c>
      <c r="K132" s="326"/>
      <c r="L132" s="363"/>
      <c r="M132" s="328"/>
    </row>
    <row r="133" spans="1:15" ht="20.149999999999999" customHeight="1" x14ac:dyDescent="0.35">
      <c r="A133" s="329">
        <v>12</v>
      </c>
      <c r="B133" s="321">
        <v>183</v>
      </c>
      <c r="C133" s="336" t="s">
        <v>594</v>
      </c>
      <c r="D133" s="323">
        <f>'[1]road inventory 2018'!C337</f>
        <v>1.7</v>
      </c>
      <c r="E133" s="323">
        <v>0</v>
      </c>
      <c r="F133" s="323">
        <v>0</v>
      </c>
      <c r="G133" s="323">
        <v>0</v>
      </c>
      <c r="H133" s="323">
        <v>1.7</v>
      </c>
      <c r="I133" s="326" t="s">
        <v>12</v>
      </c>
      <c r="J133" s="323">
        <f t="shared" si="5"/>
        <v>1.7</v>
      </c>
      <c r="K133" s="326"/>
      <c r="L133" s="363"/>
      <c r="M133" s="328"/>
    </row>
    <row r="134" spans="1:15" ht="20.149999999999999" customHeight="1" x14ac:dyDescent="0.35">
      <c r="A134" s="329">
        <v>13</v>
      </c>
      <c r="B134" s="321">
        <v>184</v>
      </c>
      <c r="C134" s="336" t="s">
        <v>595</v>
      </c>
      <c r="D134" s="323">
        <f>'[1]road inventory 2018'!C338</f>
        <v>12</v>
      </c>
      <c r="E134" s="323">
        <v>10.01</v>
      </c>
      <c r="F134" s="323">
        <v>0</v>
      </c>
      <c r="G134" s="323">
        <v>0</v>
      </c>
      <c r="H134" s="323">
        <v>1.99</v>
      </c>
      <c r="I134" s="326" t="s">
        <v>10</v>
      </c>
      <c r="J134" s="323">
        <f t="shared" si="5"/>
        <v>12</v>
      </c>
      <c r="K134" s="326"/>
      <c r="L134" s="363"/>
      <c r="M134" s="328"/>
    </row>
    <row r="135" spans="1:15" s="317" customFormat="1" ht="20.149999999999999" customHeight="1" x14ac:dyDescent="0.35">
      <c r="B135" s="373"/>
      <c r="C135" s="374" t="s">
        <v>341</v>
      </c>
      <c r="D135" s="375">
        <f>SUM(D123:D134)</f>
        <v>116.76000000000002</v>
      </c>
      <c r="E135" s="375">
        <f>SUM(E123:E134)</f>
        <v>57.11</v>
      </c>
      <c r="F135" s="375">
        <f>SUM(F123:F134)</f>
        <v>0</v>
      </c>
      <c r="G135" s="375">
        <f>SUM(G123:G134)</f>
        <v>3.42</v>
      </c>
      <c r="H135" s="375">
        <f>SUM(H123:H134)</f>
        <v>56.230000000000004</v>
      </c>
      <c r="I135" s="376"/>
      <c r="J135" s="375"/>
      <c r="K135" s="372"/>
      <c r="L135" s="453"/>
      <c r="M135" s="377"/>
      <c r="N135" s="320"/>
    </row>
    <row r="136" spans="1:15" ht="20.149999999999999" customHeight="1" x14ac:dyDescent="0.35">
      <c r="B136" s="321"/>
      <c r="C136" s="330"/>
      <c r="D136" s="323"/>
      <c r="E136" s="323"/>
      <c r="F136" s="323"/>
      <c r="G136" s="323"/>
      <c r="H136" s="323"/>
      <c r="I136" s="325"/>
      <c r="J136" s="323"/>
      <c r="K136" s="326"/>
      <c r="L136" s="363"/>
      <c r="M136" s="328"/>
      <c r="N136" s="331"/>
    </row>
    <row r="137" spans="1:15" s="317" customFormat="1" ht="20.149999999999999" customHeight="1" x14ac:dyDescent="0.35">
      <c r="B137" s="390" t="s">
        <v>605</v>
      </c>
      <c r="C137" s="378"/>
      <c r="D137" s="375"/>
      <c r="E137" s="375"/>
      <c r="F137" s="375"/>
      <c r="G137" s="375"/>
      <c r="H137" s="375"/>
      <c r="I137" s="372"/>
      <c r="J137" s="375"/>
      <c r="K137" s="400"/>
      <c r="L137" s="453"/>
      <c r="M137" s="377"/>
    </row>
    <row r="138" spans="1:15" ht="20.149999999999999" customHeight="1" x14ac:dyDescent="0.35">
      <c r="A138" s="329">
        <v>1</v>
      </c>
      <c r="B138" s="321">
        <v>192</v>
      </c>
      <c r="C138" s="336" t="s">
        <v>606</v>
      </c>
      <c r="D138" s="342">
        <f>'[1]road inventory 2018'!C359</f>
        <v>17</v>
      </c>
      <c r="E138" s="323">
        <f>10.754-(153.8/1000)</f>
        <v>10.600199999999999</v>
      </c>
      <c r="F138" s="323">
        <v>0</v>
      </c>
      <c r="G138" s="323">
        <v>0</v>
      </c>
      <c r="H138" s="323">
        <v>6.4</v>
      </c>
      <c r="I138" s="326" t="s">
        <v>10</v>
      </c>
      <c r="J138" s="323">
        <f>SUM(E138:H138)</f>
        <v>17.0002</v>
      </c>
      <c r="K138" s="326"/>
      <c r="L138" s="458"/>
      <c r="M138" s="343">
        <v>10.6</v>
      </c>
    </row>
    <row r="139" spans="1:15" ht="20.149999999999999" customHeight="1" x14ac:dyDescent="0.35">
      <c r="A139" s="329">
        <v>2</v>
      </c>
      <c r="B139" s="321">
        <v>193</v>
      </c>
      <c r="C139" s="336" t="s">
        <v>607</v>
      </c>
      <c r="D139" s="342">
        <f>'[1]road inventory 2018'!C360</f>
        <v>1.8</v>
      </c>
      <c r="E139" s="323">
        <v>1.8</v>
      </c>
      <c r="F139" s="323">
        <v>0</v>
      </c>
      <c r="G139" s="323">
        <v>0</v>
      </c>
      <c r="H139" s="323">
        <v>0</v>
      </c>
      <c r="I139" s="326" t="s">
        <v>12</v>
      </c>
      <c r="J139" s="323">
        <f>SUM(E139:H139)</f>
        <v>1.8</v>
      </c>
      <c r="K139" s="326"/>
      <c r="L139" s="458"/>
      <c r="M139" s="343"/>
    </row>
    <row r="140" spans="1:15" ht="20.149999999999999" customHeight="1" x14ac:dyDescent="0.35">
      <c r="A140" s="329">
        <v>3</v>
      </c>
      <c r="B140" s="321">
        <v>194</v>
      </c>
      <c r="C140" s="336" t="s">
        <v>608</v>
      </c>
      <c r="D140" s="342">
        <f>'[1]road inventory 2018'!C361</f>
        <v>5.3</v>
      </c>
      <c r="E140" s="323">
        <v>3.5409999999999999</v>
      </c>
      <c r="F140" s="323">
        <v>0</v>
      </c>
      <c r="G140" s="323">
        <v>0</v>
      </c>
      <c r="H140" s="323">
        <v>1.7589999999999999</v>
      </c>
      <c r="I140" s="326" t="s">
        <v>12</v>
      </c>
      <c r="J140" s="323">
        <f>SUM(E140:H140)</f>
        <v>5.3</v>
      </c>
      <c r="K140" s="326"/>
      <c r="L140" s="458"/>
      <c r="M140" s="343"/>
    </row>
    <row r="141" spans="1:15" ht="20.149999999999999" customHeight="1" x14ac:dyDescent="0.35">
      <c r="A141" s="329">
        <v>4</v>
      </c>
      <c r="B141" s="321">
        <v>195</v>
      </c>
      <c r="C141" s="336" t="s">
        <v>609</v>
      </c>
      <c r="D141" s="342">
        <v>3.9000000000000004</v>
      </c>
      <c r="E141" s="323">
        <v>1.2</v>
      </c>
      <c r="F141" s="323">
        <v>0</v>
      </c>
      <c r="G141" s="323">
        <v>0</v>
      </c>
      <c r="H141" s="323">
        <v>2.7</v>
      </c>
      <c r="I141" s="326" t="s">
        <v>12</v>
      </c>
      <c r="J141" s="323">
        <f>SUM(E141:H141)</f>
        <v>3.9000000000000004</v>
      </c>
      <c r="K141" s="326"/>
      <c r="L141" s="458" t="s">
        <v>746</v>
      </c>
      <c r="M141" s="343"/>
    </row>
    <row r="142" spans="1:15" s="317" customFormat="1" ht="20.149999999999999" customHeight="1" x14ac:dyDescent="0.35">
      <c r="B142" s="373"/>
      <c r="C142" s="374" t="s">
        <v>341</v>
      </c>
      <c r="D142" s="375">
        <f>SUM(D138:D141)</f>
        <v>28</v>
      </c>
      <c r="E142" s="375">
        <f>SUM(E138:E141)</f>
        <v>17.141200000000001</v>
      </c>
      <c r="F142" s="375">
        <f>SUM(F138:F141)</f>
        <v>0</v>
      </c>
      <c r="G142" s="375">
        <f>SUM(G138:G141)</f>
        <v>0</v>
      </c>
      <c r="H142" s="375">
        <f>SUM(H138:H141)</f>
        <v>10.859000000000002</v>
      </c>
      <c r="I142" s="376"/>
      <c r="J142" s="375"/>
      <c r="K142" s="372"/>
      <c r="L142" s="453"/>
      <c r="M142" s="377"/>
      <c r="N142" s="320"/>
    </row>
    <row r="143" spans="1:15" ht="20.149999999999999" customHeight="1" x14ac:dyDescent="0.35">
      <c r="B143" s="321"/>
      <c r="C143" s="330"/>
      <c r="D143" s="323"/>
      <c r="E143" s="323"/>
      <c r="F143" s="323"/>
      <c r="G143" s="323"/>
      <c r="H143" s="323"/>
      <c r="I143" s="325"/>
      <c r="J143" s="323"/>
      <c r="K143" s="326"/>
      <c r="L143" s="363"/>
      <c r="M143" s="328"/>
      <c r="N143" s="331"/>
      <c r="O143" s="317" t="s">
        <v>845</v>
      </c>
    </row>
    <row r="144" spans="1:15" s="317" customFormat="1" ht="20.149999999999999" customHeight="1" x14ac:dyDescent="0.35">
      <c r="B144" s="403" t="s">
        <v>547</v>
      </c>
      <c r="C144" s="378"/>
      <c r="D144" s="404"/>
      <c r="E144" s="404"/>
      <c r="F144" s="404"/>
      <c r="G144" s="404"/>
      <c r="H144" s="404"/>
      <c r="I144" s="405"/>
      <c r="J144" s="375"/>
      <c r="K144" s="402"/>
      <c r="L144" s="453"/>
      <c r="M144" s="377"/>
      <c r="O144" s="320">
        <f>D182+D152+D142+D135+D120+D116+D106+D100</f>
        <v>267.98500000000001</v>
      </c>
    </row>
    <row r="145" spans="1:14" ht="20.149999999999999" customHeight="1" x14ac:dyDescent="0.35">
      <c r="A145" s="329">
        <v>1</v>
      </c>
      <c r="B145" s="344">
        <v>196</v>
      </c>
      <c r="C145" s="348" t="s">
        <v>548</v>
      </c>
      <c r="D145" s="345">
        <f>'[1]road inventory 2018'!C283</f>
        <v>12.700000000000001</v>
      </c>
      <c r="E145" s="345">
        <v>8.2100000000000009</v>
      </c>
      <c r="F145" s="345">
        <v>0</v>
      </c>
      <c r="G145" s="345">
        <v>0</v>
      </c>
      <c r="H145" s="345">
        <v>4.49</v>
      </c>
      <c r="I145" s="346" t="s">
        <v>12</v>
      </c>
      <c r="J145" s="323">
        <f t="shared" ref="J145:J151" si="6">SUM(E145:H145)</f>
        <v>12.700000000000001</v>
      </c>
      <c r="K145" s="347" t="s">
        <v>549</v>
      </c>
      <c r="L145" s="363"/>
      <c r="M145" s="328"/>
    </row>
    <row r="146" spans="1:14" ht="20.149999999999999" customHeight="1" x14ac:dyDescent="0.35">
      <c r="A146" s="329">
        <v>2</v>
      </c>
      <c r="B146" s="344">
        <v>197</v>
      </c>
      <c r="C146" s="348" t="s">
        <v>550</v>
      </c>
      <c r="D146" s="345">
        <f>'[1]road inventory 2018'!C284</f>
        <v>6.6</v>
      </c>
      <c r="E146" s="345">
        <v>3.0939999999999999</v>
      </c>
      <c r="F146" s="345">
        <v>1.833</v>
      </c>
      <c r="G146" s="345">
        <v>0</v>
      </c>
      <c r="H146" s="345">
        <v>1.673</v>
      </c>
      <c r="I146" s="346" t="s">
        <v>10</v>
      </c>
      <c r="J146" s="323">
        <f t="shared" si="6"/>
        <v>6.6</v>
      </c>
      <c r="K146" s="347" t="s">
        <v>551</v>
      </c>
      <c r="L146" s="363"/>
      <c r="M146" s="328"/>
    </row>
    <row r="147" spans="1:14" ht="20.149999999999999" customHeight="1" x14ac:dyDescent="0.35">
      <c r="A147" s="329">
        <v>4</v>
      </c>
      <c r="B147" s="344">
        <v>200</v>
      </c>
      <c r="C147" s="348" t="s">
        <v>291</v>
      </c>
      <c r="D147" s="345">
        <f>'[1]road inventory 2018'!C286</f>
        <v>1.1000000000000001</v>
      </c>
      <c r="E147" s="345">
        <v>1.1000000000000001</v>
      </c>
      <c r="F147" s="345">
        <v>0</v>
      </c>
      <c r="G147" s="345">
        <v>0</v>
      </c>
      <c r="H147" s="345">
        <v>0</v>
      </c>
      <c r="I147" s="346" t="s">
        <v>10</v>
      </c>
      <c r="J147" s="323">
        <f t="shared" si="6"/>
        <v>1.1000000000000001</v>
      </c>
      <c r="K147" s="347" t="s">
        <v>554</v>
      </c>
      <c r="L147" s="363"/>
      <c r="M147" s="328"/>
    </row>
    <row r="148" spans="1:14" ht="20.149999999999999" customHeight="1" x14ac:dyDescent="0.35">
      <c r="A148" s="329">
        <v>5</v>
      </c>
      <c r="B148" s="344">
        <v>201</v>
      </c>
      <c r="C148" s="348" t="s">
        <v>555</v>
      </c>
      <c r="D148" s="345">
        <f>'[1]road inventory 2018'!C287</f>
        <v>5.2</v>
      </c>
      <c r="E148" s="345">
        <v>2.7</v>
      </c>
      <c r="F148" s="345">
        <v>0</v>
      </c>
      <c r="G148" s="345">
        <v>0</v>
      </c>
      <c r="H148" s="345">
        <v>2.5</v>
      </c>
      <c r="I148" s="346" t="s">
        <v>10</v>
      </c>
      <c r="J148" s="323">
        <f t="shared" si="6"/>
        <v>5.2</v>
      </c>
      <c r="K148" s="347" t="s">
        <v>556</v>
      </c>
      <c r="L148" s="363"/>
      <c r="M148" s="328"/>
    </row>
    <row r="149" spans="1:14" ht="20.149999999999999" customHeight="1" x14ac:dyDescent="0.35">
      <c r="A149" s="329">
        <v>6</v>
      </c>
      <c r="B149" s="344">
        <v>202</v>
      </c>
      <c r="C149" s="348" t="s">
        <v>557</v>
      </c>
      <c r="D149" s="345">
        <f>'[1]road inventory 2018'!C288</f>
        <v>5.3000000000000007</v>
      </c>
      <c r="E149" s="345">
        <v>1.37</v>
      </c>
      <c r="F149" s="345">
        <v>0</v>
      </c>
      <c r="G149" s="345">
        <v>0</v>
      </c>
      <c r="H149" s="345">
        <v>3.93</v>
      </c>
      <c r="I149" s="346" t="s">
        <v>10</v>
      </c>
      <c r="J149" s="323">
        <f t="shared" si="6"/>
        <v>5.3000000000000007</v>
      </c>
      <c r="K149" s="347" t="s">
        <v>556</v>
      </c>
      <c r="L149" s="363"/>
      <c r="M149" s="328">
        <v>1.37</v>
      </c>
    </row>
    <row r="150" spans="1:14" ht="20.149999999999999" customHeight="1" x14ac:dyDescent="0.35">
      <c r="A150" s="329">
        <v>7</v>
      </c>
      <c r="B150" s="344">
        <v>203</v>
      </c>
      <c r="C150" s="348" t="s">
        <v>558</v>
      </c>
      <c r="D150" s="345">
        <f>'[1]road inventory 2018'!C289</f>
        <v>3.8</v>
      </c>
      <c r="E150" s="345">
        <v>2.5350000000000001</v>
      </c>
      <c r="F150" s="345">
        <v>0</v>
      </c>
      <c r="G150" s="345">
        <v>0</v>
      </c>
      <c r="H150" s="345">
        <v>1.2649999999999999</v>
      </c>
      <c r="I150" s="346" t="s">
        <v>10</v>
      </c>
      <c r="J150" s="323">
        <f t="shared" si="6"/>
        <v>3.8</v>
      </c>
      <c r="K150" s="347" t="s">
        <v>559</v>
      </c>
      <c r="L150" s="363"/>
      <c r="M150" s="328"/>
    </row>
    <row r="151" spans="1:14" ht="20.149999999999999" customHeight="1" x14ac:dyDescent="0.35">
      <c r="A151" s="329">
        <v>8</v>
      </c>
      <c r="B151" s="344">
        <v>228</v>
      </c>
      <c r="C151" s="348" t="s">
        <v>141</v>
      </c>
      <c r="D151" s="345">
        <f>'[1]road inventory 2018'!C290</f>
        <v>9.3000000000000007</v>
      </c>
      <c r="E151" s="345">
        <v>7.22</v>
      </c>
      <c r="F151" s="345">
        <v>0</v>
      </c>
      <c r="G151" s="345">
        <v>0</v>
      </c>
      <c r="H151" s="345">
        <f>0.83+1.25</f>
        <v>2.08</v>
      </c>
      <c r="I151" s="346" t="s">
        <v>10</v>
      </c>
      <c r="J151" s="323">
        <f t="shared" si="6"/>
        <v>9.3000000000000007</v>
      </c>
      <c r="K151" s="347"/>
      <c r="L151" s="363"/>
      <c r="M151" s="328"/>
    </row>
    <row r="152" spans="1:14" s="317" customFormat="1" ht="20.149999999999999" customHeight="1" x14ac:dyDescent="0.35">
      <c r="B152" s="373"/>
      <c r="C152" s="374" t="s">
        <v>341</v>
      </c>
      <c r="D152" s="375">
        <f>SUM(D145:D151)</f>
        <v>44</v>
      </c>
      <c r="E152" s="375">
        <f>SUM(E145:E151)</f>
        <v>26.228999999999999</v>
      </c>
      <c r="F152" s="375">
        <f>SUM(F145:F151)</f>
        <v>1.833</v>
      </c>
      <c r="G152" s="375">
        <f>SUM(G145:G151)</f>
        <v>0</v>
      </c>
      <c r="H152" s="375">
        <f>SUM(H145:H151)</f>
        <v>15.938000000000001</v>
      </c>
      <c r="I152" s="376"/>
      <c r="J152" s="375"/>
      <c r="K152" s="372"/>
      <c r="L152" s="453"/>
      <c r="M152" s="377"/>
      <c r="N152" s="320"/>
    </row>
    <row r="153" spans="1:14" ht="20.149999999999999" customHeight="1" x14ac:dyDescent="0.35">
      <c r="B153" s="321"/>
      <c r="C153" s="330"/>
      <c r="D153" s="323"/>
      <c r="E153" s="323"/>
      <c r="F153" s="323"/>
      <c r="G153" s="323"/>
      <c r="H153" s="323"/>
      <c r="I153" s="325"/>
      <c r="J153" s="323"/>
      <c r="K153" s="326"/>
      <c r="L153" s="363"/>
      <c r="M153" s="328"/>
      <c r="N153" s="331"/>
    </row>
    <row r="154" spans="1:14" s="317" customFormat="1" ht="20.149999999999999" customHeight="1" x14ac:dyDescent="0.35">
      <c r="B154" s="403" t="s">
        <v>501</v>
      </c>
      <c r="C154" s="378"/>
      <c r="D154" s="404"/>
      <c r="E154" s="404"/>
      <c r="F154" s="404"/>
      <c r="G154" s="404"/>
      <c r="H154" s="404"/>
      <c r="I154" s="405"/>
      <c r="J154" s="375"/>
      <c r="K154" s="402"/>
      <c r="L154" s="453"/>
      <c r="M154" s="377"/>
    </row>
    <row r="155" spans="1:14" ht="20.149999999999999" customHeight="1" x14ac:dyDescent="0.35">
      <c r="A155" s="329">
        <v>1</v>
      </c>
      <c r="B155" s="321">
        <v>153</v>
      </c>
      <c r="C155" s="336" t="s">
        <v>121</v>
      </c>
      <c r="D155" s="323">
        <f>'[1]road inventory 2018'!C243</f>
        <v>11</v>
      </c>
      <c r="E155" s="323">
        <f>2.81+1.74+0.2+0.22+0.35</f>
        <v>5.3199999999999994</v>
      </c>
      <c r="F155" s="323">
        <f>[3]CARRIAGEWAY!$X$360</f>
        <v>0</v>
      </c>
      <c r="G155" s="323">
        <f>0.98+1.39+1.3</f>
        <v>3.67</v>
      </c>
      <c r="H155" s="349">
        <v>2.0099999999999998</v>
      </c>
      <c r="I155" s="325" t="s">
        <v>12</v>
      </c>
      <c r="J155" s="323">
        <f t="shared" ref="J155:J164" si="7">SUM(E155:H155)</f>
        <v>10.999999999999998</v>
      </c>
      <c r="K155" s="326" t="s">
        <v>502</v>
      </c>
      <c r="L155" s="350" t="s">
        <v>747</v>
      </c>
      <c r="M155" s="328"/>
    </row>
    <row r="156" spans="1:14" ht="20.149999999999999" customHeight="1" x14ac:dyDescent="0.35">
      <c r="A156" s="329">
        <v>2</v>
      </c>
      <c r="B156" s="321">
        <v>125</v>
      </c>
      <c r="C156" s="336" t="s">
        <v>125</v>
      </c>
      <c r="D156" s="323">
        <f>'[1]road inventory 2018'!C244</f>
        <v>2.9</v>
      </c>
      <c r="E156" s="323">
        <v>0</v>
      </c>
      <c r="F156" s="323">
        <v>0</v>
      </c>
      <c r="G156" s="323">
        <v>0</v>
      </c>
      <c r="H156" s="349">
        <v>2.9</v>
      </c>
      <c r="I156" s="325" t="s">
        <v>12</v>
      </c>
      <c r="J156" s="323">
        <f t="shared" si="7"/>
        <v>2.9</v>
      </c>
      <c r="K156" s="326" t="s">
        <v>502</v>
      </c>
      <c r="L156" s="363"/>
      <c r="M156" s="328"/>
    </row>
    <row r="157" spans="1:14" ht="20.149999999999999" customHeight="1" x14ac:dyDescent="0.35">
      <c r="A157" s="329">
        <v>3</v>
      </c>
      <c r="B157" s="321">
        <v>154</v>
      </c>
      <c r="C157" s="336" t="s">
        <v>127</v>
      </c>
      <c r="D157" s="323">
        <f>'[1]road inventory 2018'!C245</f>
        <v>7</v>
      </c>
      <c r="E157" s="323">
        <v>0.15</v>
      </c>
      <c r="F157" s="323">
        <v>0</v>
      </c>
      <c r="G157" s="323">
        <v>0</v>
      </c>
      <c r="H157" s="349">
        <f>6.8+0.05</f>
        <v>6.85</v>
      </c>
      <c r="I157" s="325" t="s">
        <v>12</v>
      </c>
      <c r="J157" s="323">
        <f t="shared" si="7"/>
        <v>7</v>
      </c>
      <c r="K157" s="326" t="s">
        <v>503</v>
      </c>
      <c r="L157" s="363"/>
      <c r="M157" s="328"/>
    </row>
    <row r="158" spans="1:14" ht="20.149999999999999" customHeight="1" x14ac:dyDescent="0.35">
      <c r="A158" s="329">
        <v>4</v>
      </c>
      <c r="B158" s="321">
        <v>127</v>
      </c>
      <c r="C158" s="336" t="s">
        <v>504</v>
      </c>
      <c r="D158" s="323">
        <f>'[1]road inventory 2018'!C249</f>
        <v>2.7</v>
      </c>
      <c r="E158" s="323">
        <v>1.29</v>
      </c>
      <c r="F158" s="323">
        <v>0</v>
      </c>
      <c r="G158" s="323">
        <v>0.9</v>
      </c>
      <c r="H158" s="349">
        <f>0.38+0.13</f>
        <v>0.51</v>
      </c>
      <c r="I158" s="325" t="s">
        <v>10</v>
      </c>
      <c r="J158" s="323">
        <f t="shared" si="7"/>
        <v>2.7</v>
      </c>
      <c r="K158" s="326" t="s">
        <v>505</v>
      </c>
      <c r="L158" s="363"/>
      <c r="M158" s="328"/>
    </row>
    <row r="159" spans="1:14" ht="20.149999999999999" customHeight="1" x14ac:dyDescent="0.35">
      <c r="A159" s="329">
        <v>5</v>
      </c>
      <c r="B159" s="321">
        <v>128</v>
      </c>
      <c r="C159" s="336" t="s">
        <v>507</v>
      </c>
      <c r="D159" s="323">
        <f>'[1]road inventory 2018'!C250</f>
        <v>2.3000000000000003</v>
      </c>
      <c r="E159" s="323">
        <v>2.2999999999999998</v>
      </c>
      <c r="F159" s="323">
        <v>0</v>
      </c>
      <c r="G159" s="323">
        <v>0</v>
      </c>
      <c r="H159" s="349">
        <v>0</v>
      </c>
      <c r="I159" s="325" t="s">
        <v>10</v>
      </c>
      <c r="J159" s="323">
        <f t="shared" si="7"/>
        <v>2.2999999999999998</v>
      </c>
      <c r="K159" s="326" t="s">
        <v>508</v>
      </c>
      <c r="L159" s="363"/>
      <c r="M159" s="328"/>
    </row>
    <row r="160" spans="1:14" ht="20.149999999999999" customHeight="1" x14ac:dyDescent="0.35">
      <c r="A160" s="329">
        <v>7</v>
      </c>
      <c r="B160" s="321">
        <v>129</v>
      </c>
      <c r="C160" s="336" t="s">
        <v>512</v>
      </c>
      <c r="D160" s="323">
        <f>'[1]road inventory 2018'!C252</f>
        <v>2.7</v>
      </c>
      <c r="E160" s="323">
        <v>0</v>
      </c>
      <c r="F160" s="323">
        <v>0</v>
      </c>
      <c r="G160" s="323">
        <v>0</v>
      </c>
      <c r="H160" s="349">
        <v>2.7</v>
      </c>
      <c r="I160" s="325" t="s">
        <v>12</v>
      </c>
      <c r="J160" s="323">
        <f t="shared" si="7"/>
        <v>2.7</v>
      </c>
      <c r="K160" s="326" t="s">
        <v>513</v>
      </c>
      <c r="L160" s="363"/>
      <c r="M160" s="328"/>
    </row>
    <row r="161" spans="1:14" ht="20.149999999999999" customHeight="1" x14ac:dyDescent="0.35">
      <c r="A161" s="329">
        <v>8</v>
      </c>
      <c r="B161" s="321">
        <v>156</v>
      </c>
      <c r="C161" s="336" t="s">
        <v>130</v>
      </c>
      <c r="D161" s="323">
        <f>'[1]road inventory 2018'!C253</f>
        <v>20</v>
      </c>
      <c r="E161" s="323">
        <f>5.49+2.715</f>
        <v>8.2050000000000001</v>
      </c>
      <c r="F161" s="323">
        <v>0</v>
      </c>
      <c r="G161" s="323">
        <v>0</v>
      </c>
      <c r="H161" s="349">
        <v>11.795</v>
      </c>
      <c r="I161" s="325" t="s">
        <v>12</v>
      </c>
      <c r="J161" s="323">
        <f t="shared" si="7"/>
        <v>20</v>
      </c>
      <c r="K161" s="326" t="s">
        <v>514</v>
      </c>
      <c r="L161" s="363"/>
      <c r="M161" s="328">
        <f>5.49+2.715</f>
        <v>8.2050000000000001</v>
      </c>
    </row>
    <row r="162" spans="1:14" ht="20.149999999999999" customHeight="1" x14ac:dyDescent="0.35">
      <c r="A162" s="329">
        <v>9</v>
      </c>
      <c r="B162" s="321">
        <v>157</v>
      </c>
      <c r="C162" s="336" t="s">
        <v>515</v>
      </c>
      <c r="D162" s="323">
        <f>'[1]road inventory 2018'!C254</f>
        <v>8.6999999999999993</v>
      </c>
      <c r="E162" s="323">
        <v>0</v>
      </c>
      <c r="F162" s="323">
        <v>0</v>
      </c>
      <c r="G162" s="323">
        <v>0</v>
      </c>
      <c r="H162" s="349">
        <v>8.6999999999999993</v>
      </c>
      <c r="I162" s="325" t="s">
        <v>12</v>
      </c>
      <c r="J162" s="323">
        <f t="shared" si="7"/>
        <v>8.6999999999999993</v>
      </c>
      <c r="K162" s="326"/>
      <c r="L162" s="363"/>
      <c r="M162" s="328"/>
    </row>
    <row r="163" spans="1:14" ht="20.149999999999999" customHeight="1" x14ac:dyDescent="0.35">
      <c r="A163" s="329">
        <v>13</v>
      </c>
      <c r="B163" s="321">
        <v>131</v>
      </c>
      <c r="C163" s="336" t="s">
        <v>523</v>
      </c>
      <c r="D163" s="323">
        <f>'[1]road inventory 2018'!C258</f>
        <v>5.2</v>
      </c>
      <c r="E163" s="323">
        <f>0.15+0.57+4.002</f>
        <v>4.7219999999999995</v>
      </c>
      <c r="F163" s="323">
        <v>0</v>
      </c>
      <c r="G163" s="323">
        <v>0</v>
      </c>
      <c r="H163" s="349">
        <f>0.09+0.388</f>
        <v>0.47799999999999998</v>
      </c>
      <c r="I163" s="325" t="s">
        <v>12</v>
      </c>
      <c r="J163" s="323">
        <f t="shared" si="7"/>
        <v>5.1999999999999993</v>
      </c>
      <c r="K163" s="326"/>
      <c r="L163" s="363"/>
      <c r="M163" s="328"/>
    </row>
    <row r="164" spans="1:14" ht="20.149999999999999" customHeight="1" x14ac:dyDescent="0.35">
      <c r="A164" s="329">
        <v>14</v>
      </c>
      <c r="B164" s="321">
        <v>135</v>
      </c>
      <c r="C164" s="336" t="s">
        <v>139</v>
      </c>
      <c r="D164" s="323">
        <f>'[1]road inventory 2018'!C259</f>
        <v>4.4000000000000004</v>
      </c>
      <c r="E164" s="323">
        <v>0</v>
      </c>
      <c r="F164" s="323">
        <v>0</v>
      </c>
      <c r="G164" s="323">
        <v>0</v>
      </c>
      <c r="H164" s="349">
        <v>4.4000000000000004</v>
      </c>
      <c r="I164" s="325" t="s">
        <v>12</v>
      </c>
      <c r="J164" s="323">
        <f t="shared" si="7"/>
        <v>4.4000000000000004</v>
      </c>
      <c r="K164" s="326" t="s">
        <v>525</v>
      </c>
      <c r="L164" s="363"/>
      <c r="M164" s="328"/>
    </row>
    <row r="165" spans="1:14" s="317" customFormat="1" ht="20.149999999999999" customHeight="1" x14ac:dyDescent="0.35">
      <c r="B165" s="373"/>
      <c r="C165" s="374" t="s">
        <v>341</v>
      </c>
      <c r="D165" s="375">
        <f>SUM(D155:D164)</f>
        <v>66.900000000000006</v>
      </c>
      <c r="E165" s="375">
        <f>SUM(E155:E164)</f>
        <v>21.987000000000002</v>
      </c>
      <c r="F165" s="375">
        <f>SUM(F155:F164)</f>
        <v>0</v>
      </c>
      <c r="G165" s="375">
        <f>SUM(G155:G164)</f>
        <v>4.57</v>
      </c>
      <c r="H165" s="375">
        <f>SUM(H155:H164)</f>
        <v>40.343000000000004</v>
      </c>
      <c r="I165" s="376"/>
      <c r="J165" s="375"/>
      <c r="K165" s="372"/>
      <c r="L165" s="453"/>
      <c r="M165" s="377"/>
      <c r="N165" s="320"/>
    </row>
    <row r="166" spans="1:14" ht="20.149999999999999" customHeight="1" x14ac:dyDescent="0.35">
      <c r="B166" s="321"/>
      <c r="C166" s="330"/>
      <c r="D166" s="323"/>
      <c r="E166" s="323"/>
      <c r="F166" s="323"/>
      <c r="G166" s="323"/>
      <c r="H166" s="323"/>
      <c r="I166" s="325"/>
      <c r="J166" s="323"/>
      <c r="K166" s="326"/>
      <c r="L166" s="363"/>
      <c r="M166" s="328"/>
      <c r="N166" s="320" t="s">
        <v>300</v>
      </c>
    </row>
    <row r="167" spans="1:14" s="317" customFormat="1" ht="20.149999999999999" customHeight="1" x14ac:dyDescent="0.35">
      <c r="B167" s="390" t="s">
        <v>494</v>
      </c>
      <c r="C167" s="378"/>
      <c r="D167" s="375"/>
      <c r="E167" s="375"/>
      <c r="F167" s="375"/>
      <c r="G167" s="375"/>
      <c r="H167" s="406"/>
      <c r="I167" s="376"/>
      <c r="J167" s="375"/>
      <c r="K167" s="400"/>
      <c r="L167" s="453"/>
      <c r="M167" s="377"/>
      <c r="N167" s="320">
        <f>D165+D172+D201+D211+D221</f>
        <v>380.94999999999993</v>
      </c>
    </row>
    <row r="168" spans="1:14" ht="20.149999999999999" customHeight="1" x14ac:dyDescent="0.35">
      <c r="A168" s="329">
        <v>2</v>
      </c>
      <c r="B168" s="321">
        <v>149</v>
      </c>
      <c r="C168" s="336" t="s">
        <v>496</v>
      </c>
      <c r="D168" s="323">
        <f>'[1]road inventory 2018'!C233</f>
        <v>5</v>
      </c>
      <c r="E168" s="323">
        <v>2.2999999999999998</v>
      </c>
      <c r="F168" s="323">
        <v>0</v>
      </c>
      <c r="G168" s="323">
        <v>0</v>
      </c>
      <c r="H168" s="323">
        <v>2.7</v>
      </c>
      <c r="I168" s="325" t="s">
        <v>12</v>
      </c>
      <c r="J168" s="323">
        <f>SUM(E168:H168)</f>
        <v>5</v>
      </c>
      <c r="K168" s="325" t="s">
        <v>736</v>
      </c>
      <c r="L168" s="363"/>
      <c r="M168" s="328"/>
    </row>
    <row r="169" spans="1:14" ht="20.149999999999999" customHeight="1" x14ac:dyDescent="0.35">
      <c r="A169" s="329">
        <v>3</v>
      </c>
      <c r="B169" s="321">
        <v>150</v>
      </c>
      <c r="C169" s="336" t="s">
        <v>116</v>
      </c>
      <c r="D169" s="323">
        <f>'[1]road inventory 2018'!C234</f>
        <v>11</v>
      </c>
      <c r="E169" s="323">
        <f>1+1.3+3.57</f>
        <v>5.8699999999999992</v>
      </c>
      <c r="F169" s="323">
        <v>0</v>
      </c>
      <c r="G169" s="323">
        <v>0</v>
      </c>
      <c r="H169" s="323">
        <v>5.13</v>
      </c>
      <c r="I169" s="325" t="s">
        <v>10</v>
      </c>
      <c r="J169" s="323">
        <f>SUM(E169:H169)</f>
        <v>11</v>
      </c>
      <c r="K169" s="325" t="s">
        <v>737</v>
      </c>
      <c r="L169" s="363"/>
      <c r="M169" s="328"/>
    </row>
    <row r="170" spans="1:14" ht="20.149999999999999" customHeight="1" x14ac:dyDescent="0.35">
      <c r="A170" s="329">
        <v>4</v>
      </c>
      <c r="B170" s="321">
        <v>151</v>
      </c>
      <c r="C170" s="336" t="s">
        <v>499</v>
      </c>
      <c r="D170" s="323">
        <f>'[1]road inventory 2018'!C235</f>
        <v>4</v>
      </c>
      <c r="E170" s="323">
        <v>0</v>
      </c>
      <c r="F170" s="323">
        <v>0</v>
      </c>
      <c r="G170" s="323">
        <v>0</v>
      </c>
      <c r="H170" s="323">
        <v>4</v>
      </c>
      <c r="I170" s="325" t="s">
        <v>12</v>
      </c>
      <c r="J170" s="323">
        <f>SUM(E170:H170)</f>
        <v>4</v>
      </c>
      <c r="K170" s="325" t="s">
        <v>738</v>
      </c>
      <c r="L170" s="363"/>
      <c r="M170" s="328"/>
    </row>
    <row r="171" spans="1:14" ht="20.149999999999999" customHeight="1" x14ac:dyDescent="0.35">
      <c r="A171" s="329">
        <v>5</v>
      </c>
      <c r="B171" s="321">
        <v>152</v>
      </c>
      <c r="C171" s="336" t="s">
        <v>120</v>
      </c>
      <c r="D171" s="323">
        <f>'[1]road inventory 2018'!C236</f>
        <v>4.5999999999999996</v>
      </c>
      <c r="E171" s="323">
        <v>0.3</v>
      </c>
      <c r="F171" s="323">
        <v>0</v>
      </c>
      <c r="G171" s="323">
        <v>0</v>
      </c>
      <c r="H171" s="323">
        <v>4.3</v>
      </c>
      <c r="I171" s="325" t="s">
        <v>12</v>
      </c>
      <c r="J171" s="323">
        <f>SUM(E171:H171)</f>
        <v>4.5999999999999996</v>
      </c>
      <c r="K171" s="326"/>
      <c r="L171" s="363"/>
      <c r="M171" s="328"/>
      <c r="N171" s="329" t="e">
        <f>#REF!</f>
        <v>#REF!</v>
      </c>
    </row>
    <row r="172" spans="1:14" s="317" customFormat="1" ht="20.149999999999999" customHeight="1" x14ac:dyDescent="0.35">
      <c r="B172" s="373"/>
      <c r="C172" s="374" t="s">
        <v>341</v>
      </c>
      <c r="D172" s="375">
        <f>SUM(D168:D171)</f>
        <v>24.6</v>
      </c>
      <c r="E172" s="375">
        <f>SUM(E168:E171)</f>
        <v>8.4699999999999989</v>
      </c>
      <c r="F172" s="375">
        <f>SUM(F168:F171)</f>
        <v>0</v>
      </c>
      <c r="G172" s="375">
        <f>SUM(G168:G171)</f>
        <v>0</v>
      </c>
      <c r="H172" s="375">
        <f>SUM(H168:H171)</f>
        <v>16.13</v>
      </c>
      <c r="I172" s="376"/>
      <c r="J172" s="375"/>
      <c r="K172" s="372"/>
      <c r="L172" s="453"/>
      <c r="M172" s="377"/>
      <c r="N172" s="320" t="e">
        <f>N167+O144+O15</f>
        <v>#REF!</v>
      </c>
    </row>
    <row r="173" spans="1:14" ht="20.149999999999999" customHeight="1" x14ac:dyDescent="0.35">
      <c r="B173" s="321"/>
      <c r="C173" s="330"/>
      <c r="D173" s="323"/>
      <c r="E173" s="323"/>
      <c r="F173" s="323"/>
      <c r="G173" s="323"/>
      <c r="H173" s="323"/>
      <c r="I173" s="325"/>
      <c r="J173" s="323"/>
      <c r="K173" s="326"/>
      <c r="L173" s="363"/>
      <c r="M173" s="328"/>
      <c r="N173" s="331"/>
    </row>
    <row r="174" spans="1:14" ht="20.149999999999999" customHeight="1" x14ac:dyDescent="0.35">
      <c r="B174" s="390" t="s">
        <v>560</v>
      </c>
      <c r="C174" s="388"/>
      <c r="D174" s="385"/>
      <c r="E174" s="385"/>
      <c r="F174" s="385"/>
      <c r="G174" s="385"/>
      <c r="H174" s="385"/>
      <c r="I174" s="386"/>
      <c r="J174" s="385"/>
      <c r="K174" s="399"/>
      <c r="L174" s="454"/>
      <c r="M174" s="387"/>
      <c r="N174" s="754" t="e">
        <f>N172-N171</f>
        <v>#REF!</v>
      </c>
    </row>
    <row r="175" spans="1:14" ht="20.149999999999999" customHeight="1" x14ac:dyDescent="0.35">
      <c r="A175" s="329">
        <v>2</v>
      </c>
      <c r="B175" s="321">
        <v>205</v>
      </c>
      <c r="C175" s="336" t="s">
        <v>563</v>
      </c>
      <c r="D175" s="323">
        <f>'[1]road inventory 2018'!C299</f>
        <v>0.37</v>
      </c>
      <c r="E175" s="323">
        <v>0.37</v>
      </c>
      <c r="F175" s="323">
        <v>0</v>
      </c>
      <c r="G175" s="323">
        <v>0</v>
      </c>
      <c r="H175" s="323">
        <v>0</v>
      </c>
      <c r="I175" s="325" t="s">
        <v>10</v>
      </c>
      <c r="J175" s="323">
        <f t="shared" ref="J175:J181" si="8">SUM(E175:H175)</f>
        <v>0.37</v>
      </c>
      <c r="K175" s="326" t="s">
        <v>564</v>
      </c>
      <c r="L175" s="363"/>
      <c r="M175" s="328"/>
    </row>
    <row r="176" spans="1:14" ht="20.149999999999999" customHeight="1" x14ac:dyDescent="0.35">
      <c r="A176" s="329">
        <v>3</v>
      </c>
      <c r="B176" s="321">
        <v>213</v>
      </c>
      <c r="C176" s="336" t="s">
        <v>293</v>
      </c>
      <c r="D176" s="323">
        <f>'[1]road inventory 2018'!C300</f>
        <v>1.8599999999999999</v>
      </c>
      <c r="E176" s="323">
        <v>1.86</v>
      </c>
      <c r="F176" s="323">
        <v>0</v>
      </c>
      <c r="G176" s="323">
        <v>0</v>
      </c>
      <c r="H176" s="323">
        <v>0</v>
      </c>
      <c r="I176" s="325" t="s">
        <v>12</v>
      </c>
      <c r="J176" s="323">
        <f t="shared" si="8"/>
        <v>1.86</v>
      </c>
      <c r="K176" s="326" t="s">
        <v>565</v>
      </c>
      <c r="L176" s="363"/>
      <c r="M176" s="328"/>
    </row>
    <row r="177" spans="1:14" ht="20.149999999999999" customHeight="1" x14ac:dyDescent="0.35">
      <c r="A177" s="329">
        <v>4</v>
      </c>
      <c r="B177" s="321">
        <v>206</v>
      </c>
      <c r="C177" s="336" t="s">
        <v>295</v>
      </c>
      <c r="D177" s="323">
        <f>'[1]road inventory 2018'!C301</f>
        <v>2</v>
      </c>
      <c r="E177" s="323">
        <v>2</v>
      </c>
      <c r="F177" s="323">
        <v>0</v>
      </c>
      <c r="G177" s="323">
        <v>0</v>
      </c>
      <c r="H177" s="323">
        <v>0</v>
      </c>
      <c r="I177" s="325" t="s">
        <v>12</v>
      </c>
      <c r="J177" s="323">
        <f t="shared" si="8"/>
        <v>2</v>
      </c>
      <c r="K177" s="326" t="s">
        <v>566</v>
      </c>
      <c r="L177" s="363"/>
      <c r="M177" s="328"/>
    </row>
    <row r="178" spans="1:14" ht="20.149999999999999" customHeight="1" x14ac:dyDescent="0.35">
      <c r="A178" s="329">
        <v>8</v>
      </c>
      <c r="B178" s="321">
        <v>208</v>
      </c>
      <c r="C178" s="336" t="s">
        <v>572</v>
      </c>
      <c r="D178" s="323">
        <f>'[1]road inventory 2018'!C308</f>
        <v>4.3</v>
      </c>
      <c r="E178" s="323">
        <v>1</v>
      </c>
      <c r="F178" s="323">
        <v>0.25</v>
      </c>
      <c r="G178" s="323">
        <v>0</v>
      </c>
      <c r="H178" s="323">
        <v>3.05</v>
      </c>
      <c r="I178" s="325" t="s">
        <v>10</v>
      </c>
      <c r="J178" s="323">
        <f t="shared" si="8"/>
        <v>4.3</v>
      </c>
      <c r="K178" s="326" t="s">
        <v>573</v>
      </c>
      <c r="L178" s="363"/>
      <c r="M178" s="328">
        <v>1</v>
      </c>
    </row>
    <row r="179" spans="1:14" ht="20.149999999999999" customHeight="1" x14ac:dyDescent="0.35">
      <c r="A179" s="329">
        <v>9</v>
      </c>
      <c r="B179" s="321">
        <v>209</v>
      </c>
      <c r="C179" s="336" t="s">
        <v>294</v>
      </c>
      <c r="D179" s="323">
        <f>'[1]road inventory 2018'!C309</f>
        <v>2.6</v>
      </c>
      <c r="E179" s="323">
        <f>0.866+1.334</f>
        <v>2.2000000000000002</v>
      </c>
      <c r="F179" s="323">
        <v>0</v>
      </c>
      <c r="G179" s="323">
        <v>0</v>
      </c>
      <c r="H179" s="323">
        <v>0.4</v>
      </c>
      <c r="I179" s="325" t="s">
        <v>12</v>
      </c>
      <c r="J179" s="323">
        <f t="shared" si="8"/>
        <v>2.6</v>
      </c>
      <c r="K179" s="326" t="s">
        <v>574</v>
      </c>
      <c r="L179" s="363"/>
      <c r="M179" s="328"/>
    </row>
    <row r="180" spans="1:14" ht="20.149999999999999" customHeight="1" x14ac:dyDescent="0.35">
      <c r="A180" s="329">
        <v>10</v>
      </c>
      <c r="B180" s="321">
        <v>210</v>
      </c>
      <c r="C180" s="336" t="s">
        <v>575</v>
      </c>
      <c r="D180" s="323">
        <f>'[1]road inventory 2018'!C310</f>
        <v>0.8</v>
      </c>
      <c r="E180" s="323">
        <v>0.8</v>
      </c>
      <c r="F180" s="323">
        <v>0</v>
      </c>
      <c r="G180" s="323">
        <v>0</v>
      </c>
      <c r="H180" s="323">
        <v>0</v>
      </c>
      <c r="I180" s="325" t="s">
        <v>12</v>
      </c>
      <c r="J180" s="323">
        <f t="shared" si="8"/>
        <v>0.8</v>
      </c>
      <c r="K180" s="326" t="s">
        <v>576</v>
      </c>
      <c r="L180" s="363"/>
      <c r="M180" s="328"/>
    </row>
    <row r="181" spans="1:14" ht="20.149999999999999" customHeight="1" x14ac:dyDescent="0.35">
      <c r="A181" s="329">
        <v>11</v>
      </c>
      <c r="B181" s="321">
        <v>211</v>
      </c>
      <c r="C181" s="336" t="s">
        <v>577</v>
      </c>
      <c r="D181" s="323">
        <f>'[1]road inventory 2018'!C311</f>
        <v>0.7</v>
      </c>
      <c r="E181" s="323">
        <v>0.7</v>
      </c>
      <c r="F181" s="323">
        <v>0</v>
      </c>
      <c r="G181" s="323">
        <v>0</v>
      </c>
      <c r="H181" s="323">
        <v>0</v>
      </c>
      <c r="I181" s="325" t="s">
        <v>12</v>
      </c>
      <c r="J181" s="323">
        <f t="shared" si="8"/>
        <v>0.7</v>
      </c>
      <c r="K181" s="326" t="s">
        <v>578</v>
      </c>
      <c r="L181" s="363"/>
      <c r="M181" s="328"/>
    </row>
    <row r="182" spans="1:14" s="317" customFormat="1" ht="20.149999999999999" customHeight="1" x14ac:dyDescent="0.35">
      <c r="B182" s="373"/>
      <c r="C182" s="374" t="s">
        <v>341</v>
      </c>
      <c r="D182" s="375">
        <f>SUM(D175:D181)</f>
        <v>12.63</v>
      </c>
      <c r="E182" s="375">
        <f>SUM(E175:E181)</f>
        <v>8.93</v>
      </c>
      <c r="F182" s="375">
        <f>SUM(F175:F181)</f>
        <v>0.25</v>
      </c>
      <c r="G182" s="375">
        <f>SUM(G175:G181)</f>
        <v>0</v>
      </c>
      <c r="H182" s="375">
        <f>SUM(H175:H181)</f>
        <v>3.4499999999999997</v>
      </c>
      <c r="I182" s="376"/>
      <c r="J182" s="375"/>
      <c r="K182" s="372"/>
      <c r="L182" s="453"/>
      <c r="M182" s="377"/>
      <c r="N182" s="320"/>
    </row>
    <row r="183" spans="1:14" ht="20.149999999999999" customHeight="1" x14ac:dyDescent="0.35">
      <c r="B183" s="321"/>
      <c r="C183" s="330"/>
      <c r="D183" s="323"/>
      <c r="E183" s="323"/>
      <c r="F183" s="323"/>
      <c r="G183" s="323"/>
      <c r="H183" s="323"/>
      <c r="I183" s="325"/>
      <c r="J183" s="323"/>
      <c r="K183" s="326"/>
      <c r="L183" s="363"/>
      <c r="M183" s="328"/>
      <c r="N183" s="331"/>
    </row>
    <row r="184" spans="1:14" s="319" customFormat="1" ht="20.149999999999999" customHeight="1" x14ac:dyDescent="0.35">
      <c r="B184" s="390" t="s">
        <v>461</v>
      </c>
      <c r="C184" s="401"/>
      <c r="D184" s="407"/>
      <c r="E184" s="408"/>
      <c r="F184" s="408"/>
      <c r="G184" s="408"/>
      <c r="H184" s="407"/>
      <c r="I184" s="372"/>
      <c r="J184" s="375"/>
      <c r="K184" s="400"/>
      <c r="L184" s="459"/>
      <c r="M184" s="409"/>
    </row>
    <row r="185" spans="1:14" ht="20.149999999999999" customHeight="1" x14ac:dyDescent="0.35">
      <c r="A185" s="329">
        <v>1</v>
      </c>
      <c r="B185" s="321">
        <v>89</v>
      </c>
      <c r="C185" s="336" t="s">
        <v>462</v>
      </c>
      <c r="D185" s="323">
        <f>'[1]road inventory 2018'!C179</f>
        <v>0.63</v>
      </c>
      <c r="E185" s="323">
        <v>0.3</v>
      </c>
      <c r="F185" s="323">
        <v>0</v>
      </c>
      <c r="G185" s="323">
        <v>0</v>
      </c>
      <c r="H185" s="323">
        <v>0.33</v>
      </c>
      <c r="I185" s="326" t="s">
        <v>10</v>
      </c>
      <c r="J185" s="323">
        <f t="shared" ref="J185:J200" si="9">SUM(E185:H185)</f>
        <v>0.63</v>
      </c>
      <c r="K185" s="326" t="s">
        <v>360</v>
      </c>
      <c r="L185" s="363"/>
      <c r="M185" s="328"/>
    </row>
    <row r="186" spans="1:14" ht="20.149999999999999" customHeight="1" x14ac:dyDescent="0.35">
      <c r="A186" s="329">
        <v>2</v>
      </c>
      <c r="B186" s="321">
        <v>109</v>
      </c>
      <c r="C186" s="336" t="s">
        <v>285</v>
      </c>
      <c r="D186" s="323">
        <f>'[1]road inventory 2018'!C180</f>
        <v>2.5</v>
      </c>
      <c r="E186" s="323">
        <v>0.25700000000000001</v>
      </c>
      <c r="F186" s="323">
        <v>0</v>
      </c>
      <c r="G186" s="323">
        <v>0</v>
      </c>
      <c r="H186" s="323">
        <v>2.2429999999999999</v>
      </c>
      <c r="I186" s="326" t="s">
        <v>10</v>
      </c>
      <c r="J186" s="323">
        <f t="shared" si="9"/>
        <v>2.5</v>
      </c>
      <c r="K186" s="326" t="s">
        <v>463</v>
      </c>
      <c r="L186" s="363"/>
      <c r="M186" s="328"/>
    </row>
    <row r="187" spans="1:14" ht="20.149999999999999" customHeight="1" x14ac:dyDescent="0.35">
      <c r="A187" s="329">
        <v>3</v>
      </c>
      <c r="B187" s="321">
        <v>110</v>
      </c>
      <c r="C187" s="336" t="s">
        <v>65</v>
      </c>
      <c r="D187" s="323">
        <f>'[1]road inventory 2018'!C181</f>
        <v>7.3</v>
      </c>
      <c r="E187" s="323">
        <v>0</v>
      </c>
      <c r="F187" s="323">
        <v>0</v>
      </c>
      <c r="G187" s="323">
        <v>0</v>
      </c>
      <c r="H187" s="323">
        <v>7.3</v>
      </c>
      <c r="I187" s="326" t="s">
        <v>12</v>
      </c>
      <c r="J187" s="323">
        <f t="shared" si="9"/>
        <v>7.3</v>
      </c>
      <c r="K187" s="326" t="s">
        <v>464</v>
      </c>
      <c r="L187" s="363"/>
      <c r="M187" s="328"/>
    </row>
    <row r="188" spans="1:14" ht="20.149999999999999" customHeight="1" x14ac:dyDescent="0.35">
      <c r="A188" s="329">
        <v>4</v>
      </c>
      <c r="B188" s="321">
        <v>111</v>
      </c>
      <c r="C188" s="336" t="s">
        <v>66</v>
      </c>
      <c r="D188" s="323">
        <f>'[1]road inventory 2018'!C182</f>
        <v>15.4</v>
      </c>
      <c r="E188" s="323">
        <v>1.38</v>
      </c>
      <c r="F188" s="323">
        <v>0</v>
      </c>
      <c r="G188" s="323">
        <v>0</v>
      </c>
      <c r="H188" s="323">
        <v>14.02</v>
      </c>
      <c r="I188" s="326" t="s">
        <v>12</v>
      </c>
      <c r="J188" s="323">
        <f t="shared" si="9"/>
        <v>15.399999999999999</v>
      </c>
      <c r="K188" s="326" t="s">
        <v>465</v>
      </c>
      <c r="L188" s="363"/>
      <c r="M188" s="328"/>
    </row>
    <row r="189" spans="1:14" ht="20.149999999999999" customHeight="1" x14ac:dyDescent="0.35">
      <c r="A189" s="329">
        <v>5</v>
      </c>
      <c r="B189" s="321">
        <v>112</v>
      </c>
      <c r="C189" s="336" t="s">
        <v>73</v>
      </c>
      <c r="D189" s="323">
        <f>'[1]road inventory 2018'!C183</f>
        <v>8.4</v>
      </c>
      <c r="E189" s="323">
        <v>0.21</v>
      </c>
      <c r="F189" s="323">
        <v>0</v>
      </c>
      <c r="G189" s="323">
        <v>0</v>
      </c>
      <c r="H189" s="323">
        <v>8.19</v>
      </c>
      <c r="I189" s="326" t="s">
        <v>12</v>
      </c>
      <c r="J189" s="323">
        <f t="shared" si="9"/>
        <v>8.4</v>
      </c>
      <c r="K189" s="326" t="s">
        <v>466</v>
      </c>
      <c r="L189" s="363"/>
      <c r="M189" s="328"/>
    </row>
    <row r="190" spans="1:14" ht="20.149999999999999" customHeight="1" x14ac:dyDescent="0.35">
      <c r="A190" s="329">
        <v>6</v>
      </c>
      <c r="B190" s="321">
        <v>113</v>
      </c>
      <c r="C190" s="336" t="s">
        <v>75</v>
      </c>
      <c r="D190" s="323">
        <f>'[1]road inventory 2018'!C184</f>
        <v>1.5</v>
      </c>
      <c r="E190" s="323">
        <v>0.1</v>
      </c>
      <c r="F190" s="323">
        <v>0</v>
      </c>
      <c r="G190" s="323">
        <v>0</v>
      </c>
      <c r="H190" s="323">
        <v>1.4</v>
      </c>
      <c r="I190" s="326" t="s">
        <v>12</v>
      </c>
      <c r="J190" s="323">
        <f t="shared" si="9"/>
        <v>1.5</v>
      </c>
      <c r="K190" s="326" t="s">
        <v>467</v>
      </c>
      <c r="L190" s="363"/>
      <c r="M190" s="328"/>
    </row>
    <row r="191" spans="1:14" ht="20.149999999999999" customHeight="1" x14ac:dyDescent="0.35">
      <c r="A191" s="329">
        <v>7</v>
      </c>
      <c r="B191" s="321">
        <v>114</v>
      </c>
      <c r="C191" s="336" t="s">
        <v>468</v>
      </c>
      <c r="D191" s="323">
        <f>'[1]road inventory 2018'!C185</f>
        <v>9.5</v>
      </c>
      <c r="E191" s="323">
        <v>0</v>
      </c>
      <c r="F191" s="323">
        <v>0</v>
      </c>
      <c r="G191" s="323">
        <v>0</v>
      </c>
      <c r="H191" s="323">
        <v>9.5</v>
      </c>
      <c r="I191" s="325" t="s">
        <v>12</v>
      </c>
      <c r="J191" s="323">
        <f t="shared" si="9"/>
        <v>9.5</v>
      </c>
      <c r="K191" s="326" t="s">
        <v>469</v>
      </c>
      <c r="L191" s="363"/>
      <c r="M191" s="328"/>
    </row>
    <row r="192" spans="1:14" ht="20.149999999999999" customHeight="1" x14ac:dyDescent="0.35">
      <c r="A192" s="329">
        <v>8</v>
      </c>
      <c r="B192" s="321">
        <v>115</v>
      </c>
      <c r="C192" s="336" t="s">
        <v>77</v>
      </c>
      <c r="D192" s="323">
        <f>'[1]road inventory 2018'!C186</f>
        <v>10.700000000000001</v>
      </c>
      <c r="E192" s="323">
        <v>10.7</v>
      </c>
      <c r="F192" s="323">
        <v>0</v>
      </c>
      <c r="G192" s="323">
        <v>0</v>
      </c>
      <c r="H192" s="323">
        <v>0</v>
      </c>
      <c r="I192" s="326" t="s">
        <v>10</v>
      </c>
      <c r="J192" s="323">
        <f t="shared" si="9"/>
        <v>10.7</v>
      </c>
      <c r="K192" s="326" t="s">
        <v>470</v>
      </c>
      <c r="L192" s="363"/>
      <c r="M192" s="328"/>
    </row>
    <row r="193" spans="1:14" ht="20.149999999999999" customHeight="1" x14ac:dyDescent="0.35">
      <c r="A193" s="329">
        <v>9</v>
      </c>
      <c r="B193" s="321">
        <v>117</v>
      </c>
      <c r="C193" s="336" t="s">
        <v>79</v>
      </c>
      <c r="D193" s="323">
        <f>'[1]road inventory 2018'!C187</f>
        <v>8.6</v>
      </c>
      <c r="E193" s="323">
        <v>1.7</v>
      </c>
      <c r="F193" s="323">
        <v>0</v>
      </c>
      <c r="G193" s="323">
        <v>0</v>
      </c>
      <c r="H193" s="323">
        <v>6.9</v>
      </c>
      <c r="I193" s="325" t="s">
        <v>12</v>
      </c>
      <c r="J193" s="323">
        <f t="shared" si="9"/>
        <v>8.6</v>
      </c>
      <c r="K193" s="326" t="s">
        <v>471</v>
      </c>
      <c r="L193" s="363"/>
      <c r="M193" s="328"/>
    </row>
    <row r="194" spans="1:14" ht="20.149999999999999" customHeight="1" x14ac:dyDescent="0.35">
      <c r="A194" s="329">
        <v>11</v>
      </c>
      <c r="B194" s="321">
        <v>132</v>
      </c>
      <c r="C194" s="336" t="s">
        <v>85</v>
      </c>
      <c r="D194" s="323">
        <f>'[1]road inventory 2018'!C189</f>
        <v>13.5</v>
      </c>
      <c r="E194" s="323">
        <f>1.895+2.42</f>
        <v>4.3149999999999995</v>
      </c>
      <c r="F194" s="323">
        <v>0</v>
      </c>
      <c r="G194" s="323">
        <v>0</v>
      </c>
      <c r="H194" s="323">
        <v>9.1850000000000005</v>
      </c>
      <c r="I194" s="325" t="s">
        <v>10</v>
      </c>
      <c r="J194" s="323">
        <f t="shared" si="9"/>
        <v>13.5</v>
      </c>
      <c r="K194" s="326" t="s">
        <v>473</v>
      </c>
      <c r="L194" s="363"/>
      <c r="M194" s="328">
        <f>1.895+2.42</f>
        <v>4.3149999999999995</v>
      </c>
    </row>
    <row r="195" spans="1:14" ht="20.149999999999999" customHeight="1" x14ac:dyDescent="0.35">
      <c r="A195" s="329">
        <v>12</v>
      </c>
      <c r="B195" s="321">
        <v>139</v>
      </c>
      <c r="C195" s="336" t="s">
        <v>474</v>
      </c>
      <c r="D195" s="323">
        <f>'[1]road inventory 2018'!C190</f>
        <v>8.9</v>
      </c>
      <c r="E195" s="323">
        <v>0</v>
      </c>
      <c r="F195" s="323">
        <v>0</v>
      </c>
      <c r="G195" s="323">
        <v>0</v>
      </c>
      <c r="H195" s="323">
        <v>8.9</v>
      </c>
      <c r="I195" s="325" t="s">
        <v>12</v>
      </c>
      <c r="J195" s="323">
        <f t="shared" si="9"/>
        <v>8.9</v>
      </c>
      <c r="K195" s="326" t="s">
        <v>475</v>
      </c>
      <c r="L195" s="363"/>
      <c r="M195" s="328"/>
    </row>
    <row r="196" spans="1:14" ht="20.149999999999999" customHeight="1" x14ac:dyDescent="0.35">
      <c r="A196" s="329">
        <v>13</v>
      </c>
      <c r="B196" s="321">
        <v>122</v>
      </c>
      <c r="C196" s="336" t="s">
        <v>476</v>
      </c>
      <c r="D196" s="323">
        <f>'[1]road inventory 2018'!C193</f>
        <v>3.25</v>
      </c>
      <c r="E196" s="323">
        <v>2.0920000000000001</v>
      </c>
      <c r="F196" s="323">
        <v>0</v>
      </c>
      <c r="G196" s="323">
        <v>0</v>
      </c>
      <c r="H196" s="323">
        <v>1.1579999999999999</v>
      </c>
      <c r="I196" s="325" t="s">
        <v>12</v>
      </c>
      <c r="J196" s="323">
        <f t="shared" si="9"/>
        <v>3.25</v>
      </c>
      <c r="K196" s="326" t="s">
        <v>477</v>
      </c>
      <c r="L196" s="350" t="s">
        <v>748</v>
      </c>
      <c r="M196" s="328">
        <v>2.0920000000000001</v>
      </c>
    </row>
    <row r="197" spans="1:14" ht="20.149999999999999" customHeight="1" x14ac:dyDescent="0.35">
      <c r="A197" s="329">
        <v>14</v>
      </c>
      <c r="B197" s="321">
        <v>216</v>
      </c>
      <c r="C197" s="336" t="s">
        <v>87</v>
      </c>
      <c r="D197" s="323">
        <f>'[1]road inventory 2018'!C194</f>
        <v>6.1</v>
      </c>
      <c r="E197" s="323">
        <v>0</v>
      </c>
      <c r="F197" s="323">
        <v>0</v>
      </c>
      <c r="G197" s="323">
        <v>0</v>
      </c>
      <c r="H197" s="323">
        <v>6.1</v>
      </c>
      <c r="I197" s="325" t="s">
        <v>12</v>
      </c>
      <c r="J197" s="323">
        <f t="shared" si="9"/>
        <v>6.1</v>
      </c>
      <c r="K197" s="326" t="s">
        <v>478</v>
      </c>
      <c r="L197" s="363"/>
      <c r="M197" s="328"/>
    </row>
    <row r="198" spans="1:14" ht="20.149999999999999" customHeight="1" x14ac:dyDescent="0.35">
      <c r="A198" s="329">
        <v>15</v>
      </c>
      <c r="B198" s="321">
        <v>133</v>
      </c>
      <c r="C198" s="336" t="s">
        <v>90</v>
      </c>
      <c r="D198" s="323">
        <f>'[1]road inventory 2018'!C195</f>
        <v>4.4000000000000004</v>
      </c>
      <c r="E198" s="323">
        <v>0</v>
      </c>
      <c r="F198" s="323">
        <v>0</v>
      </c>
      <c r="G198" s="323">
        <v>0</v>
      </c>
      <c r="H198" s="323">
        <v>4.4000000000000004</v>
      </c>
      <c r="I198" s="325" t="s">
        <v>12</v>
      </c>
      <c r="J198" s="323">
        <f t="shared" si="9"/>
        <v>4.4000000000000004</v>
      </c>
      <c r="K198" s="326" t="s">
        <v>478</v>
      </c>
      <c r="L198" s="363"/>
      <c r="M198" s="328"/>
    </row>
    <row r="199" spans="1:14" ht="20.149999999999999" customHeight="1" x14ac:dyDescent="0.35">
      <c r="A199" s="329">
        <v>16</v>
      </c>
      <c r="B199" s="321">
        <v>123</v>
      </c>
      <c r="C199" s="336" t="s">
        <v>91</v>
      </c>
      <c r="D199" s="323">
        <f>'[1]road inventory 2018'!C196</f>
        <v>17</v>
      </c>
      <c r="E199" s="323">
        <v>12.19</v>
      </c>
      <c r="F199" s="323">
        <v>0</v>
      </c>
      <c r="G199" s="323">
        <v>0</v>
      </c>
      <c r="H199" s="323">
        <v>4.8099999999999996</v>
      </c>
      <c r="I199" s="325" t="s">
        <v>12</v>
      </c>
      <c r="J199" s="323">
        <f t="shared" si="9"/>
        <v>17</v>
      </c>
      <c r="K199" s="326" t="s">
        <v>475</v>
      </c>
      <c r="L199" s="363"/>
      <c r="M199" s="328">
        <v>12.19</v>
      </c>
    </row>
    <row r="200" spans="1:14" ht="20.149999999999999" customHeight="1" x14ac:dyDescent="0.35">
      <c r="A200" s="329">
        <v>17</v>
      </c>
      <c r="B200" s="321">
        <v>134</v>
      </c>
      <c r="C200" s="335" t="s">
        <v>284</v>
      </c>
      <c r="D200" s="323">
        <f>'[1]road inventory 2018'!C197</f>
        <v>8.3000000000000007</v>
      </c>
      <c r="E200" s="323">
        <v>0</v>
      </c>
      <c r="F200" s="323">
        <v>0</v>
      </c>
      <c r="G200" s="323">
        <v>0</v>
      </c>
      <c r="H200" s="323">
        <v>8.3000000000000007</v>
      </c>
      <c r="I200" s="325" t="s">
        <v>12</v>
      </c>
      <c r="J200" s="323">
        <f t="shared" si="9"/>
        <v>8.3000000000000007</v>
      </c>
      <c r="K200" s="326"/>
      <c r="L200" s="363"/>
      <c r="M200" s="328"/>
    </row>
    <row r="201" spans="1:14" s="317" customFormat="1" ht="20.149999999999999" customHeight="1" x14ac:dyDescent="0.35">
      <c r="B201" s="373"/>
      <c r="C201" s="374" t="s">
        <v>341</v>
      </c>
      <c r="D201" s="375">
        <f>SUM(D185:D200)</f>
        <v>125.98</v>
      </c>
      <c r="E201" s="375">
        <f>SUM(E185:E200)</f>
        <v>33.243999999999993</v>
      </c>
      <c r="F201" s="375">
        <f>SUM(F185:F200)</f>
        <v>0</v>
      </c>
      <c r="G201" s="375">
        <f>SUM(G185:G200)</f>
        <v>0</v>
      </c>
      <c r="H201" s="375">
        <f>SUM(H185:H200)</f>
        <v>92.736000000000004</v>
      </c>
      <c r="I201" s="376"/>
      <c r="J201" s="375"/>
      <c r="K201" s="372"/>
      <c r="L201" s="453"/>
      <c r="M201" s="377"/>
      <c r="N201" s="320"/>
    </row>
    <row r="202" spans="1:14" ht="20.149999999999999" customHeight="1" x14ac:dyDescent="0.35">
      <c r="B202" s="321"/>
      <c r="C202" s="330"/>
      <c r="D202" s="323"/>
      <c r="E202" s="323"/>
      <c r="F202" s="323"/>
      <c r="G202" s="323"/>
      <c r="H202" s="323"/>
      <c r="I202" s="325"/>
      <c r="J202" s="323"/>
      <c r="K202" s="326"/>
      <c r="L202" s="363"/>
      <c r="M202" s="328"/>
      <c r="N202" s="331"/>
    </row>
    <row r="203" spans="1:14" s="317" customFormat="1" ht="20.149999999999999" customHeight="1" x14ac:dyDescent="0.35">
      <c r="B203" s="389" t="s">
        <v>479</v>
      </c>
      <c r="C203" s="378"/>
      <c r="D203" s="375"/>
      <c r="E203" s="375"/>
      <c r="F203" s="375"/>
      <c r="G203" s="375"/>
      <c r="H203" s="375"/>
      <c r="I203" s="376"/>
      <c r="J203" s="375"/>
      <c r="K203" s="400"/>
      <c r="L203" s="453"/>
      <c r="M203" s="377"/>
    </row>
    <row r="204" spans="1:14" ht="20.149999999999999" customHeight="1" x14ac:dyDescent="0.35">
      <c r="A204" s="329">
        <v>1</v>
      </c>
      <c r="B204" s="321">
        <v>136</v>
      </c>
      <c r="C204" s="336" t="s">
        <v>93</v>
      </c>
      <c r="D204" s="323">
        <f>'[1]road inventory 2018'!C204</f>
        <v>11.3</v>
      </c>
      <c r="E204" s="323">
        <v>8.6999999999999993</v>
      </c>
      <c r="F204" s="323">
        <v>0</v>
      </c>
      <c r="G204" s="323">
        <v>0</v>
      </c>
      <c r="H204" s="323">
        <v>2.6</v>
      </c>
      <c r="I204" s="326" t="s">
        <v>10</v>
      </c>
      <c r="J204" s="323">
        <f t="shared" ref="J204:J210" si="10">SUM(E204:H204)</f>
        <v>11.299999999999999</v>
      </c>
      <c r="K204" s="326" t="s">
        <v>480</v>
      </c>
      <c r="L204" s="363"/>
      <c r="M204" s="328"/>
    </row>
    <row r="205" spans="1:14" ht="20.149999999999999" customHeight="1" x14ac:dyDescent="0.35">
      <c r="A205" s="329">
        <v>2</v>
      </c>
      <c r="B205" s="321">
        <v>137</v>
      </c>
      <c r="C205" s="336" t="s">
        <v>95</v>
      </c>
      <c r="D205" s="323">
        <f>'[1]road inventory 2018'!C205</f>
        <v>12.5</v>
      </c>
      <c r="E205" s="323">
        <v>8.74</v>
      </c>
      <c r="F205" s="323">
        <v>0</v>
      </c>
      <c r="G205" s="323">
        <v>0</v>
      </c>
      <c r="H205" s="323">
        <v>3.76</v>
      </c>
      <c r="I205" s="326" t="s">
        <v>10</v>
      </c>
      <c r="J205" s="323">
        <f t="shared" si="10"/>
        <v>12.5</v>
      </c>
      <c r="K205" s="326" t="s">
        <v>481</v>
      </c>
      <c r="L205" s="363"/>
      <c r="M205" s="328"/>
    </row>
    <row r="206" spans="1:14" ht="20.149999999999999" customHeight="1" x14ac:dyDescent="0.35">
      <c r="A206" s="329">
        <v>4</v>
      </c>
      <c r="B206" s="321">
        <v>120</v>
      </c>
      <c r="C206" s="353" t="s">
        <v>99</v>
      </c>
      <c r="D206" s="323">
        <f>'[1]road inventory 2018'!C207</f>
        <v>10.75</v>
      </c>
      <c r="E206" s="323">
        <v>10.24</v>
      </c>
      <c r="F206" s="323">
        <v>0</v>
      </c>
      <c r="G206" s="323">
        <v>0</v>
      </c>
      <c r="H206" s="323">
        <v>0.51</v>
      </c>
      <c r="I206" s="326" t="s">
        <v>10</v>
      </c>
      <c r="J206" s="323">
        <f t="shared" si="10"/>
        <v>10.75</v>
      </c>
      <c r="K206" s="326" t="s">
        <v>483</v>
      </c>
      <c r="L206" s="363"/>
      <c r="M206" s="328"/>
    </row>
    <row r="207" spans="1:14" ht="20.149999999999999" customHeight="1" x14ac:dyDescent="0.35">
      <c r="A207" s="329">
        <v>5</v>
      </c>
      <c r="B207" s="321">
        <v>140</v>
      </c>
      <c r="C207" s="336" t="s">
        <v>101</v>
      </c>
      <c r="D207" s="323">
        <f>'[1]road inventory 2018'!C208</f>
        <v>19.52</v>
      </c>
      <c r="E207" s="323">
        <v>2.41</v>
      </c>
      <c r="F207" s="323">
        <v>0</v>
      </c>
      <c r="G207" s="323">
        <v>0</v>
      </c>
      <c r="H207" s="323">
        <v>17.11</v>
      </c>
      <c r="I207" s="326" t="s">
        <v>12</v>
      </c>
      <c r="J207" s="323">
        <f t="shared" si="10"/>
        <v>19.52</v>
      </c>
      <c r="K207" s="326"/>
      <c r="L207" s="363"/>
      <c r="M207" s="328"/>
    </row>
    <row r="208" spans="1:14" ht="20.149999999999999" customHeight="1" x14ac:dyDescent="0.35">
      <c r="A208" s="329">
        <v>6</v>
      </c>
      <c r="B208" s="321">
        <v>138</v>
      </c>
      <c r="C208" s="336" t="s">
        <v>103</v>
      </c>
      <c r="D208" s="323">
        <f>'[1]road inventory 2018'!C209</f>
        <v>5.0999999999999996</v>
      </c>
      <c r="E208" s="323">
        <v>0</v>
      </c>
      <c r="F208" s="323">
        <v>0</v>
      </c>
      <c r="G208" s="323">
        <v>0</v>
      </c>
      <c r="H208" s="323">
        <v>5.0999999999999996</v>
      </c>
      <c r="I208" s="325" t="s">
        <v>12</v>
      </c>
      <c r="J208" s="323">
        <f t="shared" si="10"/>
        <v>5.0999999999999996</v>
      </c>
      <c r="K208" s="326" t="s">
        <v>484</v>
      </c>
      <c r="L208" s="363"/>
      <c r="M208" s="328"/>
    </row>
    <row r="209" spans="1:14" ht="20.149999999999999" customHeight="1" x14ac:dyDescent="0.35">
      <c r="A209" s="329">
        <v>7</v>
      </c>
      <c r="B209" s="321">
        <v>124</v>
      </c>
      <c r="C209" s="336" t="s">
        <v>485</v>
      </c>
      <c r="D209" s="323">
        <f>'[1]road inventory 2018'!C210</f>
        <v>17</v>
      </c>
      <c r="E209" s="323">
        <v>3.52</v>
      </c>
      <c r="F209" s="323">
        <v>0</v>
      </c>
      <c r="G209" s="323">
        <v>0</v>
      </c>
      <c r="H209" s="323">
        <f>8.98+4.5</f>
        <v>13.48</v>
      </c>
      <c r="I209" s="325" t="s">
        <v>12</v>
      </c>
      <c r="J209" s="323">
        <f t="shared" si="10"/>
        <v>17</v>
      </c>
      <c r="K209" s="326"/>
      <c r="L209" s="363"/>
      <c r="M209" s="328"/>
    </row>
    <row r="210" spans="1:14" ht="20.149999999999999" customHeight="1" x14ac:dyDescent="0.35">
      <c r="A210" s="329">
        <v>8</v>
      </c>
      <c r="B210" s="321">
        <v>141</v>
      </c>
      <c r="C210" s="336" t="s">
        <v>486</v>
      </c>
      <c r="D210" s="323">
        <f>'[1]road inventory 2018'!C211</f>
        <v>6</v>
      </c>
      <c r="E210" s="323">
        <v>0</v>
      </c>
      <c r="F210" s="323">
        <v>0</v>
      </c>
      <c r="G210" s="323">
        <v>0</v>
      </c>
      <c r="H210" s="323">
        <v>6</v>
      </c>
      <c r="I210" s="325" t="s">
        <v>12</v>
      </c>
      <c r="J210" s="323">
        <f t="shared" si="10"/>
        <v>6</v>
      </c>
      <c r="K210" s="326" t="s">
        <v>487</v>
      </c>
      <c r="L210" s="363"/>
      <c r="M210" s="328"/>
    </row>
    <row r="211" spans="1:14" s="317" customFormat="1" ht="20.149999999999999" customHeight="1" x14ac:dyDescent="0.35">
      <c r="B211" s="373"/>
      <c r="C211" s="374" t="s">
        <v>341</v>
      </c>
      <c r="D211" s="375">
        <f>SUM(D204:D210)</f>
        <v>82.169999999999987</v>
      </c>
      <c r="E211" s="375">
        <f>SUM(E204:E210)</f>
        <v>33.61</v>
      </c>
      <c r="F211" s="375">
        <f>SUM(F204:F210)</f>
        <v>0</v>
      </c>
      <c r="G211" s="375">
        <f>SUM(G204:G210)</f>
        <v>0</v>
      </c>
      <c r="H211" s="375">
        <f>SUM(H204:H210)</f>
        <v>48.56</v>
      </c>
      <c r="I211" s="376"/>
      <c r="J211" s="375"/>
      <c r="K211" s="372"/>
      <c r="L211" s="453"/>
      <c r="M211" s="377"/>
      <c r="N211" s="320"/>
    </row>
    <row r="212" spans="1:14" ht="20.149999999999999" customHeight="1" x14ac:dyDescent="0.35">
      <c r="B212" s="321"/>
      <c r="C212" s="330"/>
      <c r="D212" s="323"/>
      <c r="E212" s="323"/>
      <c r="F212" s="323"/>
      <c r="G212" s="323"/>
      <c r="H212" s="323"/>
      <c r="I212" s="325"/>
      <c r="J212" s="323"/>
      <c r="K212" s="326"/>
      <c r="L212" s="363"/>
      <c r="M212" s="328"/>
      <c r="N212" s="331"/>
    </row>
    <row r="213" spans="1:14" s="317" customFormat="1" ht="20.149999999999999" customHeight="1" x14ac:dyDescent="0.35">
      <c r="B213" s="390" t="s">
        <v>488</v>
      </c>
      <c r="C213" s="378"/>
      <c r="D213" s="375"/>
      <c r="E213" s="375"/>
      <c r="F213" s="375"/>
      <c r="G213" s="375"/>
      <c r="H213" s="375"/>
      <c r="I213" s="376"/>
      <c r="J213" s="375"/>
      <c r="K213" s="400"/>
      <c r="L213" s="453"/>
      <c r="M213" s="377"/>
    </row>
    <row r="214" spans="1:14" ht="20.149999999999999" customHeight="1" x14ac:dyDescent="0.35">
      <c r="A214" s="329">
        <v>1</v>
      </c>
      <c r="B214" s="321">
        <v>142</v>
      </c>
      <c r="C214" s="336" t="s">
        <v>286</v>
      </c>
      <c r="D214" s="323">
        <f>'[1]road inventory 2018'!C218</f>
        <v>19.299999999999997</v>
      </c>
      <c r="E214" s="323">
        <v>3</v>
      </c>
      <c r="F214" s="323">
        <v>0</v>
      </c>
      <c r="G214" s="323">
        <v>0</v>
      </c>
      <c r="H214" s="323">
        <v>16.3</v>
      </c>
      <c r="I214" s="325" t="s">
        <v>12</v>
      </c>
      <c r="J214" s="323">
        <f t="shared" ref="J214:J220" si="11">SUM(E214:H214)</f>
        <v>19.3</v>
      </c>
      <c r="K214" s="326" t="s">
        <v>489</v>
      </c>
      <c r="L214" s="363"/>
      <c r="M214" s="328">
        <v>3</v>
      </c>
    </row>
    <row r="215" spans="1:14" ht="20.149999999999999" customHeight="1" x14ac:dyDescent="0.35">
      <c r="A215" s="329">
        <v>2</v>
      </c>
      <c r="B215" s="321">
        <v>143</v>
      </c>
      <c r="C215" s="336" t="s">
        <v>287</v>
      </c>
      <c r="D215" s="323">
        <f>'[1]road inventory 2018'!C219</f>
        <v>8.7999999999999989</v>
      </c>
      <c r="E215" s="323">
        <v>0.2</v>
      </c>
      <c r="F215" s="323">
        <v>0</v>
      </c>
      <c r="G215" s="323">
        <v>0</v>
      </c>
      <c r="H215" s="323">
        <v>8.6</v>
      </c>
      <c r="I215" s="325" t="s">
        <v>12</v>
      </c>
      <c r="J215" s="323">
        <f t="shared" si="11"/>
        <v>8.7999999999999989</v>
      </c>
      <c r="K215" s="326" t="s">
        <v>490</v>
      </c>
      <c r="L215" s="363"/>
      <c r="M215" s="328"/>
    </row>
    <row r="216" spans="1:14" ht="20.149999999999999" customHeight="1" x14ac:dyDescent="0.35">
      <c r="A216" s="329">
        <v>3</v>
      </c>
      <c r="B216" s="321">
        <v>144</v>
      </c>
      <c r="C216" s="336" t="s">
        <v>288</v>
      </c>
      <c r="D216" s="323">
        <f>'[1]road inventory 2018'!C220</f>
        <v>7.8999999999999995</v>
      </c>
      <c r="E216" s="323">
        <v>1.75</v>
      </c>
      <c r="F216" s="323">
        <v>0</v>
      </c>
      <c r="G216" s="323">
        <v>0</v>
      </c>
      <c r="H216" s="323">
        <v>6.15</v>
      </c>
      <c r="I216" s="325" t="s">
        <v>12</v>
      </c>
      <c r="J216" s="323">
        <f t="shared" si="11"/>
        <v>7.9</v>
      </c>
      <c r="K216" s="326" t="s">
        <v>491</v>
      </c>
      <c r="L216" s="363"/>
      <c r="M216" s="328"/>
    </row>
    <row r="217" spans="1:14" ht="20.149999999999999" customHeight="1" x14ac:dyDescent="0.35">
      <c r="A217" s="329">
        <v>4</v>
      </c>
      <c r="B217" s="321">
        <v>121</v>
      </c>
      <c r="C217" s="336" t="s">
        <v>104</v>
      </c>
      <c r="D217" s="323">
        <f>'[1]road inventory 2018'!C221</f>
        <v>23.2</v>
      </c>
      <c r="E217" s="323">
        <v>3.6030000000000002</v>
      </c>
      <c r="F217" s="323">
        <v>0</v>
      </c>
      <c r="G217" s="323">
        <v>1.72</v>
      </c>
      <c r="H217" s="323">
        <v>17.876999999999999</v>
      </c>
      <c r="I217" s="325" t="s">
        <v>12</v>
      </c>
      <c r="J217" s="323">
        <f t="shared" si="11"/>
        <v>23.2</v>
      </c>
      <c r="K217" s="326" t="s">
        <v>492</v>
      </c>
      <c r="L217" s="363"/>
      <c r="M217" s="328">
        <v>3.6030000000000002</v>
      </c>
    </row>
    <row r="218" spans="1:14" ht="20.149999999999999" customHeight="1" x14ac:dyDescent="0.35">
      <c r="A218" s="329">
        <v>6</v>
      </c>
      <c r="B218" s="321">
        <v>126</v>
      </c>
      <c r="C218" s="336" t="s">
        <v>110</v>
      </c>
      <c r="D218" s="323">
        <f>'[1]road inventory 2018'!C223</f>
        <v>9.6</v>
      </c>
      <c r="E218" s="323">
        <v>9.6</v>
      </c>
      <c r="F218" s="323">
        <v>0</v>
      </c>
      <c r="G218" s="323">
        <v>0</v>
      </c>
      <c r="H218" s="323">
        <v>0</v>
      </c>
      <c r="I218" s="325" t="s">
        <v>10</v>
      </c>
      <c r="J218" s="323">
        <f t="shared" si="11"/>
        <v>9.6</v>
      </c>
      <c r="K218" s="326" t="s">
        <v>493</v>
      </c>
      <c r="L218" s="363"/>
      <c r="M218" s="328">
        <v>9.9499999999999993</v>
      </c>
    </row>
    <row r="219" spans="1:14" ht="20.149999999999999" customHeight="1" x14ac:dyDescent="0.35">
      <c r="A219" s="329">
        <v>7</v>
      </c>
      <c r="B219" s="321">
        <v>146</v>
      </c>
      <c r="C219" s="336" t="s">
        <v>115</v>
      </c>
      <c r="D219" s="323">
        <f>'[1]road inventory 2018'!C224</f>
        <v>8.3000000000000007</v>
      </c>
      <c r="E219" s="323">
        <v>0</v>
      </c>
      <c r="F219" s="323">
        <v>0</v>
      </c>
      <c r="G219" s="323">
        <v>0</v>
      </c>
      <c r="H219" s="323">
        <v>8.3000000000000007</v>
      </c>
      <c r="I219" s="325" t="s">
        <v>12</v>
      </c>
      <c r="J219" s="323">
        <f t="shared" si="11"/>
        <v>8.3000000000000007</v>
      </c>
      <c r="K219" s="326"/>
      <c r="L219" s="363"/>
      <c r="M219" s="328"/>
    </row>
    <row r="220" spans="1:14" ht="20.149999999999999" customHeight="1" x14ac:dyDescent="0.35">
      <c r="A220" s="329">
        <v>8</v>
      </c>
      <c r="B220" s="321">
        <v>147</v>
      </c>
      <c r="C220" s="336" t="s">
        <v>289</v>
      </c>
      <c r="D220" s="323">
        <f>'[1]road inventory 2018'!C225</f>
        <v>4.2</v>
      </c>
      <c r="E220" s="323">
        <v>0.2</v>
      </c>
      <c r="F220" s="323">
        <v>0</v>
      </c>
      <c r="G220" s="323">
        <v>0</v>
      </c>
      <c r="H220" s="323">
        <v>4</v>
      </c>
      <c r="I220" s="325" t="s">
        <v>10</v>
      </c>
      <c r="J220" s="323">
        <f t="shared" si="11"/>
        <v>4.2</v>
      </c>
      <c r="K220" s="326"/>
      <c r="L220" s="363"/>
      <c r="M220" s="328"/>
    </row>
    <row r="221" spans="1:14" s="317" customFormat="1" ht="20.149999999999999" customHeight="1" x14ac:dyDescent="0.35">
      <c r="B221" s="373"/>
      <c r="C221" s="374" t="s">
        <v>341</v>
      </c>
      <c r="D221" s="375">
        <f>SUM(D214:D220)</f>
        <v>81.299999999999983</v>
      </c>
      <c r="E221" s="375">
        <f>SUM(E214:E220)</f>
        <v>18.352999999999998</v>
      </c>
      <c r="F221" s="375">
        <f>SUM(F214:F220)</f>
        <v>0</v>
      </c>
      <c r="G221" s="375">
        <f>SUM(G214:G220)</f>
        <v>1.72</v>
      </c>
      <c r="H221" s="375">
        <f>SUM(H214:H220)</f>
        <v>61.22699999999999</v>
      </c>
      <c r="I221" s="376"/>
      <c r="J221" s="375"/>
      <c r="K221" s="372"/>
      <c r="L221" s="460"/>
      <c r="M221" s="410"/>
    </row>
    <row r="222" spans="1:14" s="317" customFormat="1" ht="20.149999999999999" customHeight="1" x14ac:dyDescent="0.35">
      <c r="B222" s="394"/>
      <c r="C222" s="395" t="s">
        <v>754</v>
      </c>
      <c r="D222" s="396">
        <f>D221+D211+D201+D182+D172+D165+D152+D142+D135+D120+D116+D106+D100+D95+D87+D66+D41+D32+D27</f>
        <v>932.33500000000004</v>
      </c>
      <c r="E222" s="396"/>
      <c r="F222" s="396"/>
      <c r="G222" s="396"/>
      <c r="H222" s="396"/>
      <c r="I222" s="397"/>
      <c r="J222" s="396">
        <f>SUM(J6:J221)</f>
        <v>932.33519999999999</v>
      </c>
      <c r="K222" s="393"/>
      <c r="L222" s="461"/>
      <c r="M222" s="398">
        <f>COUNT(M8:M219)</f>
        <v>19</v>
      </c>
    </row>
    <row r="223" spans="1:14" ht="18" customHeight="1" x14ac:dyDescent="0.35">
      <c r="D223" s="331"/>
      <c r="F223" s="331"/>
      <c r="J223" s="331"/>
      <c r="M223" s="327">
        <f>SUM(M6:M218)</f>
        <v>88.831999999999994</v>
      </c>
    </row>
    <row r="224" spans="1:14" ht="18" customHeight="1" x14ac:dyDescent="0.35"/>
    <row r="225" spans="3:16" s="329" customFormat="1" ht="18" customHeight="1" x14ac:dyDescent="0.35">
      <c r="C225" s="355" t="s">
        <v>755</v>
      </c>
      <c r="F225" s="331" t="s">
        <v>757</v>
      </c>
      <c r="J225" s="331"/>
      <c r="K225" s="327"/>
      <c r="L225" s="452"/>
      <c r="M225" s="327"/>
    </row>
    <row r="226" spans="3:16" s="329" customFormat="1" ht="18" customHeight="1" x14ac:dyDescent="0.35">
      <c r="C226" s="355"/>
      <c r="F226" s="331"/>
      <c r="G226" s="331"/>
      <c r="H226" s="331"/>
      <c r="J226" s="331"/>
      <c r="K226" s="328"/>
      <c r="L226" s="363"/>
      <c r="M226" s="328"/>
    </row>
    <row r="227" spans="3:16" s="329" customFormat="1" ht="18" customHeight="1" x14ac:dyDescent="0.35">
      <c r="C227" s="355"/>
      <c r="F227" s="331"/>
      <c r="H227" s="331"/>
      <c r="J227" s="331"/>
      <c r="K227" s="327"/>
      <c r="L227" s="452"/>
      <c r="M227" s="327"/>
    </row>
    <row r="228" spans="3:16" s="329" customFormat="1" ht="18" customHeight="1" x14ac:dyDescent="0.35">
      <c r="C228" s="356" t="s">
        <v>147</v>
      </c>
      <c r="F228" s="360" t="s">
        <v>154</v>
      </c>
      <c r="K228" s="327"/>
      <c r="L228" s="452"/>
      <c r="M228" s="327"/>
    </row>
    <row r="229" spans="3:16" s="354" customFormat="1" ht="18" customHeight="1" x14ac:dyDescent="0.35">
      <c r="C229" s="355" t="s">
        <v>149</v>
      </c>
      <c r="F229" s="350" t="s">
        <v>758</v>
      </c>
      <c r="G229" s="329"/>
      <c r="H229" s="329"/>
      <c r="I229" s="329"/>
      <c r="J229" s="331"/>
      <c r="K229" s="327"/>
      <c r="L229" s="452"/>
      <c r="M229" s="327"/>
    </row>
    <row r="230" spans="3:16" s="354" customFormat="1" ht="18" customHeight="1" x14ac:dyDescent="0.35">
      <c r="C230" s="355"/>
      <c r="F230" s="332"/>
      <c r="G230" s="329"/>
      <c r="H230" s="329"/>
      <c r="I230" s="329"/>
      <c r="J230" s="329"/>
      <c r="K230" s="327"/>
      <c r="L230" s="452"/>
      <c r="M230" s="327"/>
    </row>
    <row r="231" spans="3:16" s="354" customFormat="1" ht="18" customHeight="1" x14ac:dyDescent="0.35">
      <c r="C231" s="355"/>
      <c r="F231" s="332"/>
      <c r="G231" s="329"/>
      <c r="H231" s="329"/>
      <c r="I231" s="329"/>
      <c r="J231" s="329"/>
      <c r="K231" s="327"/>
      <c r="L231" s="452"/>
      <c r="M231" s="327"/>
    </row>
    <row r="232" spans="3:16" s="354" customFormat="1" ht="15" customHeight="1" x14ac:dyDescent="0.35">
      <c r="C232" s="355" t="s">
        <v>756</v>
      </c>
      <c r="F232" s="350" t="s">
        <v>759</v>
      </c>
      <c r="G232" s="329"/>
      <c r="H232" s="329"/>
      <c r="I232" s="329"/>
      <c r="J232" s="329"/>
      <c r="K232" s="327"/>
      <c r="L232" s="452" t="s">
        <v>308</v>
      </c>
      <c r="M232" s="327" t="s">
        <v>309</v>
      </c>
      <c r="N232" s="354" t="s">
        <v>310</v>
      </c>
      <c r="O232" s="354" t="s">
        <v>311</v>
      </c>
    </row>
    <row r="233" spans="3:16" s="354" customFormat="1" ht="15" customHeight="1" x14ac:dyDescent="0.35">
      <c r="C233" s="355"/>
      <c r="F233" s="332"/>
      <c r="G233" s="329"/>
      <c r="H233" s="329"/>
      <c r="I233" s="329"/>
      <c r="J233" s="329"/>
      <c r="K233" s="327"/>
      <c r="L233" s="363" t="e">
        <f>E27+E32+E41+E66+E87+#REF!+#REF!+E95+E100+E106+E116+E120+E135+E142+E152+E165+E172+E182+E201+E211+E221</f>
        <v>#REF!</v>
      </c>
      <c r="M233" s="328" t="e">
        <f>F221+F211+F201+F182+F172+F165+F152+F142+F135+F120+F116+F106+F100+F95+#REF!+#REF!+F87+F66+F41+F32+F27</f>
        <v>#REF!</v>
      </c>
      <c r="N233" s="755" t="e">
        <f>G221+G211+G201+G182+G172+G165+G152+G142+G135+G120+G116+G106+G100+G95+#REF!+#REF!+G87+G66+G41+G32+G27</f>
        <v>#REF!</v>
      </c>
      <c r="O233" s="755" t="e">
        <f>H221+H211+H201+H182+H172+H165+H152+H142+H135+H120+H116+H106+H100+H95+#REF!+#REF!+H87+H66+H41+H32+H27</f>
        <v>#REF!</v>
      </c>
      <c r="P233" s="756" t="e">
        <f>SUM(L233:O233)</f>
        <v>#REF!</v>
      </c>
    </row>
    <row r="234" spans="3:16" s="354" customFormat="1" ht="15" customHeight="1" x14ac:dyDescent="0.35">
      <c r="C234" s="355"/>
      <c r="F234" s="350"/>
      <c r="G234" s="329"/>
      <c r="H234" s="329"/>
      <c r="I234" s="329"/>
      <c r="J234" s="329"/>
      <c r="K234" s="327"/>
      <c r="L234" s="452"/>
      <c r="M234" s="327"/>
    </row>
    <row r="235" spans="3:16" s="354" customFormat="1" ht="15" customHeight="1" x14ac:dyDescent="0.35">
      <c r="C235" s="356" t="s">
        <v>153</v>
      </c>
      <c r="F235" s="318" t="s">
        <v>157</v>
      </c>
      <c r="G235" s="329"/>
      <c r="H235" s="329"/>
      <c r="I235" s="329"/>
      <c r="J235" s="329"/>
      <c r="K235" s="327"/>
      <c r="L235" s="452"/>
      <c r="M235" s="327"/>
    </row>
    <row r="236" spans="3:16" s="354" customFormat="1" ht="15" customHeight="1" x14ac:dyDescent="0.35">
      <c r="C236" s="355" t="s">
        <v>155</v>
      </c>
      <c r="F236" s="332" t="s">
        <v>760</v>
      </c>
      <c r="G236" s="329"/>
      <c r="H236" s="329"/>
      <c r="I236" s="329"/>
      <c r="J236" s="362"/>
      <c r="K236" s="327"/>
      <c r="L236" s="452"/>
      <c r="M236" s="327"/>
    </row>
    <row r="237" spans="3:16" s="354" customFormat="1" ht="15" customHeight="1" x14ac:dyDescent="0.35">
      <c r="C237" s="327"/>
      <c r="F237" s="332" t="s">
        <v>761</v>
      </c>
      <c r="G237" s="329"/>
      <c r="H237" s="329"/>
      <c r="I237" s="329"/>
      <c r="J237" s="329"/>
      <c r="K237" s="327"/>
      <c r="L237" s="452"/>
      <c r="M237" s="327"/>
    </row>
    <row r="238" spans="3:16" s="354" customFormat="1" ht="15" customHeight="1" x14ac:dyDescent="0.35">
      <c r="C238" s="328"/>
      <c r="D238" s="329"/>
      <c r="E238" s="329"/>
      <c r="F238" s="329"/>
      <c r="G238" s="329"/>
      <c r="H238" s="329"/>
      <c r="I238" s="329"/>
      <c r="J238" s="329"/>
      <c r="K238" s="327"/>
      <c r="L238" s="452"/>
      <c r="M238" s="327"/>
    </row>
    <row r="239" spans="3:16" s="354" customFormat="1" ht="15" customHeight="1" x14ac:dyDescent="0.35">
      <c r="C239" s="328"/>
      <c r="D239" s="332" t="s">
        <v>152</v>
      </c>
      <c r="E239" s="329"/>
      <c r="F239" s="329"/>
      <c r="G239" s="329"/>
      <c r="H239" s="329"/>
      <c r="I239" s="329"/>
      <c r="J239" s="329"/>
      <c r="K239" s="327"/>
      <c r="L239" s="452"/>
      <c r="M239" s="327"/>
    </row>
    <row r="240" spans="3:16" s="354" customFormat="1" ht="15" customHeight="1" x14ac:dyDescent="0.35">
      <c r="C240" s="327"/>
      <c r="D240" s="329"/>
      <c r="E240" s="329"/>
      <c r="F240" s="329"/>
      <c r="G240" s="329"/>
      <c r="H240" s="329"/>
      <c r="I240" s="329"/>
      <c r="J240" s="329"/>
      <c r="K240" s="327"/>
      <c r="L240" s="452"/>
      <c r="M240" s="327"/>
    </row>
    <row r="241" spans="3:13" s="354" customFormat="1" ht="15" customHeight="1" x14ac:dyDescent="0.35">
      <c r="C241" s="327"/>
      <c r="D241" s="329"/>
      <c r="E241" s="329"/>
      <c r="F241" s="329"/>
      <c r="G241" s="329"/>
      <c r="H241" s="329"/>
      <c r="I241" s="329"/>
      <c r="J241" s="329"/>
      <c r="K241" s="327"/>
      <c r="L241" s="452"/>
      <c r="M241" s="327"/>
    </row>
    <row r="242" spans="3:13" s="354" customFormat="1" ht="18" customHeight="1" x14ac:dyDescent="0.35">
      <c r="C242" s="327"/>
      <c r="D242" s="318" t="s">
        <v>762</v>
      </c>
      <c r="E242" s="329"/>
      <c r="F242" s="329"/>
      <c r="G242" s="329"/>
      <c r="H242" s="329"/>
      <c r="I242" s="329"/>
      <c r="J242" s="329"/>
      <c r="K242" s="327"/>
      <c r="L242" s="452"/>
      <c r="M242" s="327"/>
    </row>
    <row r="243" spans="3:13" s="354" customFormat="1" ht="18" customHeight="1" x14ac:dyDescent="0.35">
      <c r="C243" s="327"/>
      <c r="D243" s="332" t="s">
        <v>763</v>
      </c>
      <c r="E243" s="329"/>
      <c r="F243" s="329"/>
      <c r="G243" s="329"/>
      <c r="H243" s="329"/>
      <c r="I243" s="329"/>
      <c r="J243" s="329"/>
      <c r="K243" s="327"/>
      <c r="L243" s="452"/>
      <c r="M243" s="327"/>
    </row>
  </sheetData>
  <autoFilter ref="I1:I243" xr:uid="{00000000-0009-0000-0000-000012000000}"/>
  <mergeCells count="6">
    <mergeCell ref="B1:I1"/>
    <mergeCell ref="B2:I2"/>
    <mergeCell ref="B3:I3"/>
    <mergeCell ref="D5:D6"/>
    <mergeCell ref="E5:H5"/>
    <mergeCell ref="I5:I6"/>
  </mergeCells>
  <printOptions horizontalCentered="1"/>
  <pageMargins left="0" right="0" top="1" bottom="0.54" header="0.41" footer="0"/>
  <pageSetup paperSize="9" scale="70" fitToHeight="0" orientation="portrait" useFirstPageNumber="1" horizontalDpi="300" verticalDpi="300" r:id="rId1"/>
  <headerFooter scaleWithDoc="0" alignWithMargins="0">
    <oddFooter>&amp;RPage &amp;P of &amp;N</oddFooter>
    <firstFooter>&amp;R&amp;P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3">
    <tabColor rgb="FFC00000"/>
  </sheetPr>
  <dimension ref="A1:S324"/>
  <sheetViews>
    <sheetView view="pageBreakPreview" topLeftCell="B1" zoomScale="90" zoomScaleNormal="70" zoomScaleSheetLayoutView="90" zoomScalePageLayoutView="30" workbookViewId="0">
      <pane ySplit="6" topLeftCell="A290" activePane="bottomLeft" state="frozen"/>
      <selection activeCell="W38" sqref="W38"/>
      <selection pane="bottomLeft" activeCell="W38" sqref="W38"/>
    </sheetView>
  </sheetViews>
  <sheetFormatPr defaultRowHeight="18" x14ac:dyDescent="0.35"/>
  <cols>
    <col min="1" max="1" width="9.1796875" style="329"/>
    <col min="2" max="2" width="20.7265625" style="354" customWidth="1"/>
    <col min="3" max="3" width="50.7265625" style="327" customWidth="1"/>
    <col min="4" max="4" width="17.7265625" style="327" customWidth="1"/>
    <col min="5" max="5" width="12.81640625" style="329" customWidth="1"/>
    <col min="6" max="6" width="14.81640625" style="329" customWidth="1"/>
    <col min="7" max="7" width="12" style="329" customWidth="1"/>
    <col min="8" max="8" width="9.54296875" style="329" customWidth="1"/>
    <col min="9" max="9" width="12.54296875" style="329" customWidth="1"/>
    <col min="10" max="10" width="14.453125" style="329" customWidth="1"/>
    <col min="11" max="11" width="12.81640625" style="329" customWidth="1"/>
    <col min="12" max="12" width="23.7265625" style="327" customWidth="1"/>
    <col min="13" max="13" width="21.26953125" style="452" customWidth="1"/>
    <col min="14" max="14" width="22.54296875" style="327" customWidth="1"/>
    <col min="15" max="15" width="20" style="329" customWidth="1"/>
    <col min="16" max="16" width="15.54296875" style="329" customWidth="1"/>
    <col min="17" max="17" width="16.26953125" style="329" customWidth="1"/>
    <col min="18" max="18" width="9.1796875" style="329" customWidth="1"/>
    <col min="19" max="19" width="9.7265625" style="329" customWidth="1"/>
    <col min="20" max="21" width="9.1796875" style="329" customWidth="1"/>
    <col min="22" max="257" width="9.1796875" style="329"/>
    <col min="258" max="258" width="13.26953125" style="329" customWidth="1"/>
    <col min="259" max="259" width="27.453125" style="329" customWidth="1"/>
    <col min="260" max="261" width="9.54296875" style="329" customWidth="1"/>
    <col min="262" max="262" width="9.7265625" style="329" customWidth="1"/>
    <col min="263" max="263" width="9.54296875" style="329" customWidth="1"/>
    <col min="264" max="264" width="12.54296875" style="329" customWidth="1"/>
    <col min="265" max="265" width="10" style="329" customWidth="1"/>
    <col min="266" max="266" width="9.7265625" style="329" customWidth="1"/>
    <col min="267" max="269" width="9.1796875" style="329" customWidth="1"/>
    <col min="270" max="513" width="9.1796875" style="329"/>
    <col min="514" max="514" width="13.26953125" style="329" customWidth="1"/>
    <col min="515" max="515" width="27.453125" style="329" customWidth="1"/>
    <col min="516" max="517" width="9.54296875" style="329" customWidth="1"/>
    <col min="518" max="518" width="9.7265625" style="329" customWidth="1"/>
    <col min="519" max="519" width="9.54296875" style="329" customWidth="1"/>
    <col min="520" max="520" width="12.54296875" style="329" customWidth="1"/>
    <col min="521" max="521" width="10" style="329" customWidth="1"/>
    <col min="522" max="522" width="9.7265625" style="329" customWidth="1"/>
    <col min="523" max="525" width="9.1796875" style="329" customWidth="1"/>
    <col min="526" max="769" width="9.1796875" style="329"/>
    <col min="770" max="770" width="13.26953125" style="329" customWidth="1"/>
    <col min="771" max="771" width="27.453125" style="329" customWidth="1"/>
    <col min="772" max="773" width="9.54296875" style="329" customWidth="1"/>
    <col min="774" max="774" width="9.7265625" style="329" customWidth="1"/>
    <col min="775" max="775" width="9.54296875" style="329" customWidth="1"/>
    <col min="776" max="776" width="12.54296875" style="329" customWidth="1"/>
    <col min="777" max="777" width="10" style="329" customWidth="1"/>
    <col min="778" max="778" width="9.7265625" style="329" customWidth="1"/>
    <col min="779" max="781" width="9.1796875" style="329" customWidth="1"/>
    <col min="782" max="1025" width="9.1796875" style="329"/>
    <col min="1026" max="1026" width="13.26953125" style="329" customWidth="1"/>
    <col min="1027" max="1027" width="27.453125" style="329" customWidth="1"/>
    <col min="1028" max="1029" width="9.54296875" style="329" customWidth="1"/>
    <col min="1030" max="1030" width="9.7265625" style="329" customWidth="1"/>
    <col min="1031" max="1031" width="9.54296875" style="329" customWidth="1"/>
    <col min="1032" max="1032" width="12.54296875" style="329" customWidth="1"/>
    <col min="1033" max="1033" width="10" style="329" customWidth="1"/>
    <col min="1034" max="1034" width="9.7265625" style="329" customWidth="1"/>
    <col min="1035" max="1037" width="9.1796875" style="329" customWidth="1"/>
    <col min="1038" max="1281" width="9.1796875" style="329"/>
    <col min="1282" max="1282" width="13.26953125" style="329" customWidth="1"/>
    <col min="1283" max="1283" width="27.453125" style="329" customWidth="1"/>
    <col min="1284" max="1285" width="9.54296875" style="329" customWidth="1"/>
    <col min="1286" max="1286" width="9.7265625" style="329" customWidth="1"/>
    <col min="1287" max="1287" width="9.54296875" style="329" customWidth="1"/>
    <col min="1288" max="1288" width="12.54296875" style="329" customWidth="1"/>
    <col min="1289" max="1289" width="10" style="329" customWidth="1"/>
    <col min="1290" max="1290" width="9.7265625" style="329" customWidth="1"/>
    <col min="1291" max="1293" width="9.1796875" style="329" customWidth="1"/>
    <col min="1294" max="1537" width="9.1796875" style="329"/>
    <col min="1538" max="1538" width="13.26953125" style="329" customWidth="1"/>
    <col min="1539" max="1539" width="27.453125" style="329" customWidth="1"/>
    <col min="1540" max="1541" width="9.54296875" style="329" customWidth="1"/>
    <col min="1542" max="1542" width="9.7265625" style="329" customWidth="1"/>
    <col min="1543" max="1543" width="9.54296875" style="329" customWidth="1"/>
    <col min="1544" max="1544" width="12.54296875" style="329" customWidth="1"/>
    <col min="1545" max="1545" width="10" style="329" customWidth="1"/>
    <col min="1546" max="1546" width="9.7265625" style="329" customWidth="1"/>
    <col min="1547" max="1549" width="9.1796875" style="329" customWidth="1"/>
    <col min="1550" max="1793" width="9.1796875" style="329"/>
    <col min="1794" max="1794" width="13.26953125" style="329" customWidth="1"/>
    <col min="1795" max="1795" width="27.453125" style="329" customWidth="1"/>
    <col min="1796" max="1797" width="9.54296875" style="329" customWidth="1"/>
    <col min="1798" max="1798" width="9.7265625" style="329" customWidth="1"/>
    <col min="1799" max="1799" width="9.54296875" style="329" customWidth="1"/>
    <col min="1800" max="1800" width="12.54296875" style="329" customWidth="1"/>
    <col min="1801" max="1801" width="10" style="329" customWidth="1"/>
    <col min="1802" max="1802" width="9.7265625" style="329" customWidth="1"/>
    <col min="1803" max="1805" width="9.1796875" style="329" customWidth="1"/>
    <col min="1806" max="2049" width="9.1796875" style="329"/>
    <col min="2050" max="2050" width="13.26953125" style="329" customWidth="1"/>
    <col min="2051" max="2051" width="27.453125" style="329" customWidth="1"/>
    <col min="2052" max="2053" width="9.54296875" style="329" customWidth="1"/>
    <col min="2054" max="2054" width="9.7265625" style="329" customWidth="1"/>
    <col min="2055" max="2055" width="9.54296875" style="329" customWidth="1"/>
    <col min="2056" max="2056" width="12.54296875" style="329" customWidth="1"/>
    <col min="2057" max="2057" width="10" style="329" customWidth="1"/>
    <col min="2058" max="2058" width="9.7265625" style="329" customWidth="1"/>
    <col min="2059" max="2061" width="9.1796875" style="329" customWidth="1"/>
    <col min="2062" max="2305" width="9.1796875" style="329"/>
    <col min="2306" max="2306" width="13.26953125" style="329" customWidth="1"/>
    <col min="2307" max="2307" width="27.453125" style="329" customWidth="1"/>
    <col min="2308" max="2309" width="9.54296875" style="329" customWidth="1"/>
    <col min="2310" max="2310" width="9.7265625" style="329" customWidth="1"/>
    <col min="2311" max="2311" width="9.54296875" style="329" customWidth="1"/>
    <col min="2312" max="2312" width="12.54296875" style="329" customWidth="1"/>
    <col min="2313" max="2313" width="10" style="329" customWidth="1"/>
    <col min="2314" max="2314" width="9.7265625" style="329" customWidth="1"/>
    <col min="2315" max="2317" width="9.1796875" style="329" customWidth="1"/>
    <col min="2318" max="2561" width="9.1796875" style="329"/>
    <col min="2562" max="2562" width="13.26953125" style="329" customWidth="1"/>
    <col min="2563" max="2563" width="27.453125" style="329" customWidth="1"/>
    <col min="2564" max="2565" width="9.54296875" style="329" customWidth="1"/>
    <col min="2566" max="2566" width="9.7265625" style="329" customWidth="1"/>
    <col min="2567" max="2567" width="9.54296875" style="329" customWidth="1"/>
    <col min="2568" max="2568" width="12.54296875" style="329" customWidth="1"/>
    <col min="2569" max="2569" width="10" style="329" customWidth="1"/>
    <col min="2570" max="2570" width="9.7265625" style="329" customWidth="1"/>
    <col min="2571" max="2573" width="9.1796875" style="329" customWidth="1"/>
    <col min="2574" max="2817" width="9.1796875" style="329"/>
    <col min="2818" max="2818" width="13.26953125" style="329" customWidth="1"/>
    <col min="2819" max="2819" width="27.453125" style="329" customWidth="1"/>
    <col min="2820" max="2821" width="9.54296875" style="329" customWidth="1"/>
    <col min="2822" max="2822" width="9.7265625" style="329" customWidth="1"/>
    <col min="2823" max="2823" width="9.54296875" style="329" customWidth="1"/>
    <col min="2824" max="2824" width="12.54296875" style="329" customWidth="1"/>
    <col min="2825" max="2825" width="10" style="329" customWidth="1"/>
    <col min="2826" max="2826" width="9.7265625" style="329" customWidth="1"/>
    <col min="2827" max="2829" width="9.1796875" style="329" customWidth="1"/>
    <col min="2830" max="3073" width="9.1796875" style="329"/>
    <col min="3074" max="3074" width="13.26953125" style="329" customWidth="1"/>
    <col min="3075" max="3075" width="27.453125" style="329" customWidth="1"/>
    <col min="3076" max="3077" width="9.54296875" style="329" customWidth="1"/>
    <col min="3078" max="3078" width="9.7265625" style="329" customWidth="1"/>
    <col min="3079" max="3079" width="9.54296875" style="329" customWidth="1"/>
    <col min="3080" max="3080" width="12.54296875" style="329" customWidth="1"/>
    <col min="3081" max="3081" width="10" style="329" customWidth="1"/>
    <col min="3082" max="3082" width="9.7265625" style="329" customWidth="1"/>
    <col min="3083" max="3085" width="9.1796875" style="329" customWidth="1"/>
    <col min="3086" max="3329" width="9.1796875" style="329"/>
    <col min="3330" max="3330" width="13.26953125" style="329" customWidth="1"/>
    <col min="3331" max="3331" width="27.453125" style="329" customWidth="1"/>
    <col min="3332" max="3333" width="9.54296875" style="329" customWidth="1"/>
    <col min="3334" max="3334" width="9.7265625" style="329" customWidth="1"/>
    <col min="3335" max="3335" width="9.54296875" style="329" customWidth="1"/>
    <col min="3336" max="3336" width="12.54296875" style="329" customWidth="1"/>
    <col min="3337" max="3337" width="10" style="329" customWidth="1"/>
    <col min="3338" max="3338" width="9.7265625" style="329" customWidth="1"/>
    <col min="3339" max="3341" width="9.1796875" style="329" customWidth="1"/>
    <col min="3342" max="3585" width="9.1796875" style="329"/>
    <col min="3586" max="3586" width="13.26953125" style="329" customWidth="1"/>
    <col min="3587" max="3587" width="27.453125" style="329" customWidth="1"/>
    <col min="3588" max="3589" width="9.54296875" style="329" customWidth="1"/>
    <col min="3590" max="3590" width="9.7265625" style="329" customWidth="1"/>
    <col min="3591" max="3591" width="9.54296875" style="329" customWidth="1"/>
    <col min="3592" max="3592" width="12.54296875" style="329" customWidth="1"/>
    <col min="3593" max="3593" width="10" style="329" customWidth="1"/>
    <col min="3594" max="3594" width="9.7265625" style="329" customWidth="1"/>
    <col min="3595" max="3597" width="9.1796875" style="329" customWidth="1"/>
    <col min="3598" max="3841" width="9.1796875" style="329"/>
    <col min="3842" max="3842" width="13.26953125" style="329" customWidth="1"/>
    <col min="3843" max="3843" width="27.453125" style="329" customWidth="1"/>
    <col min="3844" max="3845" width="9.54296875" style="329" customWidth="1"/>
    <col min="3846" max="3846" width="9.7265625" style="329" customWidth="1"/>
    <col min="3847" max="3847" width="9.54296875" style="329" customWidth="1"/>
    <col min="3848" max="3848" width="12.54296875" style="329" customWidth="1"/>
    <col min="3849" max="3849" width="10" style="329" customWidth="1"/>
    <col min="3850" max="3850" width="9.7265625" style="329" customWidth="1"/>
    <col min="3851" max="3853" width="9.1796875" style="329" customWidth="1"/>
    <col min="3854" max="4097" width="9.1796875" style="329"/>
    <col min="4098" max="4098" width="13.26953125" style="329" customWidth="1"/>
    <col min="4099" max="4099" width="27.453125" style="329" customWidth="1"/>
    <col min="4100" max="4101" width="9.54296875" style="329" customWidth="1"/>
    <col min="4102" max="4102" width="9.7265625" style="329" customWidth="1"/>
    <col min="4103" max="4103" width="9.54296875" style="329" customWidth="1"/>
    <col min="4104" max="4104" width="12.54296875" style="329" customWidth="1"/>
    <col min="4105" max="4105" width="10" style="329" customWidth="1"/>
    <col min="4106" max="4106" width="9.7265625" style="329" customWidth="1"/>
    <col min="4107" max="4109" width="9.1796875" style="329" customWidth="1"/>
    <col min="4110" max="4353" width="9.1796875" style="329"/>
    <col min="4354" max="4354" width="13.26953125" style="329" customWidth="1"/>
    <col min="4355" max="4355" width="27.453125" style="329" customWidth="1"/>
    <col min="4356" max="4357" width="9.54296875" style="329" customWidth="1"/>
    <col min="4358" max="4358" width="9.7265625" style="329" customWidth="1"/>
    <col min="4359" max="4359" width="9.54296875" style="329" customWidth="1"/>
    <col min="4360" max="4360" width="12.54296875" style="329" customWidth="1"/>
    <col min="4361" max="4361" width="10" style="329" customWidth="1"/>
    <col min="4362" max="4362" width="9.7265625" style="329" customWidth="1"/>
    <col min="4363" max="4365" width="9.1796875" style="329" customWidth="1"/>
    <col min="4366" max="4609" width="9.1796875" style="329"/>
    <col min="4610" max="4610" width="13.26953125" style="329" customWidth="1"/>
    <col min="4611" max="4611" width="27.453125" style="329" customWidth="1"/>
    <col min="4612" max="4613" width="9.54296875" style="329" customWidth="1"/>
    <col min="4614" max="4614" width="9.7265625" style="329" customWidth="1"/>
    <col min="4615" max="4615" width="9.54296875" style="329" customWidth="1"/>
    <col min="4616" max="4616" width="12.54296875" style="329" customWidth="1"/>
    <col min="4617" max="4617" width="10" style="329" customWidth="1"/>
    <col min="4618" max="4618" width="9.7265625" style="329" customWidth="1"/>
    <col min="4619" max="4621" width="9.1796875" style="329" customWidth="1"/>
    <col min="4622" max="4865" width="9.1796875" style="329"/>
    <col min="4866" max="4866" width="13.26953125" style="329" customWidth="1"/>
    <col min="4867" max="4867" width="27.453125" style="329" customWidth="1"/>
    <col min="4868" max="4869" width="9.54296875" style="329" customWidth="1"/>
    <col min="4870" max="4870" width="9.7265625" style="329" customWidth="1"/>
    <col min="4871" max="4871" width="9.54296875" style="329" customWidth="1"/>
    <col min="4872" max="4872" width="12.54296875" style="329" customWidth="1"/>
    <col min="4873" max="4873" width="10" style="329" customWidth="1"/>
    <col min="4874" max="4874" width="9.7265625" style="329" customWidth="1"/>
    <col min="4875" max="4877" width="9.1796875" style="329" customWidth="1"/>
    <col min="4878" max="5121" width="9.1796875" style="329"/>
    <col min="5122" max="5122" width="13.26953125" style="329" customWidth="1"/>
    <col min="5123" max="5123" width="27.453125" style="329" customWidth="1"/>
    <col min="5124" max="5125" width="9.54296875" style="329" customWidth="1"/>
    <col min="5126" max="5126" width="9.7265625" style="329" customWidth="1"/>
    <col min="5127" max="5127" width="9.54296875" style="329" customWidth="1"/>
    <col min="5128" max="5128" width="12.54296875" style="329" customWidth="1"/>
    <col min="5129" max="5129" width="10" style="329" customWidth="1"/>
    <col min="5130" max="5130" width="9.7265625" style="329" customWidth="1"/>
    <col min="5131" max="5133" width="9.1796875" style="329" customWidth="1"/>
    <col min="5134" max="5377" width="9.1796875" style="329"/>
    <col min="5378" max="5378" width="13.26953125" style="329" customWidth="1"/>
    <col min="5379" max="5379" width="27.453125" style="329" customWidth="1"/>
    <col min="5380" max="5381" width="9.54296875" style="329" customWidth="1"/>
    <col min="5382" max="5382" width="9.7265625" style="329" customWidth="1"/>
    <col min="5383" max="5383" width="9.54296875" style="329" customWidth="1"/>
    <col min="5384" max="5384" width="12.54296875" style="329" customWidth="1"/>
    <col min="5385" max="5385" width="10" style="329" customWidth="1"/>
    <col min="5386" max="5386" width="9.7265625" style="329" customWidth="1"/>
    <col min="5387" max="5389" width="9.1796875" style="329" customWidth="1"/>
    <col min="5390" max="5633" width="9.1796875" style="329"/>
    <col min="5634" max="5634" width="13.26953125" style="329" customWidth="1"/>
    <col min="5635" max="5635" width="27.453125" style="329" customWidth="1"/>
    <col min="5636" max="5637" width="9.54296875" style="329" customWidth="1"/>
    <col min="5638" max="5638" width="9.7265625" style="329" customWidth="1"/>
    <col min="5639" max="5639" width="9.54296875" style="329" customWidth="1"/>
    <col min="5640" max="5640" width="12.54296875" style="329" customWidth="1"/>
    <col min="5641" max="5641" width="10" style="329" customWidth="1"/>
    <col min="5642" max="5642" width="9.7265625" style="329" customWidth="1"/>
    <col min="5643" max="5645" width="9.1796875" style="329" customWidth="1"/>
    <col min="5646" max="5889" width="9.1796875" style="329"/>
    <col min="5890" max="5890" width="13.26953125" style="329" customWidth="1"/>
    <col min="5891" max="5891" width="27.453125" style="329" customWidth="1"/>
    <col min="5892" max="5893" width="9.54296875" style="329" customWidth="1"/>
    <col min="5894" max="5894" width="9.7265625" style="329" customWidth="1"/>
    <col min="5895" max="5895" width="9.54296875" style="329" customWidth="1"/>
    <col min="5896" max="5896" width="12.54296875" style="329" customWidth="1"/>
    <col min="5897" max="5897" width="10" style="329" customWidth="1"/>
    <col min="5898" max="5898" width="9.7265625" style="329" customWidth="1"/>
    <col min="5899" max="5901" width="9.1796875" style="329" customWidth="1"/>
    <col min="5902" max="6145" width="9.1796875" style="329"/>
    <col min="6146" max="6146" width="13.26953125" style="329" customWidth="1"/>
    <col min="6147" max="6147" width="27.453125" style="329" customWidth="1"/>
    <col min="6148" max="6149" width="9.54296875" style="329" customWidth="1"/>
    <col min="6150" max="6150" width="9.7265625" style="329" customWidth="1"/>
    <col min="6151" max="6151" width="9.54296875" style="329" customWidth="1"/>
    <col min="6152" max="6152" width="12.54296875" style="329" customWidth="1"/>
    <col min="6153" max="6153" width="10" style="329" customWidth="1"/>
    <col min="6154" max="6154" width="9.7265625" style="329" customWidth="1"/>
    <col min="6155" max="6157" width="9.1796875" style="329" customWidth="1"/>
    <col min="6158" max="6401" width="9.1796875" style="329"/>
    <col min="6402" max="6402" width="13.26953125" style="329" customWidth="1"/>
    <col min="6403" max="6403" width="27.453125" style="329" customWidth="1"/>
    <col min="6404" max="6405" width="9.54296875" style="329" customWidth="1"/>
    <col min="6406" max="6406" width="9.7265625" style="329" customWidth="1"/>
    <col min="6407" max="6407" width="9.54296875" style="329" customWidth="1"/>
    <col min="6408" max="6408" width="12.54296875" style="329" customWidth="1"/>
    <col min="6409" max="6409" width="10" style="329" customWidth="1"/>
    <col min="6410" max="6410" width="9.7265625" style="329" customWidth="1"/>
    <col min="6411" max="6413" width="9.1796875" style="329" customWidth="1"/>
    <col min="6414" max="6657" width="9.1796875" style="329"/>
    <col min="6658" max="6658" width="13.26953125" style="329" customWidth="1"/>
    <col min="6659" max="6659" width="27.453125" style="329" customWidth="1"/>
    <col min="6660" max="6661" width="9.54296875" style="329" customWidth="1"/>
    <col min="6662" max="6662" width="9.7265625" style="329" customWidth="1"/>
    <col min="6663" max="6663" width="9.54296875" style="329" customWidth="1"/>
    <col min="6664" max="6664" width="12.54296875" style="329" customWidth="1"/>
    <col min="6665" max="6665" width="10" style="329" customWidth="1"/>
    <col min="6666" max="6666" width="9.7265625" style="329" customWidth="1"/>
    <col min="6667" max="6669" width="9.1796875" style="329" customWidth="1"/>
    <col min="6670" max="6913" width="9.1796875" style="329"/>
    <col min="6914" max="6914" width="13.26953125" style="329" customWidth="1"/>
    <col min="6915" max="6915" width="27.453125" style="329" customWidth="1"/>
    <col min="6916" max="6917" width="9.54296875" style="329" customWidth="1"/>
    <col min="6918" max="6918" width="9.7265625" style="329" customWidth="1"/>
    <col min="6919" max="6919" width="9.54296875" style="329" customWidth="1"/>
    <col min="6920" max="6920" width="12.54296875" style="329" customWidth="1"/>
    <col min="6921" max="6921" width="10" style="329" customWidth="1"/>
    <col min="6922" max="6922" width="9.7265625" style="329" customWidth="1"/>
    <col min="6923" max="6925" width="9.1796875" style="329" customWidth="1"/>
    <col min="6926" max="7169" width="9.1796875" style="329"/>
    <col min="7170" max="7170" width="13.26953125" style="329" customWidth="1"/>
    <col min="7171" max="7171" width="27.453125" style="329" customWidth="1"/>
    <col min="7172" max="7173" width="9.54296875" style="329" customWidth="1"/>
    <col min="7174" max="7174" width="9.7265625" style="329" customWidth="1"/>
    <col min="7175" max="7175" width="9.54296875" style="329" customWidth="1"/>
    <col min="7176" max="7176" width="12.54296875" style="329" customWidth="1"/>
    <col min="7177" max="7177" width="10" style="329" customWidth="1"/>
    <col min="7178" max="7178" width="9.7265625" style="329" customWidth="1"/>
    <col min="7179" max="7181" width="9.1796875" style="329" customWidth="1"/>
    <col min="7182" max="7425" width="9.1796875" style="329"/>
    <col min="7426" max="7426" width="13.26953125" style="329" customWidth="1"/>
    <col min="7427" max="7427" width="27.453125" style="329" customWidth="1"/>
    <col min="7428" max="7429" width="9.54296875" style="329" customWidth="1"/>
    <col min="7430" max="7430" width="9.7265625" style="329" customWidth="1"/>
    <col min="7431" max="7431" width="9.54296875" style="329" customWidth="1"/>
    <col min="7432" max="7432" width="12.54296875" style="329" customWidth="1"/>
    <col min="7433" max="7433" width="10" style="329" customWidth="1"/>
    <col min="7434" max="7434" width="9.7265625" style="329" customWidth="1"/>
    <col min="7435" max="7437" width="9.1796875" style="329" customWidth="1"/>
    <col min="7438" max="7681" width="9.1796875" style="329"/>
    <col min="7682" max="7682" width="13.26953125" style="329" customWidth="1"/>
    <col min="7683" max="7683" width="27.453125" style="329" customWidth="1"/>
    <col min="7684" max="7685" width="9.54296875" style="329" customWidth="1"/>
    <col min="7686" max="7686" width="9.7265625" style="329" customWidth="1"/>
    <col min="7687" max="7687" width="9.54296875" style="329" customWidth="1"/>
    <col min="7688" max="7688" width="12.54296875" style="329" customWidth="1"/>
    <col min="7689" max="7689" width="10" style="329" customWidth="1"/>
    <col min="7690" max="7690" width="9.7265625" style="329" customWidth="1"/>
    <col min="7691" max="7693" width="9.1796875" style="329" customWidth="1"/>
    <col min="7694" max="7937" width="9.1796875" style="329"/>
    <col min="7938" max="7938" width="13.26953125" style="329" customWidth="1"/>
    <col min="7939" max="7939" width="27.453125" style="329" customWidth="1"/>
    <col min="7940" max="7941" width="9.54296875" style="329" customWidth="1"/>
    <col min="7942" max="7942" width="9.7265625" style="329" customWidth="1"/>
    <col min="7943" max="7943" width="9.54296875" style="329" customWidth="1"/>
    <col min="7944" max="7944" width="12.54296875" style="329" customWidth="1"/>
    <col min="7945" max="7945" width="10" style="329" customWidth="1"/>
    <col min="7946" max="7946" width="9.7265625" style="329" customWidth="1"/>
    <col min="7947" max="7949" width="9.1796875" style="329" customWidth="1"/>
    <col min="7950" max="8193" width="9.1796875" style="329"/>
    <col min="8194" max="8194" width="13.26953125" style="329" customWidth="1"/>
    <col min="8195" max="8195" width="27.453125" style="329" customWidth="1"/>
    <col min="8196" max="8197" width="9.54296875" style="329" customWidth="1"/>
    <col min="8198" max="8198" width="9.7265625" style="329" customWidth="1"/>
    <col min="8199" max="8199" width="9.54296875" style="329" customWidth="1"/>
    <col min="8200" max="8200" width="12.54296875" style="329" customWidth="1"/>
    <col min="8201" max="8201" width="10" style="329" customWidth="1"/>
    <col min="8202" max="8202" width="9.7265625" style="329" customWidth="1"/>
    <col min="8203" max="8205" width="9.1796875" style="329" customWidth="1"/>
    <col min="8206" max="8449" width="9.1796875" style="329"/>
    <col min="8450" max="8450" width="13.26953125" style="329" customWidth="1"/>
    <col min="8451" max="8451" width="27.453125" style="329" customWidth="1"/>
    <col min="8452" max="8453" width="9.54296875" style="329" customWidth="1"/>
    <col min="8454" max="8454" width="9.7265625" style="329" customWidth="1"/>
    <col min="8455" max="8455" width="9.54296875" style="329" customWidth="1"/>
    <col min="8456" max="8456" width="12.54296875" style="329" customWidth="1"/>
    <col min="8457" max="8457" width="10" style="329" customWidth="1"/>
    <col min="8458" max="8458" width="9.7265625" style="329" customWidth="1"/>
    <col min="8459" max="8461" width="9.1796875" style="329" customWidth="1"/>
    <col min="8462" max="8705" width="9.1796875" style="329"/>
    <col min="8706" max="8706" width="13.26953125" style="329" customWidth="1"/>
    <col min="8707" max="8707" width="27.453125" style="329" customWidth="1"/>
    <col min="8708" max="8709" width="9.54296875" style="329" customWidth="1"/>
    <col min="8710" max="8710" width="9.7265625" style="329" customWidth="1"/>
    <col min="8711" max="8711" width="9.54296875" style="329" customWidth="1"/>
    <col min="8712" max="8712" width="12.54296875" style="329" customWidth="1"/>
    <col min="8713" max="8713" width="10" style="329" customWidth="1"/>
    <col min="8714" max="8714" width="9.7265625" style="329" customWidth="1"/>
    <col min="8715" max="8717" width="9.1796875" style="329" customWidth="1"/>
    <col min="8718" max="8961" width="9.1796875" style="329"/>
    <col min="8962" max="8962" width="13.26953125" style="329" customWidth="1"/>
    <col min="8963" max="8963" width="27.453125" style="329" customWidth="1"/>
    <col min="8964" max="8965" width="9.54296875" style="329" customWidth="1"/>
    <col min="8966" max="8966" width="9.7265625" style="329" customWidth="1"/>
    <col min="8967" max="8967" width="9.54296875" style="329" customWidth="1"/>
    <col min="8968" max="8968" width="12.54296875" style="329" customWidth="1"/>
    <col min="8969" max="8969" width="10" style="329" customWidth="1"/>
    <col min="8970" max="8970" width="9.7265625" style="329" customWidth="1"/>
    <col min="8971" max="8973" width="9.1796875" style="329" customWidth="1"/>
    <col min="8974" max="9217" width="9.1796875" style="329"/>
    <col min="9218" max="9218" width="13.26953125" style="329" customWidth="1"/>
    <col min="9219" max="9219" width="27.453125" style="329" customWidth="1"/>
    <col min="9220" max="9221" width="9.54296875" style="329" customWidth="1"/>
    <col min="9222" max="9222" width="9.7265625" style="329" customWidth="1"/>
    <col min="9223" max="9223" width="9.54296875" style="329" customWidth="1"/>
    <col min="9224" max="9224" width="12.54296875" style="329" customWidth="1"/>
    <col min="9225" max="9225" width="10" style="329" customWidth="1"/>
    <col min="9226" max="9226" width="9.7265625" style="329" customWidth="1"/>
    <col min="9227" max="9229" width="9.1796875" style="329" customWidth="1"/>
    <col min="9230" max="9473" width="9.1796875" style="329"/>
    <col min="9474" max="9474" width="13.26953125" style="329" customWidth="1"/>
    <col min="9475" max="9475" width="27.453125" style="329" customWidth="1"/>
    <col min="9476" max="9477" width="9.54296875" style="329" customWidth="1"/>
    <col min="9478" max="9478" width="9.7265625" style="329" customWidth="1"/>
    <col min="9479" max="9479" width="9.54296875" style="329" customWidth="1"/>
    <col min="9480" max="9480" width="12.54296875" style="329" customWidth="1"/>
    <col min="9481" max="9481" width="10" style="329" customWidth="1"/>
    <col min="9482" max="9482" width="9.7265625" style="329" customWidth="1"/>
    <col min="9483" max="9485" width="9.1796875" style="329" customWidth="1"/>
    <col min="9486" max="9729" width="9.1796875" style="329"/>
    <col min="9730" max="9730" width="13.26953125" style="329" customWidth="1"/>
    <col min="9731" max="9731" width="27.453125" style="329" customWidth="1"/>
    <col min="9732" max="9733" width="9.54296875" style="329" customWidth="1"/>
    <col min="9734" max="9734" width="9.7265625" style="329" customWidth="1"/>
    <col min="9735" max="9735" width="9.54296875" style="329" customWidth="1"/>
    <col min="9736" max="9736" width="12.54296875" style="329" customWidth="1"/>
    <col min="9737" max="9737" width="10" style="329" customWidth="1"/>
    <col min="9738" max="9738" width="9.7265625" style="329" customWidth="1"/>
    <col min="9739" max="9741" width="9.1796875" style="329" customWidth="1"/>
    <col min="9742" max="9985" width="9.1796875" style="329"/>
    <col min="9986" max="9986" width="13.26953125" style="329" customWidth="1"/>
    <col min="9987" max="9987" width="27.453125" style="329" customWidth="1"/>
    <col min="9988" max="9989" width="9.54296875" style="329" customWidth="1"/>
    <col min="9990" max="9990" width="9.7265625" style="329" customWidth="1"/>
    <col min="9991" max="9991" width="9.54296875" style="329" customWidth="1"/>
    <col min="9992" max="9992" width="12.54296875" style="329" customWidth="1"/>
    <col min="9993" max="9993" width="10" style="329" customWidth="1"/>
    <col min="9994" max="9994" width="9.7265625" style="329" customWidth="1"/>
    <col min="9995" max="9997" width="9.1796875" style="329" customWidth="1"/>
    <col min="9998" max="10241" width="9.1796875" style="329"/>
    <col min="10242" max="10242" width="13.26953125" style="329" customWidth="1"/>
    <col min="10243" max="10243" width="27.453125" style="329" customWidth="1"/>
    <col min="10244" max="10245" width="9.54296875" style="329" customWidth="1"/>
    <col min="10246" max="10246" width="9.7265625" style="329" customWidth="1"/>
    <col min="10247" max="10247" width="9.54296875" style="329" customWidth="1"/>
    <col min="10248" max="10248" width="12.54296875" style="329" customWidth="1"/>
    <col min="10249" max="10249" width="10" style="329" customWidth="1"/>
    <col min="10250" max="10250" width="9.7265625" style="329" customWidth="1"/>
    <col min="10251" max="10253" width="9.1796875" style="329" customWidth="1"/>
    <col min="10254" max="10497" width="9.1796875" style="329"/>
    <col min="10498" max="10498" width="13.26953125" style="329" customWidth="1"/>
    <col min="10499" max="10499" width="27.453125" style="329" customWidth="1"/>
    <col min="10500" max="10501" width="9.54296875" style="329" customWidth="1"/>
    <col min="10502" max="10502" width="9.7265625" style="329" customWidth="1"/>
    <col min="10503" max="10503" width="9.54296875" style="329" customWidth="1"/>
    <col min="10504" max="10504" width="12.54296875" style="329" customWidth="1"/>
    <col min="10505" max="10505" width="10" style="329" customWidth="1"/>
    <col min="10506" max="10506" width="9.7265625" style="329" customWidth="1"/>
    <col min="10507" max="10509" width="9.1796875" style="329" customWidth="1"/>
    <col min="10510" max="10753" width="9.1796875" style="329"/>
    <col min="10754" max="10754" width="13.26953125" style="329" customWidth="1"/>
    <col min="10755" max="10755" width="27.453125" style="329" customWidth="1"/>
    <col min="10756" max="10757" width="9.54296875" style="329" customWidth="1"/>
    <col min="10758" max="10758" width="9.7265625" style="329" customWidth="1"/>
    <col min="10759" max="10759" width="9.54296875" style="329" customWidth="1"/>
    <col min="10760" max="10760" width="12.54296875" style="329" customWidth="1"/>
    <col min="10761" max="10761" width="10" style="329" customWidth="1"/>
    <col min="10762" max="10762" width="9.7265625" style="329" customWidth="1"/>
    <col min="10763" max="10765" width="9.1796875" style="329" customWidth="1"/>
    <col min="10766" max="11009" width="9.1796875" style="329"/>
    <col min="11010" max="11010" width="13.26953125" style="329" customWidth="1"/>
    <col min="11011" max="11011" width="27.453125" style="329" customWidth="1"/>
    <col min="11012" max="11013" width="9.54296875" style="329" customWidth="1"/>
    <col min="11014" max="11014" width="9.7265625" style="329" customWidth="1"/>
    <col min="11015" max="11015" width="9.54296875" style="329" customWidth="1"/>
    <col min="11016" max="11016" width="12.54296875" style="329" customWidth="1"/>
    <col min="11017" max="11017" width="10" style="329" customWidth="1"/>
    <col min="11018" max="11018" width="9.7265625" style="329" customWidth="1"/>
    <col min="11019" max="11021" width="9.1796875" style="329" customWidth="1"/>
    <col min="11022" max="11265" width="9.1796875" style="329"/>
    <col min="11266" max="11266" width="13.26953125" style="329" customWidth="1"/>
    <col min="11267" max="11267" width="27.453125" style="329" customWidth="1"/>
    <col min="11268" max="11269" width="9.54296875" style="329" customWidth="1"/>
    <col min="11270" max="11270" width="9.7265625" style="329" customWidth="1"/>
    <col min="11271" max="11271" width="9.54296875" style="329" customWidth="1"/>
    <col min="11272" max="11272" width="12.54296875" style="329" customWidth="1"/>
    <col min="11273" max="11273" width="10" style="329" customWidth="1"/>
    <col min="11274" max="11274" width="9.7265625" style="329" customWidth="1"/>
    <col min="11275" max="11277" width="9.1796875" style="329" customWidth="1"/>
    <col min="11278" max="11521" width="9.1796875" style="329"/>
    <col min="11522" max="11522" width="13.26953125" style="329" customWidth="1"/>
    <col min="11523" max="11523" width="27.453125" style="329" customWidth="1"/>
    <col min="11524" max="11525" width="9.54296875" style="329" customWidth="1"/>
    <col min="11526" max="11526" width="9.7265625" style="329" customWidth="1"/>
    <col min="11527" max="11527" width="9.54296875" style="329" customWidth="1"/>
    <col min="11528" max="11528" width="12.54296875" style="329" customWidth="1"/>
    <col min="11529" max="11529" width="10" style="329" customWidth="1"/>
    <col min="11530" max="11530" width="9.7265625" style="329" customWidth="1"/>
    <col min="11531" max="11533" width="9.1796875" style="329" customWidth="1"/>
    <col min="11534" max="11777" width="9.1796875" style="329"/>
    <col min="11778" max="11778" width="13.26953125" style="329" customWidth="1"/>
    <col min="11779" max="11779" width="27.453125" style="329" customWidth="1"/>
    <col min="11780" max="11781" width="9.54296875" style="329" customWidth="1"/>
    <col min="11782" max="11782" width="9.7265625" style="329" customWidth="1"/>
    <col min="11783" max="11783" width="9.54296875" style="329" customWidth="1"/>
    <col min="11784" max="11784" width="12.54296875" style="329" customWidth="1"/>
    <col min="11785" max="11785" width="10" style="329" customWidth="1"/>
    <col min="11786" max="11786" width="9.7265625" style="329" customWidth="1"/>
    <col min="11787" max="11789" width="9.1796875" style="329" customWidth="1"/>
    <col min="11790" max="12033" width="9.1796875" style="329"/>
    <col min="12034" max="12034" width="13.26953125" style="329" customWidth="1"/>
    <col min="12035" max="12035" width="27.453125" style="329" customWidth="1"/>
    <col min="12036" max="12037" width="9.54296875" style="329" customWidth="1"/>
    <col min="12038" max="12038" width="9.7265625" style="329" customWidth="1"/>
    <col min="12039" max="12039" width="9.54296875" style="329" customWidth="1"/>
    <col min="12040" max="12040" width="12.54296875" style="329" customWidth="1"/>
    <col min="12041" max="12041" width="10" style="329" customWidth="1"/>
    <col min="12042" max="12042" width="9.7265625" style="329" customWidth="1"/>
    <col min="12043" max="12045" width="9.1796875" style="329" customWidth="1"/>
    <col min="12046" max="12289" width="9.1796875" style="329"/>
    <col min="12290" max="12290" width="13.26953125" style="329" customWidth="1"/>
    <col min="12291" max="12291" width="27.453125" style="329" customWidth="1"/>
    <col min="12292" max="12293" width="9.54296875" style="329" customWidth="1"/>
    <col min="12294" max="12294" width="9.7265625" style="329" customWidth="1"/>
    <col min="12295" max="12295" width="9.54296875" style="329" customWidth="1"/>
    <col min="12296" max="12296" width="12.54296875" style="329" customWidth="1"/>
    <col min="12297" max="12297" width="10" style="329" customWidth="1"/>
    <col min="12298" max="12298" width="9.7265625" style="329" customWidth="1"/>
    <col min="12299" max="12301" width="9.1796875" style="329" customWidth="1"/>
    <col min="12302" max="12545" width="9.1796875" style="329"/>
    <col min="12546" max="12546" width="13.26953125" style="329" customWidth="1"/>
    <col min="12547" max="12547" width="27.453125" style="329" customWidth="1"/>
    <col min="12548" max="12549" width="9.54296875" style="329" customWidth="1"/>
    <col min="12550" max="12550" width="9.7265625" style="329" customWidth="1"/>
    <col min="12551" max="12551" width="9.54296875" style="329" customWidth="1"/>
    <col min="12552" max="12552" width="12.54296875" style="329" customWidth="1"/>
    <col min="12553" max="12553" width="10" style="329" customWidth="1"/>
    <col min="12554" max="12554" width="9.7265625" style="329" customWidth="1"/>
    <col min="12555" max="12557" width="9.1796875" style="329" customWidth="1"/>
    <col min="12558" max="12801" width="9.1796875" style="329"/>
    <col min="12802" max="12802" width="13.26953125" style="329" customWidth="1"/>
    <col min="12803" max="12803" width="27.453125" style="329" customWidth="1"/>
    <col min="12804" max="12805" width="9.54296875" style="329" customWidth="1"/>
    <col min="12806" max="12806" width="9.7265625" style="329" customWidth="1"/>
    <col min="12807" max="12807" width="9.54296875" style="329" customWidth="1"/>
    <col min="12808" max="12808" width="12.54296875" style="329" customWidth="1"/>
    <col min="12809" max="12809" width="10" style="329" customWidth="1"/>
    <col min="12810" max="12810" width="9.7265625" style="329" customWidth="1"/>
    <col min="12811" max="12813" width="9.1796875" style="329" customWidth="1"/>
    <col min="12814" max="13057" width="9.1796875" style="329"/>
    <col min="13058" max="13058" width="13.26953125" style="329" customWidth="1"/>
    <col min="13059" max="13059" width="27.453125" style="329" customWidth="1"/>
    <col min="13060" max="13061" width="9.54296875" style="329" customWidth="1"/>
    <col min="13062" max="13062" width="9.7265625" style="329" customWidth="1"/>
    <col min="13063" max="13063" width="9.54296875" style="329" customWidth="1"/>
    <col min="13064" max="13064" width="12.54296875" style="329" customWidth="1"/>
    <col min="13065" max="13065" width="10" style="329" customWidth="1"/>
    <col min="13066" max="13066" width="9.7265625" style="329" customWidth="1"/>
    <col min="13067" max="13069" width="9.1796875" style="329" customWidth="1"/>
    <col min="13070" max="13313" width="9.1796875" style="329"/>
    <col min="13314" max="13314" width="13.26953125" style="329" customWidth="1"/>
    <col min="13315" max="13315" width="27.453125" style="329" customWidth="1"/>
    <col min="13316" max="13317" width="9.54296875" style="329" customWidth="1"/>
    <col min="13318" max="13318" width="9.7265625" style="329" customWidth="1"/>
    <col min="13319" max="13319" width="9.54296875" style="329" customWidth="1"/>
    <col min="13320" max="13320" width="12.54296875" style="329" customWidth="1"/>
    <col min="13321" max="13321" width="10" style="329" customWidth="1"/>
    <col min="13322" max="13322" width="9.7265625" style="329" customWidth="1"/>
    <col min="13323" max="13325" width="9.1796875" style="329" customWidth="1"/>
    <col min="13326" max="13569" width="9.1796875" style="329"/>
    <col min="13570" max="13570" width="13.26953125" style="329" customWidth="1"/>
    <col min="13571" max="13571" width="27.453125" style="329" customWidth="1"/>
    <col min="13572" max="13573" width="9.54296875" style="329" customWidth="1"/>
    <col min="13574" max="13574" width="9.7265625" style="329" customWidth="1"/>
    <col min="13575" max="13575" width="9.54296875" style="329" customWidth="1"/>
    <col min="13576" max="13576" width="12.54296875" style="329" customWidth="1"/>
    <col min="13577" max="13577" width="10" style="329" customWidth="1"/>
    <col min="13578" max="13578" width="9.7265625" style="329" customWidth="1"/>
    <col min="13579" max="13581" width="9.1796875" style="329" customWidth="1"/>
    <col min="13582" max="13825" width="9.1796875" style="329"/>
    <col min="13826" max="13826" width="13.26953125" style="329" customWidth="1"/>
    <col min="13827" max="13827" width="27.453125" style="329" customWidth="1"/>
    <col min="13828" max="13829" width="9.54296875" style="329" customWidth="1"/>
    <col min="13830" max="13830" width="9.7265625" style="329" customWidth="1"/>
    <col min="13831" max="13831" width="9.54296875" style="329" customWidth="1"/>
    <col min="13832" max="13832" width="12.54296875" style="329" customWidth="1"/>
    <col min="13833" max="13833" width="10" style="329" customWidth="1"/>
    <col min="13834" max="13834" width="9.7265625" style="329" customWidth="1"/>
    <col min="13835" max="13837" width="9.1796875" style="329" customWidth="1"/>
    <col min="13838" max="14081" width="9.1796875" style="329"/>
    <col min="14082" max="14082" width="13.26953125" style="329" customWidth="1"/>
    <col min="14083" max="14083" width="27.453125" style="329" customWidth="1"/>
    <col min="14084" max="14085" width="9.54296875" style="329" customWidth="1"/>
    <col min="14086" max="14086" width="9.7265625" style="329" customWidth="1"/>
    <col min="14087" max="14087" width="9.54296875" style="329" customWidth="1"/>
    <col min="14088" max="14088" width="12.54296875" style="329" customWidth="1"/>
    <col min="14089" max="14089" width="10" style="329" customWidth="1"/>
    <col min="14090" max="14090" width="9.7265625" style="329" customWidth="1"/>
    <col min="14091" max="14093" width="9.1796875" style="329" customWidth="1"/>
    <col min="14094" max="14337" width="9.1796875" style="329"/>
    <col min="14338" max="14338" width="13.26953125" style="329" customWidth="1"/>
    <col min="14339" max="14339" width="27.453125" style="329" customWidth="1"/>
    <col min="14340" max="14341" width="9.54296875" style="329" customWidth="1"/>
    <col min="14342" max="14342" width="9.7265625" style="329" customWidth="1"/>
    <col min="14343" max="14343" width="9.54296875" style="329" customWidth="1"/>
    <col min="14344" max="14344" width="12.54296875" style="329" customWidth="1"/>
    <col min="14345" max="14345" width="10" style="329" customWidth="1"/>
    <col min="14346" max="14346" width="9.7265625" style="329" customWidth="1"/>
    <col min="14347" max="14349" width="9.1796875" style="329" customWidth="1"/>
    <col min="14350" max="14593" width="9.1796875" style="329"/>
    <col min="14594" max="14594" width="13.26953125" style="329" customWidth="1"/>
    <col min="14595" max="14595" width="27.453125" style="329" customWidth="1"/>
    <col min="14596" max="14597" width="9.54296875" style="329" customWidth="1"/>
    <col min="14598" max="14598" width="9.7265625" style="329" customWidth="1"/>
    <col min="14599" max="14599" width="9.54296875" style="329" customWidth="1"/>
    <col min="14600" max="14600" width="12.54296875" style="329" customWidth="1"/>
    <col min="14601" max="14601" width="10" style="329" customWidth="1"/>
    <col min="14602" max="14602" width="9.7265625" style="329" customWidth="1"/>
    <col min="14603" max="14605" width="9.1796875" style="329" customWidth="1"/>
    <col min="14606" max="14849" width="9.1796875" style="329"/>
    <col min="14850" max="14850" width="13.26953125" style="329" customWidth="1"/>
    <col min="14851" max="14851" width="27.453125" style="329" customWidth="1"/>
    <col min="14852" max="14853" width="9.54296875" style="329" customWidth="1"/>
    <col min="14854" max="14854" width="9.7265625" style="329" customWidth="1"/>
    <col min="14855" max="14855" width="9.54296875" style="329" customWidth="1"/>
    <col min="14856" max="14856" width="12.54296875" style="329" customWidth="1"/>
    <col min="14857" max="14857" width="10" style="329" customWidth="1"/>
    <col min="14858" max="14858" width="9.7265625" style="329" customWidth="1"/>
    <col min="14859" max="14861" width="9.1796875" style="329" customWidth="1"/>
    <col min="14862" max="15105" width="9.1796875" style="329"/>
    <col min="15106" max="15106" width="13.26953125" style="329" customWidth="1"/>
    <col min="15107" max="15107" width="27.453125" style="329" customWidth="1"/>
    <col min="15108" max="15109" width="9.54296875" style="329" customWidth="1"/>
    <col min="15110" max="15110" width="9.7265625" style="329" customWidth="1"/>
    <col min="15111" max="15111" width="9.54296875" style="329" customWidth="1"/>
    <col min="15112" max="15112" width="12.54296875" style="329" customWidth="1"/>
    <col min="15113" max="15113" width="10" style="329" customWidth="1"/>
    <col min="15114" max="15114" width="9.7265625" style="329" customWidth="1"/>
    <col min="15115" max="15117" width="9.1796875" style="329" customWidth="1"/>
    <col min="15118" max="15361" width="9.1796875" style="329"/>
    <col min="15362" max="15362" width="13.26953125" style="329" customWidth="1"/>
    <col min="15363" max="15363" width="27.453125" style="329" customWidth="1"/>
    <col min="15364" max="15365" width="9.54296875" style="329" customWidth="1"/>
    <col min="15366" max="15366" width="9.7265625" style="329" customWidth="1"/>
    <col min="15367" max="15367" width="9.54296875" style="329" customWidth="1"/>
    <col min="15368" max="15368" width="12.54296875" style="329" customWidth="1"/>
    <col min="15369" max="15369" width="10" style="329" customWidth="1"/>
    <col min="15370" max="15370" width="9.7265625" style="329" customWidth="1"/>
    <col min="15371" max="15373" width="9.1796875" style="329" customWidth="1"/>
    <col min="15374" max="15617" width="9.1796875" style="329"/>
    <col min="15618" max="15618" width="13.26953125" style="329" customWidth="1"/>
    <col min="15619" max="15619" width="27.453125" style="329" customWidth="1"/>
    <col min="15620" max="15621" width="9.54296875" style="329" customWidth="1"/>
    <col min="15622" max="15622" width="9.7265625" style="329" customWidth="1"/>
    <col min="15623" max="15623" width="9.54296875" style="329" customWidth="1"/>
    <col min="15624" max="15624" width="12.54296875" style="329" customWidth="1"/>
    <col min="15625" max="15625" width="10" style="329" customWidth="1"/>
    <col min="15626" max="15626" width="9.7265625" style="329" customWidth="1"/>
    <col min="15627" max="15629" width="9.1796875" style="329" customWidth="1"/>
    <col min="15630" max="15873" width="9.1796875" style="329"/>
    <col min="15874" max="15874" width="13.26953125" style="329" customWidth="1"/>
    <col min="15875" max="15875" width="27.453125" style="329" customWidth="1"/>
    <col min="15876" max="15877" width="9.54296875" style="329" customWidth="1"/>
    <col min="15878" max="15878" width="9.7265625" style="329" customWidth="1"/>
    <col min="15879" max="15879" width="9.54296875" style="329" customWidth="1"/>
    <col min="15880" max="15880" width="12.54296875" style="329" customWidth="1"/>
    <col min="15881" max="15881" width="10" style="329" customWidth="1"/>
    <col min="15882" max="15882" width="9.7265625" style="329" customWidth="1"/>
    <col min="15883" max="15885" width="9.1796875" style="329" customWidth="1"/>
    <col min="15886" max="16129" width="9.1796875" style="329"/>
    <col min="16130" max="16130" width="13.26953125" style="329" customWidth="1"/>
    <col min="16131" max="16131" width="27.453125" style="329" customWidth="1"/>
    <col min="16132" max="16133" width="9.54296875" style="329" customWidth="1"/>
    <col min="16134" max="16134" width="9.7265625" style="329" customWidth="1"/>
    <col min="16135" max="16135" width="9.54296875" style="329" customWidth="1"/>
    <col min="16136" max="16136" width="12.54296875" style="329" customWidth="1"/>
    <col min="16137" max="16137" width="10" style="329" customWidth="1"/>
    <col min="16138" max="16138" width="9.7265625" style="329" customWidth="1"/>
    <col min="16139" max="16141" width="9.1796875" style="329" customWidth="1"/>
    <col min="16142" max="16384" width="9.1796875" style="329"/>
  </cols>
  <sheetData>
    <row r="1" spans="1:19" x14ac:dyDescent="0.35">
      <c r="B1" s="1120" t="s">
        <v>0</v>
      </c>
      <c r="C1" s="1120"/>
      <c r="D1" s="1120"/>
      <c r="E1" s="1120"/>
      <c r="F1" s="1120"/>
      <c r="G1" s="1120"/>
      <c r="H1" s="1120"/>
      <c r="I1" s="1120"/>
      <c r="J1" s="1120"/>
      <c r="K1" s="361"/>
      <c r="L1" s="329"/>
      <c r="M1" s="355"/>
      <c r="N1" s="354"/>
    </row>
    <row r="2" spans="1:19" x14ac:dyDescent="0.35">
      <c r="B2" s="1120" t="s">
        <v>297</v>
      </c>
      <c r="C2" s="1120"/>
      <c r="D2" s="1120"/>
      <c r="E2" s="1120"/>
      <c r="F2" s="1120"/>
      <c r="G2" s="1120"/>
      <c r="H2" s="1120"/>
      <c r="I2" s="1120"/>
      <c r="J2" s="1120"/>
      <c r="K2" s="361"/>
      <c r="L2" s="329"/>
      <c r="M2" s="355"/>
      <c r="N2" s="354"/>
    </row>
    <row r="3" spans="1:19" x14ac:dyDescent="0.35">
      <c r="B3" s="1119" t="s">
        <v>866</v>
      </c>
      <c r="C3" s="1119"/>
      <c r="D3" s="1119"/>
      <c r="E3" s="1119"/>
      <c r="F3" s="1119"/>
      <c r="G3" s="1119"/>
      <c r="H3" s="1119"/>
      <c r="I3" s="1119"/>
      <c r="J3" s="1119"/>
      <c r="K3" s="361"/>
      <c r="L3" s="329"/>
      <c r="M3" s="355"/>
      <c r="N3" s="354"/>
    </row>
    <row r="4" spans="1:19" x14ac:dyDescent="0.35">
      <c r="B4" s="371"/>
      <c r="C4" s="371"/>
      <c r="D4" s="371"/>
      <c r="E4" s="371"/>
      <c r="F4" s="371"/>
      <c r="G4" s="371"/>
      <c r="H4" s="371"/>
      <c r="I4" s="371"/>
      <c r="J4" s="371"/>
      <c r="K4" s="361"/>
      <c r="L4" s="371"/>
      <c r="M4" s="355"/>
      <c r="N4" s="354"/>
    </row>
    <row r="5" spans="1:19" s="317" customFormat="1" ht="20.149999999999999" customHeight="1" x14ac:dyDescent="0.35">
      <c r="B5" s="366" t="s">
        <v>302</v>
      </c>
      <c r="C5" s="365" t="s">
        <v>28</v>
      </c>
      <c r="D5" s="1255" t="s">
        <v>847</v>
      </c>
      <c r="E5" s="1252" t="s">
        <v>729</v>
      </c>
      <c r="F5" s="1253" t="s">
        <v>728</v>
      </c>
      <c r="G5" s="1253"/>
      <c r="H5" s="1253"/>
      <c r="I5" s="1253"/>
      <c r="J5" s="1254" t="s">
        <v>29</v>
      </c>
      <c r="K5" s="364" t="s">
        <v>303</v>
      </c>
      <c r="L5" s="365" t="s">
        <v>306</v>
      </c>
      <c r="M5" s="451"/>
      <c r="N5" s="319"/>
    </row>
    <row r="6" spans="1:19" s="317" customFormat="1" ht="19.5" customHeight="1" x14ac:dyDescent="0.35">
      <c r="B6" s="368"/>
      <c r="C6" s="369"/>
      <c r="D6" s="1256"/>
      <c r="E6" s="1252"/>
      <c r="F6" s="370" t="s">
        <v>308</v>
      </c>
      <c r="G6" s="370" t="s">
        <v>309</v>
      </c>
      <c r="H6" s="370" t="s">
        <v>310</v>
      </c>
      <c r="I6" s="370" t="s">
        <v>311</v>
      </c>
      <c r="J6" s="1254"/>
      <c r="K6" s="364"/>
      <c r="L6" s="367"/>
      <c r="M6" s="451"/>
      <c r="N6" s="319"/>
      <c r="O6" s="320"/>
      <c r="Q6" s="320"/>
    </row>
    <row r="7" spans="1:19" ht="18.75" customHeight="1" x14ac:dyDescent="0.35">
      <c r="B7" s="384" t="s">
        <v>3</v>
      </c>
      <c r="C7" s="382"/>
      <c r="D7" s="382"/>
      <c r="E7" s="382"/>
      <c r="F7" s="382"/>
      <c r="G7" s="382"/>
      <c r="H7" s="382"/>
      <c r="I7" s="382"/>
      <c r="J7" s="383"/>
      <c r="L7" s="329"/>
    </row>
    <row r="8" spans="1:19" ht="20.149999999999999" customHeight="1" x14ac:dyDescent="0.35">
      <c r="A8" s="329">
        <v>1</v>
      </c>
      <c r="B8" s="321">
        <v>219</v>
      </c>
      <c r="C8" s="330" t="s">
        <v>214</v>
      </c>
      <c r="D8" s="330"/>
      <c r="E8" s="323">
        <f>'[1]road inventory 2018'!C10</f>
        <v>0.65</v>
      </c>
      <c r="F8" s="323">
        <v>0.25</v>
      </c>
      <c r="G8" s="323">
        <v>0</v>
      </c>
      <c r="H8" s="323">
        <v>0</v>
      </c>
      <c r="I8" s="323">
        <v>0.4</v>
      </c>
      <c r="J8" s="325" t="s">
        <v>12</v>
      </c>
      <c r="K8" s="323">
        <f t="shared" ref="K8:K31" si="0">SUM(F8:I8)</f>
        <v>0.65</v>
      </c>
      <c r="L8" s="326" t="s">
        <v>313</v>
      </c>
      <c r="M8" s="363"/>
      <c r="N8" s="328"/>
    </row>
    <row r="9" spans="1:19" ht="20.149999999999999" customHeight="1" x14ac:dyDescent="0.35">
      <c r="A9" s="329">
        <v>2</v>
      </c>
      <c r="B9" s="321">
        <v>1</v>
      </c>
      <c r="C9" s="330" t="s">
        <v>314</v>
      </c>
      <c r="D9" s="330"/>
      <c r="E9" s="323">
        <f>'[1]road inventory 2018'!C11</f>
        <v>5.5</v>
      </c>
      <c r="F9" s="323">
        <v>4.88</v>
      </c>
      <c r="G9" s="323">
        <v>0</v>
      </c>
      <c r="H9" s="323">
        <v>0</v>
      </c>
      <c r="I9" s="323">
        <v>0.62</v>
      </c>
      <c r="J9" s="326" t="s">
        <v>10</v>
      </c>
      <c r="K9" s="323">
        <f t="shared" si="0"/>
        <v>5.5</v>
      </c>
      <c r="L9" s="326" t="s">
        <v>315</v>
      </c>
      <c r="M9" s="363"/>
      <c r="N9" s="328"/>
      <c r="O9" s="331"/>
      <c r="Q9" s="331"/>
      <c r="S9" s="331"/>
    </row>
    <row r="10" spans="1:19" ht="20.149999999999999" customHeight="1" x14ac:dyDescent="0.35">
      <c r="A10" s="329">
        <v>3</v>
      </c>
      <c r="B10" s="321">
        <v>2</v>
      </c>
      <c r="C10" s="330" t="s">
        <v>212</v>
      </c>
      <c r="D10" s="330"/>
      <c r="E10" s="323">
        <f>'[1]road inventory 2018'!C12</f>
        <v>0.8</v>
      </c>
      <c r="F10" s="323">
        <v>7.0000000000000007E-2</v>
      </c>
      <c r="G10" s="323">
        <v>0</v>
      </c>
      <c r="H10" s="323">
        <v>0</v>
      </c>
      <c r="I10" s="323">
        <v>0.73</v>
      </c>
      <c r="J10" s="326" t="s">
        <v>12</v>
      </c>
      <c r="K10" s="323">
        <f t="shared" si="0"/>
        <v>0.8</v>
      </c>
      <c r="L10" s="326" t="s">
        <v>316</v>
      </c>
      <c r="M10" s="363"/>
      <c r="N10" s="328"/>
    </row>
    <row r="11" spans="1:19" ht="20.149999999999999" customHeight="1" x14ac:dyDescent="0.35">
      <c r="A11" s="329">
        <v>4</v>
      </c>
      <c r="B11" s="321">
        <v>3</v>
      </c>
      <c r="C11" s="330" t="s">
        <v>217</v>
      </c>
      <c r="D11" s="330"/>
      <c r="E11" s="323">
        <f>'[1]road inventory 2018'!C13</f>
        <v>4.9000000000000004</v>
      </c>
      <c r="F11" s="323">
        <v>0</v>
      </c>
      <c r="G11" s="323">
        <v>0</v>
      </c>
      <c r="H11" s="323">
        <v>0</v>
      </c>
      <c r="I11" s="323">
        <v>4.9000000000000004</v>
      </c>
      <c r="J11" s="325" t="s">
        <v>12</v>
      </c>
      <c r="K11" s="323">
        <f t="shared" si="0"/>
        <v>4.9000000000000004</v>
      </c>
      <c r="L11" s="326" t="s">
        <v>318</v>
      </c>
      <c r="M11" s="363"/>
      <c r="N11" s="328"/>
      <c r="O11" s="331"/>
    </row>
    <row r="12" spans="1:19" ht="20.149999999999999" customHeight="1" x14ac:dyDescent="0.35">
      <c r="A12" s="329">
        <v>5</v>
      </c>
      <c r="B12" s="321">
        <v>4</v>
      </c>
      <c r="C12" s="330" t="s">
        <v>211</v>
      </c>
      <c r="D12" s="330"/>
      <c r="E12" s="323">
        <f>'[1]road inventory 2018'!C14</f>
        <v>2.7</v>
      </c>
      <c r="F12" s="323">
        <v>0</v>
      </c>
      <c r="G12" s="323">
        <v>0</v>
      </c>
      <c r="H12" s="323">
        <v>0</v>
      </c>
      <c r="I12" s="323">
        <v>2.7</v>
      </c>
      <c r="J12" s="325" t="s">
        <v>12</v>
      </c>
      <c r="K12" s="323">
        <f t="shared" si="0"/>
        <v>2.7</v>
      </c>
      <c r="L12" s="326" t="s">
        <v>320</v>
      </c>
      <c r="M12" s="363"/>
      <c r="N12" s="328"/>
    </row>
    <row r="13" spans="1:19" ht="20.149999999999999" customHeight="1" x14ac:dyDescent="0.35">
      <c r="A13" s="329">
        <v>6</v>
      </c>
      <c r="B13" s="321">
        <v>93</v>
      </c>
      <c r="C13" s="330" t="s">
        <v>13</v>
      </c>
      <c r="D13" s="330"/>
      <c r="E13" s="323">
        <f>'[1]road inventory 2018'!C15</f>
        <v>3.9</v>
      </c>
      <c r="F13" s="323">
        <v>3.79</v>
      </c>
      <c r="G13" s="323">
        <v>0</v>
      </c>
      <c r="H13" s="323">
        <v>0</v>
      </c>
      <c r="I13" s="323">
        <v>0.11</v>
      </c>
      <c r="J13" s="325" t="s">
        <v>12</v>
      </c>
      <c r="K13" s="323">
        <f t="shared" si="0"/>
        <v>3.9</v>
      </c>
      <c r="L13" s="326" t="s">
        <v>320</v>
      </c>
      <c r="M13" s="363"/>
      <c r="N13" s="328"/>
      <c r="O13" s="331"/>
      <c r="Q13" s="331"/>
    </row>
    <row r="14" spans="1:19" ht="20.149999999999999" customHeight="1" x14ac:dyDescent="0.35">
      <c r="A14" s="329">
        <v>7</v>
      </c>
      <c r="B14" s="321">
        <v>218</v>
      </c>
      <c r="C14" s="330" t="s">
        <v>213</v>
      </c>
      <c r="D14" s="330"/>
      <c r="E14" s="323">
        <f>'[1]road inventory 2018'!C16</f>
        <v>5.8</v>
      </c>
      <c r="F14" s="323">
        <v>0</v>
      </c>
      <c r="G14" s="323">
        <v>0</v>
      </c>
      <c r="H14" s="323">
        <v>0</v>
      </c>
      <c r="I14" s="323">
        <v>5.8</v>
      </c>
      <c r="J14" s="325" t="s">
        <v>12</v>
      </c>
      <c r="K14" s="323">
        <f t="shared" si="0"/>
        <v>5.8</v>
      </c>
      <c r="L14" s="326" t="s">
        <v>316</v>
      </c>
      <c r="M14" s="363"/>
      <c r="N14" s="328"/>
      <c r="P14" s="329" t="s">
        <v>299</v>
      </c>
      <c r="Q14" s="327" t="s">
        <v>846</v>
      </c>
    </row>
    <row r="15" spans="1:19" ht="20.149999999999999" customHeight="1" x14ac:dyDescent="0.35">
      <c r="A15" s="329">
        <v>8</v>
      </c>
      <c r="B15" s="321">
        <v>5</v>
      </c>
      <c r="C15" s="330" t="s">
        <v>16</v>
      </c>
      <c r="D15" s="330"/>
      <c r="E15" s="323">
        <f>'[1]road inventory 2018'!C17</f>
        <v>2.8</v>
      </c>
      <c r="F15" s="323">
        <v>2.8</v>
      </c>
      <c r="G15" s="323">
        <v>0</v>
      </c>
      <c r="H15" s="323">
        <v>0</v>
      </c>
      <c r="I15" s="323">
        <v>0</v>
      </c>
      <c r="J15" s="325" t="s">
        <v>12</v>
      </c>
      <c r="K15" s="323">
        <f t="shared" si="0"/>
        <v>2.8</v>
      </c>
      <c r="L15" s="326" t="s">
        <v>320</v>
      </c>
      <c r="M15" s="363"/>
      <c r="N15" s="328"/>
      <c r="O15" s="331"/>
      <c r="P15" s="320">
        <f>E32+E37+E54+E88+E118+E128+E132+E145</f>
        <v>476.35</v>
      </c>
      <c r="Q15" s="331">
        <f>P15+O232</f>
        <v>900.43599999999992</v>
      </c>
    </row>
    <row r="16" spans="1:19" ht="20.149999999999999" customHeight="1" x14ac:dyDescent="0.35">
      <c r="A16" s="329">
        <v>9</v>
      </c>
      <c r="B16" s="321">
        <v>6</v>
      </c>
      <c r="C16" s="330" t="s">
        <v>220</v>
      </c>
      <c r="D16" s="330"/>
      <c r="E16" s="323">
        <f>'[1]road inventory 2018'!C18</f>
        <v>3.9</v>
      </c>
      <c r="F16" s="323">
        <f>2.6+0.9</f>
        <v>3.5</v>
      </c>
      <c r="G16" s="323">
        <v>0</v>
      </c>
      <c r="H16" s="323">
        <v>0</v>
      </c>
      <c r="I16" s="323">
        <v>0.4</v>
      </c>
      <c r="J16" s="325" t="s">
        <v>10</v>
      </c>
      <c r="K16" s="323">
        <f t="shared" si="0"/>
        <v>3.9</v>
      </c>
      <c r="L16" s="326" t="s">
        <v>315</v>
      </c>
      <c r="M16" s="363"/>
      <c r="N16" s="328"/>
      <c r="Q16" s="331">
        <f>Q15+P204</f>
        <v>1250.251</v>
      </c>
    </row>
    <row r="17" spans="1:17" ht="20.149999999999999" customHeight="1" x14ac:dyDescent="0.35">
      <c r="A17" s="329">
        <v>10</v>
      </c>
      <c r="B17" s="321">
        <v>7</v>
      </c>
      <c r="C17" s="330" t="s">
        <v>205</v>
      </c>
      <c r="D17" s="330"/>
      <c r="E17" s="323">
        <f>'[1]road inventory 2018'!C19</f>
        <v>1.1000000000000001</v>
      </c>
      <c r="F17" s="323">
        <v>1.1000000000000001</v>
      </c>
      <c r="G17" s="323">
        <v>0</v>
      </c>
      <c r="H17" s="323">
        <v>0</v>
      </c>
      <c r="I17" s="323">
        <v>0</v>
      </c>
      <c r="J17" s="325" t="s">
        <v>12</v>
      </c>
      <c r="K17" s="323">
        <f t="shared" si="0"/>
        <v>1.1000000000000001</v>
      </c>
      <c r="L17" s="326" t="s">
        <v>321</v>
      </c>
      <c r="M17" s="363"/>
      <c r="N17" s="328"/>
    </row>
    <row r="18" spans="1:17" ht="20.149999999999999" customHeight="1" x14ac:dyDescent="0.35">
      <c r="A18" s="329">
        <v>11</v>
      </c>
      <c r="B18" s="321">
        <v>8</v>
      </c>
      <c r="C18" s="330" t="s">
        <v>324</v>
      </c>
      <c r="D18" s="330"/>
      <c r="E18" s="323">
        <f>'[1]road inventory 2018'!C20</f>
        <v>0.6</v>
      </c>
      <c r="F18" s="323">
        <v>0.6</v>
      </c>
      <c r="G18" s="323">
        <v>0</v>
      </c>
      <c r="H18" s="323">
        <v>0</v>
      </c>
      <c r="I18" s="323">
        <v>0</v>
      </c>
      <c r="J18" s="325" t="s">
        <v>12</v>
      </c>
      <c r="K18" s="323">
        <f t="shared" si="0"/>
        <v>0.6</v>
      </c>
      <c r="L18" s="326" t="s">
        <v>325</v>
      </c>
      <c r="M18" s="363"/>
      <c r="N18" s="328"/>
      <c r="O18" s="331"/>
      <c r="Q18" s="331"/>
    </row>
    <row r="19" spans="1:17" ht="20.149999999999999" customHeight="1" x14ac:dyDescent="0.35">
      <c r="A19" s="329">
        <v>12</v>
      </c>
      <c r="B19" s="321">
        <v>9</v>
      </c>
      <c r="C19" s="330" t="s">
        <v>19</v>
      </c>
      <c r="D19" s="330"/>
      <c r="E19" s="323">
        <f>'[1]road inventory 2018'!C21</f>
        <v>9</v>
      </c>
      <c r="F19" s="323">
        <v>8.6460000000000008</v>
      </c>
      <c r="G19" s="323">
        <v>0</v>
      </c>
      <c r="H19" s="323">
        <v>0</v>
      </c>
      <c r="I19" s="323">
        <v>0.35399999999999998</v>
      </c>
      <c r="J19" s="325" t="s">
        <v>10</v>
      </c>
      <c r="K19" s="323">
        <f t="shared" si="0"/>
        <v>9</v>
      </c>
      <c r="L19" s="326" t="s">
        <v>326</v>
      </c>
      <c r="M19" s="363"/>
      <c r="N19" s="328">
        <v>8.6460000000000008</v>
      </c>
      <c r="O19" s="331"/>
      <c r="Q19" s="331"/>
    </row>
    <row r="20" spans="1:17" ht="20.149999999999999" customHeight="1" x14ac:dyDescent="0.35">
      <c r="A20" s="329">
        <v>13</v>
      </c>
      <c r="B20" s="321">
        <v>10</v>
      </c>
      <c r="C20" s="330" t="s">
        <v>23</v>
      </c>
      <c r="D20" s="330"/>
      <c r="E20" s="323">
        <f>'[1]road inventory 2018'!C22</f>
        <v>13.6</v>
      </c>
      <c r="F20" s="323">
        <f>8.47+1.31+0.34</f>
        <v>10.120000000000001</v>
      </c>
      <c r="G20" s="323">
        <v>0</v>
      </c>
      <c r="H20" s="323">
        <v>0</v>
      </c>
      <c r="I20" s="323">
        <v>3.48</v>
      </c>
      <c r="J20" s="325" t="s">
        <v>10</v>
      </c>
      <c r="K20" s="323">
        <f t="shared" si="0"/>
        <v>13.600000000000001</v>
      </c>
      <c r="L20" s="326" t="s">
        <v>327</v>
      </c>
      <c r="M20" s="363"/>
      <c r="N20" s="328"/>
      <c r="O20" s="331"/>
      <c r="Q20" s="331"/>
    </row>
    <row r="21" spans="1:17" ht="20.149999999999999" customHeight="1" x14ac:dyDescent="0.35">
      <c r="A21" s="329">
        <v>14</v>
      </c>
      <c r="B21" s="321">
        <v>11</v>
      </c>
      <c r="C21" s="330" t="s">
        <v>223</v>
      </c>
      <c r="D21" s="330"/>
      <c r="E21" s="323">
        <f>'[1]road inventory 2018'!C23</f>
        <v>2.2000000000000002</v>
      </c>
      <c r="F21" s="323">
        <v>1.3</v>
      </c>
      <c r="G21" s="323">
        <v>0</v>
      </c>
      <c r="H21" s="323">
        <v>0</v>
      </c>
      <c r="I21" s="323">
        <v>0.9</v>
      </c>
      <c r="J21" s="325" t="s">
        <v>12</v>
      </c>
      <c r="K21" s="323">
        <f t="shared" si="0"/>
        <v>2.2000000000000002</v>
      </c>
      <c r="L21" s="326" t="s">
        <v>328</v>
      </c>
      <c r="M21" s="363"/>
      <c r="N21" s="328"/>
      <c r="O21" s="333"/>
      <c r="Q21" s="333"/>
    </row>
    <row r="22" spans="1:17" ht="20.149999999999999" customHeight="1" x14ac:dyDescent="0.35">
      <c r="A22" s="329">
        <v>15</v>
      </c>
      <c r="B22" s="321">
        <v>13</v>
      </c>
      <c r="C22" s="330" t="s">
        <v>218</v>
      </c>
      <c r="D22" s="330"/>
      <c r="E22" s="323">
        <f>'[1]road inventory 2018'!C24</f>
        <v>1.7</v>
      </c>
      <c r="F22" s="323">
        <v>0</v>
      </c>
      <c r="G22" s="323">
        <v>0</v>
      </c>
      <c r="H22" s="323">
        <v>0</v>
      </c>
      <c r="I22" s="323">
        <v>1.7</v>
      </c>
      <c r="J22" s="325" t="s">
        <v>33</v>
      </c>
      <c r="K22" s="323">
        <f t="shared" si="0"/>
        <v>1.7</v>
      </c>
      <c r="L22" s="326" t="s">
        <v>329</v>
      </c>
      <c r="M22" s="363"/>
      <c r="N22" s="328"/>
      <c r="O22" s="331"/>
      <c r="Q22" s="331"/>
    </row>
    <row r="23" spans="1:17" ht="20.149999999999999" customHeight="1" x14ac:dyDescent="0.35">
      <c r="A23" s="329">
        <v>16</v>
      </c>
      <c r="B23" s="321">
        <v>12</v>
      </c>
      <c r="C23" s="330" t="s">
        <v>222</v>
      </c>
      <c r="D23" s="330"/>
      <c r="E23" s="323">
        <f>'[1]road inventory 2018'!C25</f>
        <v>1.6</v>
      </c>
      <c r="F23" s="323">
        <v>0</v>
      </c>
      <c r="G23" s="323">
        <v>0</v>
      </c>
      <c r="H23" s="323">
        <v>0</v>
      </c>
      <c r="I23" s="323">
        <v>1.6</v>
      </c>
      <c r="J23" s="325" t="s">
        <v>33</v>
      </c>
      <c r="K23" s="323">
        <f t="shared" si="0"/>
        <v>1.6</v>
      </c>
      <c r="L23" s="326" t="s">
        <v>331</v>
      </c>
      <c r="M23" s="363"/>
      <c r="N23" s="328"/>
      <c r="O23" s="331"/>
      <c r="Q23" s="331"/>
    </row>
    <row r="24" spans="1:17" ht="20.149999999999999" customHeight="1" x14ac:dyDescent="0.35">
      <c r="A24" s="329">
        <v>17</v>
      </c>
      <c r="B24" s="321">
        <v>220</v>
      </c>
      <c r="C24" s="330" t="s">
        <v>221</v>
      </c>
      <c r="D24" s="330"/>
      <c r="E24" s="323">
        <f>'[1]road inventory 2018'!C26</f>
        <v>2.2999999999999998</v>
      </c>
      <c r="F24" s="323">
        <v>0</v>
      </c>
      <c r="G24" s="323">
        <v>0</v>
      </c>
      <c r="H24" s="323">
        <v>0</v>
      </c>
      <c r="I24" s="323">
        <v>2.2999999999999998</v>
      </c>
      <c r="J24" s="325" t="s">
        <v>33</v>
      </c>
      <c r="K24" s="323">
        <f t="shared" si="0"/>
        <v>2.2999999999999998</v>
      </c>
      <c r="L24" s="326" t="s">
        <v>333</v>
      </c>
      <c r="M24" s="363"/>
      <c r="N24" s="328"/>
      <c r="O24" s="331"/>
      <c r="Q24" s="331"/>
    </row>
    <row r="25" spans="1:17" ht="20.149999999999999" customHeight="1" x14ac:dyDescent="0.35">
      <c r="A25" s="329">
        <v>18</v>
      </c>
      <c r="B25" s="321">
        <v>14</v>
      </c>
      <c r="C25" s="330" t="s">
        <v>215</v>
      </c>
      <c r="D25" s="330"/>
      <c r="E25" s="323">
        <f>'[1]road inventory 2018'!C27</f>
        <v>4</v>
      </c>
      <c r="F25" s="323">
        <v>4</v>
      </c>
      <c r="G25" s="323">
        <v>0</v>
      </c>
      <c r="H25" s="323">
        <v>0</v>
      </c>
      <c r="I25" s="323">
        <v>0</v>
      </c>
      <c r="J25" s="325" t="s">
        <v>12</v>
      </c>
      <c r="K25" s="323">
        <f t="shared" si="0"/>
        <v>4</v>
      </c>
      <c r="L25" s="326" t="s">
        <v>327</v>
      </c>
      <c r="M25" s="363"/>
      <c r="N25" s="328"/>
      <c r="O25" s="331"/>
      <c r="Q25" s="331"/>
    </row>
    <row r="26" spans="1:17" ht="20.149999999999999" customHeight="1" x14ac:dyDescent="0.35">
      <c r="A26" s="329">
        <v>19</v>
      </c>
      <c r="B26" s="321">
        <v>15</v>
      </c>
      <c r="C26" s="330" t="s">
        <v>334</v>
      </c>
      <c r="D26" s="330"/>
      <c r="E26" s="323">
        <v>3.2</v>
      </c>
      <c r="F26" s="323">
        <v>0</v>
      </c>
      <c r="G26" s="323">
        <v>0</v>
      </c>
      <c r="H26" s="323">
        <v>0</v>
      </c>
      <c r="I26" s="323">
        <v>3.2</v>
      </c>
      <c r="J26" s="325" t="s">
        <v>33</v>
      </c>
      <c r="K26" s="323">
        <f t="shared" si="0"/>
        <v>3.2</v>
      </c>
      <c r="L26" s="326" t="s">
        <v>335</v>
      </c>
      <c r="M26" s="336" t="s">
        <v>336</v>
      </c>
      <c r="N26" s="328"/>
      <c r="O26" s="331"/>
      <c r="Q26" s="331"/>
    </row>
    <row r="27" spans="1:17" ht="20.149999999999999" customHeight="1" x14ac:dyDescent="0.35">
      <c r="A27" s="329">
        <v>20</v>
      </c>
      <c r="B27" s="321">
        <v>16</v>
      </c>
      <c r="C27" s="330" t="s">
        <v>25</v>
      </c>
      <c r="D27" s="330"/>
      <c r="E27" s="323">
        <f>'[1]road inventory 2018'!C29</f>
        <v>1</v>
      </c>
      <c r="F27" s="323">
        <v>0</v>
      </c>
      <c r="G27" s="323">
        <v>0</v>
      </c>
      <c r="H27" s="323">
        <v>0</v>
      </c>
      <c r="I27" s="323">
        <v>1</v>
      </c>
      <c r="J27" s="325" t="s">
        <v>12</v>
      </c>
      <c r="K27" s="323">
        <f t="shared" si="0"/>
        <v>1</v>
      </c>
      <c r="L27" s="326" t="s">
        <v>337</v>
      </c>
      <c r="M27" s="363"/>
      <c r="N27" s="328"/>
      <c r="O27" s="331"/>
      <c r="Q27" s="331"/>
    </row>
    <row r="28" spans="1:17" ht="20.149999999999999" customHeight="1" x14ac:dyDescent="0.35">
      <c r="A28" s="329">
        <v>21</v>
      </c>
      <c r="B28" s="321">
        <v>17</v>
      </c>
      <c r="C28" s="330" t="s">
        <v>216</v>
      </c>
      <c r="D28" s="330"/>
      <c r="E28" s="323">
        <f>'[1]road inventory 2018'!C30</f>
        <v>4</v>
      </c>
      <c r="F28" s="323">
        <v>1.4219999999999999</v>
      </c>
      <c r="G28" s="323">
        <v>0</v>
      </c>
      <c r="H28" s="323">
        <v>0</v>
      </c>
      <c r="I28" s="323">
        <v>2.5779999999999998</v>
      </c>
      <c r="J28" s="325" t="s">
        <v>10</v>
      </c>
      <c r="K28" s="323">
        <f t="shared" si="0"/>
        <v>4</v>
      </c>
      <c r="L28" s="326" t="s">
        <v>339</v>
      </c>
      <c r="M28" s="363"/>
      <c r="N28" s="328">
        <v>1.4219999999999999</v>
      </c>
      <c r="O28" s="331"/>
      <c r="Q28" s="331"/>
    </row>
    <row r="29" spans="1:17" ht="20.149999999999999" customHeight="1" x14ac:dyDescent="0.35">
      <c r="A29" s="329">
        <v>22</v>
      </c>
      <c r="B29" s="321">
        <v>18</v>
      </c>
      <c r="C29" s="330" t="s">
        <v>27</v>
      </c>
      <c r="D29" s="330"/>
      <c r="E29" s="323">
        <f>'[1]road inventory 2018'!C31</f>
        <v>10.5</v>
      </c>
      <c r="F29" s="323">
        <v>10.5</v>
      </c>
      <c r="G29" s="323">
        <v>0</v>
      </c>
      <c r="H29" s="323">
        <v>0</v>
      </c>
      <c r="I29" s="323">
        <v>0</v>
      </c>
      <c r="J29" s="325" t="s">
        <v>12</v>
      </c>
      <c r="K29" s="323">
        <f t="shared" si="0"/>
        <v>10.5</v>
      </c>
      <c r="L29" s="326" t="s">
        <v>335</v>
      </c>
      <c r="M29" s="363" t="s">
        <v>749</v>
      </c>
      <c r="N29" s="328">
        <v>2</v>
      </c>
      <c r="O29" s="331"/>
      <c r="Q29" s="331"/>
    </row>
    <row r="30" spans="1:17" ht="20.149999999999999" customHeight="1" x14ac:dyDescent="0.35">
      <c r="A30" s="329">
        <v>23</v>
      </c>
      <c r="B30" s="321">
        <v>221</v>
      </c>
      <c r="C30" s="330" t="s">
        <v>219</v>
      </c>
      <c r="D30" s="330"/>
      <c r="E30" s="323">
        <f>'[1]road inventory 2018'!C32</f>
        <v>5.2</v>
      </c>
      <c r="F30" s="323">
        <v>1.17</v>
      </c>
      <c r="G30" s="323">
        <v>0</v>
      </c>
      <c r="H30" s="323">
        <v>0</v>
      </c>
      <c r="I30" s="323">
        <v>4.03</v>
      </c>
      <c r="J30" s="325" t="s">
        <v>12</v>
      </c>
      <c r="K30" s="323">
        <f t="shared" si="0"/>
        <v>5.2</v>
      </c>
      <c r="L30" s="326" t="s">
        <v>340</v>
      </c>
      <c r="M30" s="363"/>
      <c r="N30" s="328"/>
      <c r="O30" s="331"/>
      <c r="Q30" s="331"/>
    </row>
    <row r="31" spans="1:17" ht="20.149999999999999" customHeight="1" x14ac:dyDescent="0.35">
      <c r="A31" s="329">
        <v>24</v>
      </c>
      <c r="B31" s="321">
        <v>20</v>
      </c>
      <c r="C31" s="330" t="s">
        <v>208</v>
      </c>
      <c r="D31" s="330"/>
      <c r="E31" s="323">
        <f>'[1]road inventory 2018'!C33</f>
        <v>7.6</v>
      </c>
      <c r="F31" s="323">
        <v>1.9</v>
      </c>
      <c r="G31" s="323">
        <v>0</v>
      </c>
      <c r="H31" s="323">
        <v>4.53</v>
      </c>
      <c r="I31" s="323">
        <v>1.17</v>
      </c>
      <c r="J31" s="325" t="s">
        <v>41</v>
      </c>
      <c r="K31" s="323">
        <f t="shared" si="0"/>
        <v>7.6</v>
      </c>
      <c r="L31" s="326"/>
      <c r="M31" s="363"/>
      <c r="N31" s="328"/>
      <c r="O31" s="331"/>
    </row>
    <row r="32" spans="1:17" s="317" customFormat="1" ht="20.149999999999999" customHeight="1" x14ac:dyDescent="0.35">
      <c r="B32" s="373"/>
      <c r="C32" s="374" t="s">
        <v>341</v>
      </c>
      <c r="D32" s="374"/>
      <c r="E32" s="375">
        <f>SUM(E8:E31)</f>
        <v>98.550000000000011</v>
      </c>
      <c r="F32" s="375">
        <f>SUM(F8:F31)</f>
        <v>56.047999999999995</v>
      </c>
      <c r="G32" s="375">
        <f>SUM(G8:G31)</f>
        <v>0</v>
      </c>
      <c r="H32" s="375">
        <f>SUM(H8:H31)</f>
        <v>4.53</v>
      </c>
      <c r="I32" s="375">
        <f>SUM(I8:I31)</f>
        <v>37.972000000000008</v>
      </c>
      <c r="J32" s="376"/>
      <c r="K32" s="375"/>
      <c r="L32" s="372"/>
      <c r="M32" s="453"/>
      <c r="N32" s="377"/>
      <c r="O32" s="320"/>
    </row>
    <row r="33" spans="1:15" ht="20.149999999999999" customHeight="1" x14ac:dyDescent="0.35">
      <c r="B33" s="321"/>
      <c r="C33" s="330"/>
      <c r="D33" s="330"/>
      <c r="E33" s="323"/>
      <c r="F33" s="323"/>
      <c r="G33" s="323"/>
      <c r="H33" s="323"/>
      <c r="I33" s="323"/>
      <c r="J33" s="325"/>
      <c r="K33" s="323"/>
      <c r="L33" s="326"/>
      <c r="M33" s="363"/>
      <c r="N33" s="328"/>
      <c r="O33" s="331"/>
    </row>
    <row r="34" spans="1:15" ht="20.149999999999999" customHeight="1" x14ac:dyDescent="0.35">
      <c r="B34" s="381" t="s">
        <v>455</v>
      </c>
      <c r="C34" s="379"/>
      <c r="D34" s="379"/>
      <c r="E34" s="379"/>
      <c r="F34" s="379"/>
      <c r="G34" s="379"/>
      <c r="H34" s="379"/>
      <c r="I34" s="379"/>
      <c r="J34" s="380"/>
      <c r="K34" s="323"/>
      <c r="L34" s="329"/>
      <c r="M34" s="363"/>
      <c r="N34" s="328"/>
    </row>
    <row r="35" spans="1:15" ht="20.149999999999999" customHeight="1" x14ac:dyDescent="0.35">
      <c r="A35" s="329">
        <v>1</v>
      </c>
      <c r="B35" s="321">
        <v>91</v>
      </c>
      <c r="C35" s="335" t="s">
        <v>62</v>
      </c>
      <c r="D35" s="335"/>
      <c r="E35" s="323">
        <f>'[1]road inventory 2018'!C169</f>
        <v>12.9</v>
      </c>
      <c r="F35" s="323">
        <f>0.04+0.29+0.12+1.23+1+3+1+1.23+0.77+1+0.77+0.86 +0.9</f>
        <v>12.209999999999999</v>
      </c>
      <c r="G35" s="323">
        <v>0</v>
      </c>
      <c r="H35" s="323">
        <v>0</v>
      </c>
      <c r="I35" s="323">
        <f>0.06+0.26+0.36+0.01</f>
        <v>0.69</v>
      </c>
      <c r="J35" s="325" t="s">
        <v>10</v>
      </c>
      <c r="K35" s="323">
        <f>SUM(F35:I35)</f>
        <v>12.899999999999999</v>
      </c>
      <c r="L35" s="326" t="s">
        <v>726</v>
      </c>
      <c r="M35" s="363"/>
      <c r="N35" s="328"/>
    </row>
    <row r="36" spans="1:15" ht="20.149999999999999" customHeight="1" x14ac:dyDescent="0.35">
      <c r="A36" s="329">
        <v>2</v>
      </c>
      <c r="B36" s="321">
        <v>92</v>
      </c>
      <c r="C36" s="335" t="s">
        <v>457</v>
      </c>
      <c r="D36" s="335"/>
      <c r="E36" s="323">
        <f>'[1]road inventory 2018'!C170</f>
        <v>5.6</v>
      </c>
      <c r="F36" s="323">
        <v>5.6</v>
      </c>
      <c r="G36" s="323">
        <v>0</v>
      </c>
      <c r="H36" s="323">
        <v>0</v>
      </c>
      <c r="I36" s="323">
        <v>0</v>
      </c>
      <c r="J36" s="325" t="s">
        <v>12</v>
      </c>
      <c r="K36" s="323">
        <f>SUM(F36:I36)</f>
        <v>5.6</v>
      </c>
      <c r="L36" s="325" t="s">
        <v>727</v>
      </c>
      <c r="M36" s="363"/>
      <c r="N36" s="328"/>
    </row>
    <row r="37" spans="1:15" s="317" customFormat="1" ht="20.149999999999999" customHeight="1" x14ac:dyDescent="0.35">
      <c r="B37" s="373"/>
      <c r="C37" s="374" t="s">
        <v>341</v>
      </c>
      <c r="D37" s="374"/>
      <c r="E37" s="375">
        <f>SUM(E35:E36)</f>
        <v>18.5</v>
      </c>
      <c r="F37" s="375">
        <f>SUM(F35:F36)</f>
        <v>17.809999999999999</v>
      </c>
      <c r="G37" s="375">
        <f>SUM(G35:G36)</f>
        <v>0</v>
      </c>
      <c r="H37" s="375">
        <f>SUM(H35:H36)</f>
        <v>0</v>
      </c>
      <c r="I37" s="375">
        <f>SUM(I35:I36)</f>
        <v>0.69</v>
      </c>
      <c r="J37" s="376"/>
      <c r="K37" s="375"/>
      <c r="L37" s="372"/>
      <c r="M37" s="453"/>
      <c r="N37" s="377"/>
      <c r="O37" s="320"/>
    </row>
    <row r="38" spans="1:15" ht="20.149999999999999" customHeight="1" x14ac:dyDescent="0.35">
      <c r="B38" s="321"/>
      <c r="C38" s="330"/>
      <c r="D38" s="330"/>
      <c r="E38" s="323"/>
      <c r="F38" s="323"/>
      <c r="G38" s="323"/>
      <c r="H38" s="323"/>
      <c r="I38" s="323"/>
      <c r="J38" s="325"/>
      <c r="K38" s="323"/>
      <c r="L38" s="326"/>
      <c r="M38" s="363"/>
      <c r="N38" s="328"/>
      <c r="O38" s="331"/>
    </row>
    <row r="39" spans="1:15" ht="20.149999999999999" customHeight="1" x14ac:dyDescent="0.35">
      <c r="B39" s="389" t="s">
        <v>441</v>
      </c>
      <c r="C39" s="388"/>
      <c r="D39" s="388"/>
      <c r="E39" s="385"/>
      <c r="F39" s="385"/>
      <c r="G39" s="385"/>
      <c r="H39" s="385"/>
      <c r="I39" s="385"/>
      <c r="J39" s="386"/>
      <c r="K39" s="385"/>
      <c r="L39" s="388"/>
      <c r="M39" s="454"/>
      <c r="N39" s="387"/>
    </row>
    <row r="40" spans="1:15" ht="20.149999999999999" customHeight="1" x14ac:dyDescent="0.35">
      <c r="A40" s="329">
        <v>1</v>
      </c>
      <c r="B40" s="321">
        <v>95</v>
      </c>
      <c r="C40" s="335" t="s">
        <v>276</v>
      </c>
      <c r="D40" s="335"/>
      <c r="E40" s="323">
        <f>'[1]road inventory 2018'!C149</f>
        <v>3</v>
      </c>
      <c r="F40" s="323">
        <v>1.02</v>
      </c>
      <c r="G40" s="323">
        <v>0</v>
      </c>
      <c r="H40" s="323">
        <v>0</v>
      </c>
      <c r="I40" s="323">
        <v>1.98</v>
      </c>
      <c r="J40" s="325" t="s">
        <v>33</v>
      </c>
      <c r="K40" s="323">
        <f t="shared" ref="K40:K53" si="1">SUM(F40:I40)</f>
        <v>3</v>
      </c>
      <c r="L40" s="326" t="s">
        <v>442</v>
      </c>
      <c r="M40" s="363"/>
      <c r="N40" s="328"/>
    </row>
    <row r="41" spans="1:15" ht="20.149999999999999" customHeight="1" x14ac:dyDescent="0.35">
      <c r="A41" s="329">
        <v>2</v>
      </c>
      <c r="B41" s="321">
        <v>77</v>
      </c>
      <c r="C41" s="335" t="s">
        <v>271</v>
      </c>
      <c r="D41" s="335"/>
      <c r="E41" s="323">
        <f>'[1]road inventory 2018'!C150</f>
        <v>0.7</v>
      </c>
      <c r="F41" s="323">
        <v>0</v>
      </c>
      <c r="G41" s="323">
        <v>0</v>
      </c>
      <c r="H41" s="323">
        <v>0</v>
      </c>
      <c r="I41" s="323">
        <v>0.7</v>
      </c>
      <c r="J41" s="325" t="s">
        <v>10</v>
      </c>
      <c r="K41" s="323">
        <f t="shared" si="1"/>
        <v>0.7</v>
      </c>
      <c r="L41" s="326" t="s">
        <v>443</v>
      </c>
      <c r="M41" s="363"/>
      <c r="N41" s="328"/>
    </row>
    <row r="42" spans="1:15" ht="20.149999999999999" customHeight="1" x14ac:dyDescent="0.35">
      <c r="A42" s="329">
        <v>3</v>
      </c>
      <c r="B42" s="321">
        <v>94</v>
      </c>
      <c r="C42" s="335" t="s">
        <v>278</v>
      </c>
      <c r="D42" s="335"/>
      <c r="E42" s="323">
        <f>'[1]road inventory 2018'!C151</f>
        <v>0.6</v>
      </c>
      <c r="F42" s="323">
        <v>0</v>
      </c>
      <c r="G42" s="323">
        <v>0</v>
      </c>
      <c r="H42" s="323">
        <v>0</v>
      </c>
      <c r="I42" s="323">
        <v>0.6</v>
      </c>
      <c r="J42" s="325" t="s">
        <v>10</v>
      </c>
      <c r="K42" s="323">
        <f t="shared" si="1"/>
        <v>0.6</v>
      </c>
      <c r="L42" s="326" t="s">
        <v>444</v>
      </c>
      <c r="M42" s="363">
        <f>E40+E41+E42+E45+E48+E49+E50+E51+E52+E53</f>
        <v>34.4</v>
      </c>
      <c r="N42" s="328"/>
    </row>
    <row r="43" spans="1:15" ht="20.149999999999999" customHeight="1" x14ac:dyDescent="0.35">
      <c r="A43" s="329">
        <v>4</v>
      </c>
      <c r="B43" s="937">
        <v>78</v>
      </c>
      <c r="C43" s="936" t="s">
        <v>277</v>
      </c>
      <c r="D43" s="335"/>
      <c r="E43" s="323">
        <f>'[1]road inventory 2018'!C152</f>
        <v>3.8</v>
      </c>
      <c r="F43" s="323">
        <v>0.69</v>
      </c>
      <c r="G43" s="323">
        <v>0</v>
      </c>
      <c r="H43" s="323">
        <v>0</v>
      </c>
      <c r="I43" s="323">
        <v>3.11</v>
      </c>
      <c r="J43" s="325" t="s">
        <v>33</v>
      </c>
      <c r="K43" s="323">
        <f t="shared" si="1"/>
        <v>3.8</v>
      </c>
      <c r="L43" s="326" t="s">
        <v>445</v>
      </c>
      <c r="M43" s="363"/>
      <c r="N43" s="328"/>
    </row>
    <row r="44" spans="1:15" ht="20.149999999999999" customHeight="1" x14ac:dyDescent="0.35">
      <c r="A44" s="329">
        <v>5</v>
      </c>
      <c r="B44" s="937">
        <v>79</v>
      </c>
      <c r="C44" s="936" t="s">
        <v>272</v>
      </c>
      <c r="D44" s="335"/>
      <c r="E44" s="323">
        <f>'[1]road inventory 2018'!C153</f>
        <v>1.9000000000000001</v>
      </c>
      <c r="F44" s="323">
        <v>0.12</v>
      </c>
      <c r="G44" s="323">
        <v>0</v>
      </c>
      <c r="H44" s="323">
        <v>0</v>
      </c>
      <c r="I44" s="323">
        <v>1.78</v>
      </c>
      <c r="J44" s="325" t="s">
        <v>41</v>
      </c>
      <c r="K44" s="323">
        <f t="shared" si="1"/>
        <v>1.9</v>
      </c>
      <c r="L44" s="326" t="s">
        <v>446</v>
      </c>
      <c r="M44" s="363"/>
      <c r="N44" s="328"/>
    </row>
    <row r="45" spans="1:15" ht="20.149999999999999" customHeight="1" x14ac:dyDescent="0.35">
      <c r="A45" s="329">
        <v>6</v>
      </c>
      <c r="B45" s="321">
        <v>80</v>
      </c>
      <c r="C45" s="335" t="s">
        <v>282</v>
      </c>
      <c r="D45" s="335"/>
      <c r="E45" s="323">
        <f>'[1]road inventory 2018'!C154</f>
        <v>15.7</v>
      </c>
      <c r="F45" s="323">
        <f>0.25+0.26+0.19</f>
        <v>0.7</v>
      </c>
      <c r="G45" s="323">
        <v>0</v>
      </c>
      <c r="H45" s="323">
        <v>0</v>
      </c>
      <c r="I45" s="323">
        <v>15</v>
      </c>
      <c r="J45" s="325" t="s">
        <v>41</v>
      </c>
      <c r="K45" s="323">
        <f t="shared" si="1"/>
        <v>15.7</v>
      </c>
      <c r="L45" s="326" t="s">
        <v>447</v>
      </c>
      <c r="M45" s="363"/>
      <c r="N45" s="328"/>
    </row>
    <row r="46" spans="1:15" ht="20.149999999999999" customHeight="1" x14ac:dyDescent="0.35">
      <c r="A46" s="329">
        <v>7</v>
      </c>
      <c r="B46" s="937">
        <v>81</v>
      </c>
      <c r="C46" s="936" t="s">
        <v>279</v>
      </c>
      <c r="D46" s="335"/>
      <c r="E46" s="323">
        <f>'[1]road inventory 2018'!C155</f>
        <v>3.8</v>
      </c>
      <c r="F46" s="323">
        <f>0.2+0.27</f>
        <v>0.47000000000000003</v>
      </c>
      <c r="G46" s="323">
        <v>0</v>
      </c>
      <c r="H46" s="323">
        <v>0</v>
      </c>
      <c r="I46" s="323">
        <v>3.33</v>
      </c>
      <c r="J46" s="325" t="s">
        <v>12</v>
      </c>
      <c r="K46" s="323">
        <f t="shared" si="1"/>
        <v>3.8000000000000003</v>
      </c>
      <c r="L46" s="326" t="s">
        <v>448</v>
      </c>
      <c r="M46" s="363"/>
      <c r="N46" s="328"/>
    </row>
    <row r="47" spans="1:15" ht="20.149999999999999" customHeight="1" x14ac:dyDescent="0.35">
      <c r="A47" s="329">
        <v>8</v>
      </c>
      <c r="B47" s="937">
        <v>82</v>
      </c>
      <c r="C47" s="936" t="s">
        <v>283</v>
      </c>
      <c r="D47" s="335"/>
      <c r="E47" s="323">
        <f>'[1]road inventory 2018'!C156</f>
        <v>5.4</v>
      </c>
      <c r="F47" s="323">
        <f>0.42+0.8</f>
        <v>1.22</v>
      </c>
      <c r="G47" s="323">
        <v>0</v>
      </c>
      <c r="H47" s="323">
        <v>0</v>
      </c>
      <c r="I47" s="323">
        <v>4.18</v>
      </c>
      <c r="J47" s="325" t="s">
        <v>33</v>
      </c>
      <c r="K47" s="323">
        <f t="shared" si="1"/>
        <v>5.3999999999999995</v>
      </c>
      <c r="L47" s="326" t="s">
        <v>449</v>
      </c>
      <c r="M47" s="363"/>
      <c r="N47" s="328"/>
    </row>
    <row r="48" spans="1:15" ht="20.149999999999999" customHeight="1" x14ac:dyDescent="0.35">
      <c r="A48" s="329">
        <v>9</v>
      </c>
      <c r="B48" s="321">
        <v>83</v>
      </c>
      <c r="C48" s="335" t="s">
        <v>58</v>
      </c>
      <c r="D48" s="335"/>
      <c r="E48" s="323">
        <f>'[1]road inventory 2018'!C157</f>
        <v>4.2</v>
      </c>
      <c r="F48" s="323">
        <f>0.12+0.22</f>
        <v>0.33999999999999997</v>
      </c>
      <c r="G48" s="323">
        <v>0</v>
      </c>
      <c r="H48" s="323">
        <v>0</v>
      </c>
      <c r="I48" s="323">
        <v>3.86</v>
      </c>
      <c r="J48" s="325" t="s">
        <v>12</v>
      </c>
      <c r="K48" s="323">
        <f t="shared" si="1"/>
        <v>4.2</v>
      </c>
      <c r="L48" s="326" t="s">
        <v>447</v>
      </c>
      <c r="M48" s="363"/>
      <c r="N48" s="328"/>
    </row>
    <row r="49" spans="1:15" ht="20.149999999999999" customHeight="1" x14ac:dyDescent="0.35">
      <c r="A49" s="329">
        <v>10</v>
      </c>
      <c r="B49" s="321">
        <v>84</v>
      </c>
      <c r="C49" s="335" t="s">
        <v>274</v>
      </c>
      <c r="D49" s="335"/>
      <c r="E49" s="323">
        <f>'[1]road inventory 2018'!C158</f>
        <v>1.2</v>
      </c>
      <c r="F49" s="323">
        <v>0</v>
      </c>
      <c r="G49" s="323">
        <v>0</v>
      </c>
      <c r="H49" s="323">
        <v>0</v>
      </c>
      <c r="I49" s="323">
        <v>1.2</v>
      </c>
      <c r="J49" s="325" t="s">
        <v>41</v>
      </c>
      <c r="K49" s="323">
        <f t="shared" si="1"/>
        <v>1.2</v>
      </c>
      <c r="L49" s="326" t="s">
        <v>450</v>
      </c>
      <c r="M49" s="363"/>
      <c r="N49" s="328"/>
    </row>
    <row r="50" spans="1:15" ht="20.149999999999999" customHeight="1" x14ac:dyDescent="0.35">
      <c r="A50" s="329">
        <v>11</v>
      </c>
      <c r="B50" s="321">
        <v>85</v>
      </c>
      <c r="C50" s="335" t="s">
        <v>281</v>
      </c>
      <c r="D50" s="335"/>
      <c r="E50" s="323">
        <f>'[1]road inventory 2018'!C159</f>
        <v>2.8</v>
      </c>
      <c r="F50" s="323">
        <v>0</v>
      </c>
      <c r="G50" s="323">
        <v>0</v>
      </c>
      <c r="H50" s="323">
        <v>0</v>
      </c>
      <c r="I50" s="323">
        <v>2.8</v>
      </c>
      <c r="J50" s="325" t="s">
        <v>12</v>
      </c>
      <c r="K50" s="323">
        <f t="shared" si="1"/>
        <v>2.8</v>
      </c>
      <c r="L50" s="326" t="s">
        <v>451</v>
      </c>
      <c r="M50" s="363"/>
      <c r="N50" s="328"/>
    </row>
    <row r="51" spans="1:15" ht="20.149999999999999" customHeight="1" x14ac:dyDescent="0.35">
      <c r="A51" s="329">
        <v>12</v>
      </c>
      <c r="B51" s="321">
        <v>86</v>
      </c>
      <c r="C51" s="335" t="s">
        <v>275</v>
      </c>
      <c r="D51" s="335"/>
      <c r="E51" s="323">
        <f>'[1]road inventory 2018'!C160</f>
        <v>2.5</v>
      </c>
      <c r="F51" s="323">
        <v>0</v>
      </c>
      <c r="G51" s="323">
        <v>0</v>
      </c>
      <c r="H51" s="323">
        <v>0</v>
      </c>
      <c r="I51" s="323">
        <f>2.5</f>
        <v>2.5</v>
      </c>
      <c r="J51" s="325" t="s">
        <v>41</v>
      </c>
      <c r="K51" s="323">
        <f t="shared" si="1"/>
        <v>2.5</v>
      </c>
      <c r="L51" s="326" t="s">
        <v>452</v>
      </c>
      <c r="M51" s="363"/>
      <c r="N51" s="328"/>
    </row>
    <row r="52" spans="1:15" ht="20.149999999999999" customHeight="1" x14ac:dyDescent="0.35">
      <c r="A52" s="329">
        <v>13</v>
      </c>
      <c r="B52" s="321">
        <v>87</v>
      </c>
      <c r="C52" s="335" t="s">
        <v>273</v>
      </c>
      <c r="D52" s="335"/>
      <c r="E52" s="323">
        <f>'[1]road inventory 2018'!C161</f>
        <v>0.5</v>
      </c>
      <c r="F52" s="323">
        <v>0</v>
      </c>
      <c r="G52" s="323">
        <v>0</v>
      </c>
      <c r="H52" s="323">
        <v>0</v>
      </c>
      <c r="I52" s="323">
        <v>0.5</v>
      </c>
      <c r="J52" s="325" t="s">
        <v>12</v>
      </c>
      <c r="K52" s="323">
        <f t="shared" si="1"/>
        <v>0.5</v>
      </c>
      <c r="L52" s="326" t="s">
        <v>450</v>
      </c>
      <c r="M52" s="363"/>
      <c r="N52" s="328"/>
    </row>
    <row r="53" spans="1:15" ht="20.149999999999999" customHeight="1" x14ac:dyDescent="0.35">
      <c r="A53" s="329">
        <v>14</v>
      </c>
      <c r="B53" s="321">
        <v>88</v>
      </c>
      <c r="C53" s="335" t="s">
        <v>280</v>
      </c>
      <c r="D53" s="335"/>
      <c r="E53" s="323">
        <f>'[1]road inventory 2018'!C162</f>
        <v>3.2</v>
      </c>
      <c r="F53" s="323">
        <v>0</v>
      </c>
      <c r="G53" s="323">
        <v>0</v>
      </c>
      <c r="H53" s="323">
        <v>0</v>
      </c>
      <c r="I53" s="323">
        <v>3.2</v>
      </c>
      <c r="J53" s="325" t="s">
        <v>41</v>
      </c>
      <c r="K53" s="323">
        <f t="shared" si="1"/>
        <v>3.2</v>
      </c>
      <c r="L53" s="326" t="s">
        <v>454</v>
      </c>
      <c r="M53" s="363"/>
      <c r="N53" s="328"/>
    </row>
    <row r="54" spans="1:15" s="317" customFormat="1" ht="20.149999999999999" customHeight="1" x14ac:dyDescent="0.35">
      <c r="B54" s="373"/>
      <c r="C54" s="374" t="s">
        <v>341</v>
      </c>
      <c r="D54" s="374"/>
      <c r="E54" s="375">
        <f>SUM(E40:E53)</f>
        <v>49.300000000000004</v>
      </c>
      <c r="F54" s="375">
        <f>SUM(F40:F53)</f>
        <v>4.5600000000000005</v>
      </c>
      <c r="G54" s="375">
        <f>SUM(G40:G53)</f>
        <v>0</v>
      </c>
      <c r="H54" s="375">
        <f>SUM(H40:H53)</f>
        <v>0</v>
      </c>
      <c r="I54" s="375">
        <f>SUM(I40:I53)</f>
        <v>44.74</v>
      </c>
      <c r="J54" s="376"/>
      <c r="K54" s="375"/>
      <c r="L54" s="372"/>
      <c r="M54" s="453"/>
      <c r="N54" s="377"/>
      <c r="O54" s="320"/>
    </row>
    <row r="55" spans="1:15" ht="20.149999999999999" customHeight="1" x14ac:dyDescent="0.35">
      <c r="B55" s="389" t="s">
        <v>411</v>
      </c>
      <c r="C55" s="388"/>
      <c r="D55" s="388"/>
      <c r="E55" s="385"/>
      <c r="F55" s="385"/>
      <c r="G55" s="385"/>
      <c r="H55" s="385"/>
      <c r="I55" s="385"/>
      <c r="J55" s="386"/>
      <c r="K55" s="385"/>
      <c r="L55" s="388"/>
      <c r="M55" s="454"/>
      <c r="N55" s="387"/>
    </row>
    <row r="56" spans="1:15" ht="20.149999999999999" customHeight="1" x14ac:dyDescent="0.35">
      <c r="A56" s="329">
        <v>1</v>
      </c>
      <c r="B56" s="321">
        <v>48</v>
      </c>
      <c r="C56" s="335" t="s">
        <v>254</v>
      </c>
      <c r="D56" s="335"/>
      <c r="E56" s="323">
        <f>'[1]road inventory 2018'!C109</f>
        <v>2.1</v>
      </c>
      <c r="F56" s="323">
        <v>0</v>
      </c>
      <c r="G56" s="323">
        <v>0</v>
      </c>
      <c r="H56" s="323">
        <v>0</v>
      </c>
      <c r="I56" s="323">
        <v>2.1</v>
      </c>
      <c r="J56" s="325" t="s">
        <v>33</v>
      </c>
      <c r="K56" s="323">
        <f t="shared" ref="K56:K87" si="2">SUM(F56:I56)</f>
        <v>2.1</v>
      </c>
      <c r="L56" s="326" t="s">
        <v>412</v>
      </c>
      <c r="M56" s="363"/>
      <c r="N56" s="328"/>
    </row>
    <row r="57" spans="1:15" ht="20.149999999999999" customHeight="1" x14ac:dyDescent="0.35">
      <c r="A57" s="329">
        <v>2</v>
      </c>
      <c r="B57" s="321">
        <v>50</v>
      </c>
      <c r="C57" s="335" t="s">
        <v>255</v>
      </c>
      <c r="D57" s="335"/>
      <c r="E57" s="323">
        <f>'[1]road inventory 2018'!C110</f>
        <v>7.6</v>
      </c>
      <c r="F57" s="323">
        <v>2</v>
      </c>
      <c r="G57" s="323">
        <v>0</v>
      </c>
      <c r="H57" s="323">
        <v>0</v>
      </c>
      <c r="I57" s="323">
        <v>5.6</v>
      </c>
      <c r="J57" s="325" t="s">
        <v>12</v>
      </c>
      <c r="K57" s="323">
        <f t="shared" si="2"/>
        <v>7.6</v>
      </c>
      <c r="L57" s="326" t="s">
        <v>413</v>
      </c>
      <c r="M57" s="363"/>
      <c r="N57" s="328"/>
    </row>
    <row r="58" spans="1:15" ht="20.149999999999999" customHeight="1" x14ac:dyDescent="0.35">
      <c r="A58" s="329">
        <v>3</v>
      </c>
      <c r="B58" s="321">
        <v>51</v>
      </c>
      <c r="C58" s="335" t="s">
        <v>248</v>
      </c>
      <c r="D58" s="335"/>
      <c r="E58" s="323">
        <f>'[1]road inventory 2018'!C111</f>
        <v>3</v>
      </c>
      <c r="F58" s="323">
        <v>0</v>
      </c>
      <c r="G58" s="323">
        <v>0</v>
      </c>
      <c r="H58" s="323">
        <v>0</v>
      </c>
      <c r="I58" s="323">
        <v>3</v>
      </c>
      <c r="J58" s="325" t="s">
        <v>33</v>
      </c>
      <c r="K58" s="323">
        <f t="shared" si="2"/>
        <v>3</v>
      </c>
      <c r="L58" s="326" t="s">
        <v>414</v>
      </c>
      <c r="M58" s="363"/>
      <c r="N58" s="328"/>
    </row>
    <row r="59" spans="1:15" ht="20.149999999999999" customHeight="1" x14ac:dyDescent="0.35">
      <c r="A59" s="329">
        <v>4</v>
      </c>
      <c r="B59" s="321">
        <v>52</v>
      </c>
      <c r="C59" s="335" t="s">
        <v>251</v>
      </c>
      <c r="D59" s="335"/>
      <c r="E59" s="323">
        <f>'[1]road inventory 2018'!C112</f>
        <v>6.5</v>
      </c>
      <c r="F59" s="323">
        <v>0</v>
      </c>
      <c r="G59" s="323">
        <v>0</v>
      </c>
      <c r="H59" s="323">
        <v>0</v>
      </c>
      <c r="I59" s="323">
        <v>6.5</v>
      </c>
      <c r="J59" s="325" t="s">
        <v>12</v>
      </c>
      <c r="K59" s="323">
        <f t="shared" si="2"/>
        <v>6.5</v>
      </c>
      <c r="L59" s="326" t="s">
        <v>415</v>
      </c>
      <c r="M59" s="363"/>
      <c r="N59" s="328"/>
    </row>
    <row r="60" spans="1:15" ht="20.149999999999999" customHeight="1" x14ac:dyDescent="0.35">
      <c r="A60" s="329">
        <v>5</v>
      </c>
      <c r="B60" s="321">
        <v>53</v>
      </c>
      <c r="C60" s="335" t="s">
        <v>249</v>
      </c>
      <c r="D60" s="335"/>
      <c r="E60" s="323">
        <f>'[1]road inventory 2018'!C113</f>
        <v>6.4</v>
      </c>
      <c r="F60" s="323">
        <v>5.64</v>
      </c>
      <c r="G60" s="323">
        <v>0</v>
      </c>
      <c r="H60" s="323">
        <v>0</v>
      </c>
      <c r="I60" s="323">
        <v>0.76</v>
      </c>
      <c r="J60" s="325" t="s">
        <v>12</v>
      </c>
      <c r="K60" s="323">
        <f t="shared" si="2"/>
        <v>6.3999999999999995</v>
      </c>
      <c r="L60" s="326" t="s">
        <v>416</v>
      </c>
      <c r="M60" s="363"/>
      <c r="N60" s="328">
        <v>5.64</v>
      </c>
    </row>
    <row r="61" spans="1:15" ht="20.149999999999999" customHeight="1" x14ac:dyDescent="0.35">
      <c r="A61" s="329">
        <v>6</v>
      </c>
      <c r="B61" s="321">
        <v>54</v>
      </c>
      <c r="C61" s="335" t="s">
        <v>252</v>
      </c>
      <c r="D61" s="335"/>
      <c r="E61" s="323">
        <f>'[1]road inventory 2018'!C114</f>
        <v>1.6</v>
      </c>
      <c r="F61" s="323">
        <v>1.18</v>
      </c>
      <c r="G61" s="323">
        <v>0</v>
      </c>
      <c r="H61" s="323">
        <v>0</v>
      </c>
      <c r="I61" s="323">
        <v>0.42</v>
      </c>
      <c r="J61" s="325" t="s">
        <v>10</v>
      </c>
      <c r="K61" s="323">
        <f t="shared" si="2"/>
        <v>1.5999999999999999</v>
      </c>
      <c r="L61" s="326" t="s">
        <v>417</v>
      </c>
      <c r="M61" s="363"/>
      <c r="N61" s="328"/>
    </row>
    <row r="62" spans="1:15" ht="20.149999999999999" customHeight="1" x14ac:dyDescent="0.35">
      <c r="A62" s="329">
        <v>7</v>
      </c>
      <c r="B62" s="321">
        <v>103</v>
      </c>
      <c r="C62" s="335" t="s">
        <v>245</v>
      </c>
      <c r="D62" s="335"/>
      <c r="E62" s="323">
        <f>'[1]road inventory 2018'!C115</f>
        <v>1.2</v>
      </c>
      <c r="F62" s="323">
        <v>0.19</v>
      </c>
      <c r="G62" s="323">
        <v>0</v>
      </c>
      <c r="H62" s="323">
        <v>0</v>
      </c>
      <c r="I62" s="323">
        <v>1.01</v>
      </c>
      <c r="J62" s="325" t="s">
        <v>12</v>
      </c>
      <c r="K62" s="323">
        <f t="shared" si="2"/>
        <v>1.2</v>
      </c>
      <c r="L62" s="326" t="s">
        <v>418</v>
      </c>
      <c r="M62" s="363"/>
      <c r="N62" s="328"/>
    </row>
    <row r="63" spans="1:15" ht="20.149999999999999" customHeight="1" x14ac:dyDescent="0.35">
      <c r="A63" s="329">
        <v>8</v>
      </c>
      <c r="B63" s="321">
        <v>55</v>
      </c>
      <c r="C63" s="335" t="s">
        <v>244</v>
      </c>
      <c r="D63" s="335"/>
      <c r="E63" s="323">
        <f>'[1]road inventory 2018'!C116</f>
        <v>4.0999999999999996</v>
      </c>
      <c r="F63" s="323">
        <v>0</v>
      </c>
      <c r="G63" s="323">
        <v>0</v>
      </c>
      <c r="H63" s="323">
        <v>0</v>
      </c>
      <c r="I63" s="323">
        <v>4.0999999999999996</v>
      </c>
      <c r="J63" s="325" t="s">
        <v>33</v>
      </c>
      <c r="K63" s="323">
        <f t="shared" si="2"/>
        <v>4.0999999999999996</v>
      </c>
      <c r="L63" s="326" t="s">
        <v>419</v>
      </c>
      <c r="M63" s="363"/>
      <c r="N63" s="328"/>
    </row>
    <row r="64" spans="1:15" ht="20.149999999999999" customHeight="1" x14ac:dyDescent="0.35">
      <c r="A64" s="329">
        <v>9</v>
      </c>
      <c r="B64" s="321">
        <v>57</v>
      </c>
      <c r="C64" s="335" t="s">
        <v>268</v>
      </c>
      <c r="D64" s="335"/>
      <c r="E64" s="323">
        <f>'[1]road inventory 2018'!C117</f>
        <v>1.3</v>
      </c>
      <c r="F64" s="323">
        <v>0.3</v>
      </c>
      <c r="G64" s="323">
        <v>0</v>
      </c>
      <c r="H64" s="323">
        <v>0</v>
      </c>
      <c r="I64" s="323">
        <v>1</v>
      </c>
      <c r="J64" s="325" t="s">
        <v>12</v>
      </c>
      <c r="K64" s="323">
        <f t="shared" si="2"/>
        <v>1.3</v>
      </c>
      <c r="L64" s="326" t="s">
        <v>420</v>
      </c>
      <c r="M64" s="363"/>
      <c r="N64" s="328"/>
    </row>
    <row r="65" spans="1:14" ht="20.149999999999999" customHeight="1" x14ac:dyDescent="0.35">
      <c r="A65" s="329">
        <v>10</v>
      </c>
      <c r="B65" s="321">
        <v>58</v>
      </c>
      <c r="C65" s="335" t="s">
        <v>421</v>
      </c>
      <c r="D65" s="335"/>
      <c r="E65" s="323">
        <f>'[1]road inventory 2018'!C118</f>
        <v>0.3</v>
      </c>
      <c r="F65" s="323">
        <v>0</v>
      </c>
      <c r="G65" s="323">
        <v>0</v>
      </c>
      <c r="H65" s="323">
        <v>0</v>
      </c>
      <c r="I65" s="323">
        <v>0.3</v>
      </c>
      <c r="J65" s="325" t="s">
        <v>12</v>
      </c>
      <c r="K65" s="323">
        <f t="shared" si="2"/>
        <v>0.3</v>
      </c>
      <c r="L65" s="326" t="s">
        <v>422</v>
      </c>
      <c r="M65" s="363"/>
      <c r="N65" s="328"/>
    </row>
    <row r="66" spans="1:14" ht="20.149999999999999" customHeight="1" x14ac:dyDescent="0.35">
      <c r="A66" s="329">
        <v>11</v>
      </c>
      <c r="B66" s="321">
        <v>59</v>
      </c>
      <c r="C66" s="335" t="s">
        <v>262</v>
      </c>
      <c r="D66" s="335"/>
      <c r="E66" s="323">
        <f>'[1]road inventory 2018'!C119</f>
        <v>0.8</v>
      </c>
      <c r="F66" s="323">
        <v>0</v>
      </c>
      <c r="G66" s="323">
        <v>0</v>
      </c>
      <c r="H66" s="323">
        <v>0</v>
      </c>
      <c r="I66" s="323">
        <v>0.8</v>
      </c>
      <c r="J66" s="325" t="s">
        <v>12</v>
      </c>
      <c r="K66" s="323">
        <f t="shared" si="2"/>
        <v>0.8</v>
      </c>
      <c r="L66" s="326" t="s">
        <v>422</v>
      </c>
      <c r="M66" s="363"/>
      <c r="N66" s="328"/>
    </row>
    <row r="67" spans="1:14" ht="20.149999999999999" customHeight="1" x14ac:dyDescent="0.35">
      <c r="A67" s="329">
        <v>12</v>
      </c>
      <c r="B67" s="321">
        <v>97</v>
      </c>
      <c r="C67" s="335" t="s">
        <v>51</v>
      </c>
      <c r="D67" s="335"/>
      <c r="E67" s="323">
        <f>'[1]road inventory 2018'!C120</f>
        <v>8.3000000000000007</v>
      </c>
      <c r="F67" s="323">
        <v>8.3000000000000007</v>
      </c>
      <c r="G67" s="323">
        <v>0</v>
      </c>
      <c r="H67" s="323">
        <v>0</v>
      </c>
      <c r="I67" s="323">
        <v>0</v>
      </c>
      <c r="J67" s="325" t="s">
        <v>12</v>
      </c>
      <c r="K67" s="323">
        <f t="shared" si="2"/>
        <v>8.3000000000000007</v>
      </c>
      <c r="L67" s="326" t="s">
        <v>423</v>
      </c>
      <c r="M67" s="363"/>
      <c r="N67" s="328"/>
    </row>
    <row r="68" spans="1:14" ht="20.149999999999999" customHeight="1" x14ac:dyDescent="0.35">
      <c r="A68" s="329">
        <v>13</v>
      </c>
      <c r="B68" s="321">
        <v>56</v>
      </c>
      <c r="C68" s="335" t="s">
        <v>250</v>
      </c>
      <c r="D68" s="335"/>
      <c r="E68" s="323">
        <f>'[1]road inventory 2018'!C121</f>
        <v>5.7</v>
      </c>
      <c r="F68" s="323">
        <f>1.73-0.01</f>
        <v>1.72</v>
      </c>
      <c r="G68" s="323">
        <v>0</v>
      </c>
      <c r="H68" s="323">
        <v>0</v>
      </c>
      <c r="I68" s="323">
        <v>3.98</v>
      </c>
      <c r="J68" s="325" t="s">
        <v>12</v>
      </c>
      <c r="K68" s="323">
        <f t="shared" si="2"/>
        <v>5.7</v>
      </c>
      <c r="L68" s="326" t="s">
        <v>414</v>
      </c>
      <c r="M68" s="363"/>
      <c r="N68" s="328"/>
    </row>
    <row r="69" spans="1:14" ht="20.149999999999999" customHeight="1" x14ac:dyDescent="0.35">
      <c r="A69" s="329">
        <v>14</v>
      </c>
      <c r="B69" s="321">
        <v>60</v>
      </c>
      <c r="C69" s="335" t="s">
        <v>253</v>
      </c>
      <c r="D69" s="335"/>
      <c r="E69" s="323">
        <f>'[1]road inventory 2018'!C122</f>
        <v>9.1999999999999993</v>
      </c>
      <c r="F69" s="323">
        <v>7.1</v>
      </c>
      <c r="G69" s="323">
        <v>0</v>
      </c>
      <c r="H69" s="323">
        <v>0</v>
      </c>
      <c r="I69" s="323">
        <v>2.1</v>
      </c>
      <c r="J69" s="325" t="s">
        <v>10</v>
      </c>
      <c r="K69" s="323">
        <f t="shared" si="2"/>
        <v>9.1999999999999993</v>
      </c>
      <c r="L69" s="326" t="s">
        <v>424</v>
      </c>
      <c r="M69" s="363"/>
      <c r="N69" s="328"/>
    </row>
    <row r="70" spans="1:14" ht="20.149999999999999" customHeight="1" x14ac:dyDescent="0.35">
      <c r="A70" s="329">
        <v>15</v>
      </c>
      <c r="B70" s="321">
        <v>61</v>
      </c>
      <c r="C70" s="335" t="s">
        <v>260</v>
      </c>
      <c r="D70" s="335"/>
      <c r="E70" s="323">
        <f>'[1]road inventory 2018'!C123</f>
        <v>4.5</v>
      </c>
      <c r="F70" s="323">
        <v>1.63</v>
      </c>
      <c r="G70" s="323">
        <v>0</v>
      </c>
      <c r="H70" s="323">
        <v>0</v>
      </c>
      <c r="I70" s="323">
        <f>2.88-0.01</f>
        <v>2.87</v>
      </c>
      <c r="J70" s="325" t="s">
        <v>12</v>
      </c>
      <c r="K70" s="323">
        <f t="shared" si="2"/>
        <v>4.5</v>
      </c>
      <c r="L70" s="326" t="s">
        <v>425</v>
      </c>
      <c r="M70" s="363"/>
      <c r="N70" s="328"/>
    </row>
    <row r="71" spans="1:14" ht="20.149999999999999" customHeight="1" x14ac:dyDescent="0.35">
      <c r="A71" s="329">
        <v>16</v>
      </c>
      <c r="B71" s="321">
        <v>62</v>
      </c>
      <c r="C71" s="335" t="s">
        <v>269</v>
      </c>
      <c r="D71" s="335"/>
      <c r="E71" s="323">
        <f>'[1]road inventory 2018'!C124</f>
        <v>2</v>
      </c>
      <c r="F71" s="323">
        <v>0</v>
      </c>
      <c r="G71" s="323">
        <v>0</v>
      </c>
      <c r="H71" s="323">
        <v>0</v>
      </c>
      <c r="I71" s="323">
        <v>2</v>
      </c>
      <c r="J71" s="325" t="s">
        <v>12</v>
      </c>
      <c r="K71" s="323">
        <f t="shared" si="2"/>
        <v>2</v>
      </c>
      <c r="L71" s="326" t="s">
        <v>426</v>
      </c>
      <c r="M71" s="363"/>
      <c r="N71" s="328"/>
    </row>
    <row r="72" spans="1:14" ht="20.149999999999999" customHeight="1" x14ac:dyDescent="0.35">
      <c r="A72" s="329">
        <v>17</v>
      </c>
      <c r="B72" s="321">
        <v>63</v>
      </c>
      <c r="C72" s="335" t="s">
        <v>265</v>
      </c>
      <c r="D72" s="335"/>
      <c r="E72" s="323">
        <f>'[1]road inventory 2018'!C125</f>
        <v>3</v>
      </c>
      <c r="F72" s="323">
        <v>1.1100000000000001</v>
      </c>
      <c r="G72" s="323">
        <v>0</v>
      </c>
      <c r="H72" s="323">
        <v>0</v>
      </c>
      <c r="I72" s="323">
        <v>1.89</v>
      </c>
      <c r="J72" s="325" t="s">
        <v>12</v>
      </c>
      <c r="K72" s="323">
        <f t="shared" si="2"/>
        <v>3</v>
      </c>
      <c r="L72" s="326" t="s">
        <v>427</v>
      </c>
      <c r="M72" s="363"/>
      <c r="N72" s="328"/>
    </row>
    <row r="73" spans="1:14" ht="20.149999999999999" customHeight="1" x14ac:dyDescent="0.35">
      <c r="A73" s="329">
        <v>18</v>
      </c>
      <c r="B73" s="321">
        <v>98</v>
      </c>
      <c r="C73" s="335" t="s">
        <v>247</v>
      </c>
      <c r="D73" s="335"/>
      <c r="E73" s="323">
        <f>'[1]road inventory 2018'!C126</f>
        <v>5.1000000000000005</v>
      </c>
      <c r="F73" s="323">
        <v>4.9800000000000004</v>
      </c>
      <c r="G73" s="323">
        <v>0</v>
      </c>
      <c r="H73" s="323">
        <v>0</v>
      </c>
      <c r="I73" s="323">
        <v>0.12</v>
      </c>
      <c r="J73" s="325" t="s">
        <v>10</v>
      </c>
      <c r="K73" s="323">
        <f t="shared" si="2"/>
        <v>5.1000000000000005</v>
      </c>
      <c r="L73" s="326" t="s">
        <v>428</v>
      </c>
      <c r="M73" s="363"/>
      <c r="N73" s="328">
        <v>4.9800000000000004</v>
      </c>
    </row>
    <row r="74" spans="1:14" ht="20.149999999999999" customHeight="1" x14ac:dyDescent="0.35">
      <c r="A74" s="329">
        <v>19</v>
      </c>
      <c r="B74" s="321">
        <v>64</v>
      </c>
      <c r="C74" s="335" t="s">
        <v>246</v>
      </c>
      <c r="D74" s="335"/>
      <c r="E74" s="323">
        <f>'[1]road inventory 2018'!C127</f>
        <v>3.6</v>
      </c>
      <c r="F74" s="323">
        <v>3.6</v>
      </c>
      <c r="G74" s="323">
        <v>0</v>
      </c>
      <c r="H74" s="323">
        <v>0</v>
      </c>
      <c r="I74" s="323">
        <v>0</v>
      </c>
      <c r="J74" s="325" t="s">
        <v>10</v>
      </c>
      <c r="K74" s="323">
        <f t="shared" si="2"/>
        <v>3.6</v>
      </c>
      <c r="L74" s="326" t="s">
        <v>429</v>
      </c>
      <c r="M74" s="363"/>
      <c r="N74" s="328"/>
    </row>
    <row r="75" spans="1:14" ht="20.149999999999999" customHeight="1" x14ac:dyDescent="0.35">
      <c r="A75" s="329">
        <v>20</v>
      </c>
      <c r="B75" s="321">
        <v>96</v>
      </c>
      <c r="C75" s="335" t="s">
        <v>270</v>
      </c>
      <c r="D75" s="335"/>
      <c r="E75" s="323">
        <f>'[1]road inventory 2018'!C128</f>
        <v>5.6999999999999993</v>
      </c>
      <c r="F75" s="323">
        <v>2.089</v>
      </c>
      <c r="G75" s="323">
        <v>0</v>
      </c>
      <c r="H75" s="323">
        <v>0</v>
      </c>
      <c r="I75" s="323">
        <v>3.6110000000000002</v>
      </c>
      <c r="J75" s="325" t="s">
        <v>12</v>
      </c>
      <c r="K75" s="323">
        <f t="shared" si="2"/>
        <v>5.7</v>
      </c>
      <c r="L75" s="326" t="s">
        <v>430</v>
      </c>
      <c r="M75" s="363"/>
      <c r="N75" s="328">
        <v>2.089</v>
      </c>
    </row>
    <row r="76" spans="1:14" ht="20.149999999999999" customHeight="1" x14ac:dyDescent="0.35">
      <c r="A76" s="329">
        <v>21</v>
      </c>
      <c r="B76" s="321">
        <v>65</v>
      </c>
      <c r="C76" s="335" t="s">
        <v>261</v>
      </c>
      <c r="D76" s="335"/>
      <c r="E76" s="323">
        <f>'[1]road inventory 2018'!C129</f>
        <v>1.65</v>
      </c>
      <c r="F76" s="323">
        <v>0</v>
      </c>
      <c r="G76" s="323">
        <v>0</v>
      </c>
      <c r="H76" s="323">
        <v>0</v>
      </c>
      <c r="I76" s="323">
        <v>1.65</v>
      </c>
      <c r="J76" s="325" t="s">
        <v>12</v>
      </c>
      <c r="K76" s="323">
        <f t="shared" si="2"/>
        <v>1.65</v>
      </c>
      <c r="L76" s="326" t="s">
        <v>431</v>
      </c>
      <c r="M76" s="363"/>
      <c r="N76" s="328"/>
    </row>
    <row r="77" spans="1:14" ht="20.149999999999999" customHeight="1" x14ac:dyDescent="0.35">
      <c r="A77" s="329">
        <v>22</v>
      </c>
      <c r="B77" s="321">
        <v>66</v>
      </c>
      <c r="C77" s="335" t="s">
        <v>432</v>
      </c>
      <c r="D77" s="335"/>
      <c r="E77" s="323">
        <f>'[1]road inventory 2018'!C130</f>
        <v>3.8000000000000003</v>
      </c>
      <c r="F77" s="323">
        <v>0</v>
      </c>
      <c r="G77" s="323">
        <v>0</v>
      </c>
      <c r="H77" s="323">
        <v>0</v>
      </c>
      <c r="I77" s="323">
        <v>3.8</v>
      </c>
      <c r="J77" s="325" t="s">
        <v>12</v>
      </c>
      <c r="K77" s="323">
        <f t="shared" si="2"/>
        <v>3.8</v>
      </c>
      <c r="L77" s="326" t="s">
        <v>433</v>
      </c>
      <c r="M77" s="363"/>
      <c r="N77" s="328"/>
    </row>
    <row r="78" spans="1:14" ht="20.149999999999999" customHeight="1" x14ac:dyDescent="0.35">
      <c r="A78" s="329">
        <v>23</v>
      </c>
      <c r="B78" s="321">
        <v>67</v>
      </c>
      <c r="C78" s="335" t="s">
        <v>267</v>
      </c>
      <c r="D78" s="335"/>
      <c r="E78" s="323">
        <f>'[1]road inventory 2018'!C131</f>
        <v>1.9</v>
      </c>
      <c r="F78" s="323">
        <v>0.5</v>
      </c>
      <c r="G78" s="323">
        <v>0</v>
      </c>
      <c r="H78" s="323">
        <v>0</v>
      </c>
      <c r="I78" s="323">
        <v>1.4</v>
      </c>
      <c r="J78" s="325" t="s">
        <v>33</v>
      </c>
      <c r="K78" s="323">
        <f t="shared" si="2"/>
        <v>1.9</v>
      </c>
      <c r="L78" s="326" t="s">
        <v>434</v>
      </c>
      <c r="M78" s="363"/>
      <c r="N78" s="328"/>
    </row>
    <row r="79" spans="1:14" ht="20.149999999999999" customHeight="1" x14ac:dyDescent="0.35">
      <c r="A79" s="329">
        <v>24</v>
      </c>
      <c r="B79" s="321">
        <v>68</v>
      </c>
      <c r="C79" s="335" t="s">
        <v>266</v>
      </c>
      <c r="D79" s="335"/>
      <c r="E79" s="323">
        <f>'[1]road inventory 2018'!C132</f>
        <v>1.5999999999999999</v>
      </c>
      <c r="F79" s="323">
        <v>0.25</v>
      </c>
      <c r="G79" s="323">
        <v>0</v>
      </c>
      <c r="H79" s="323">
        <v>0</v>
      </c>
      <c r="I79" s="323">
        <v>1.35</v>
      </c>
      <c r="J79" s="325" t="s">
        <v>33</v>
      </c>
      <c r="K79" s="323">
        <f t="shared" si="2"/>
        <v>1.6</v>
      </c>
      <c r="L79" s="326" t="s">
        <v>434</v>
      </c>
      <c r="M79" s="363"/>
      <c r="N79" s="328"/>
    </row>
    <row r="80" spans="1:14" ht="20.149999999999999" customHeight="1" x14ac:dyDescent="0.35">
      <c r="A80" s="329">
        <v>25</v>
      </c>
      <c r="B80" s="321">
        <v>69</v>
      </c>
      <c r="C80" s="335" t="s">
        <v>264</v>
      </c>
      <c r="D80" s="335"/>
      <c r="E80" s="323">
        <f>'[1]road inventory 2018'!C133</f>
        <v>1.6</v>
      </c>
      <c r="F80" s="323">
        <v>0</v>
      </c>
      <c r="G80" s="323">
        <v>0</v>
      </c>
      <c r="H80" s="323">
        <v>0</v>
      </c>
      <c r="I80" s="323">
        <v>1.6</v>
      </c>
      <c r="J80" s="325" t="s">
        <v>33</v>
      </c>
      <c r="K80" s="323">
        <f t="shared" si="2"/>
        <v>1.6</v>
      </c>
      <c r="L80" s="326" t="s">
        <v>435</v>
      </c>
      <c r="M80" s="363"/>
      <c r="N80" s="328"/>
    </row>
    <row r="81" spans="1:17" ht="20.149999999999999" customHeight="1" x14ac:dyDescent="0.35">
      <c r="A81" s="329">
        <v>26</v>
      </c>
      <c r="B81" s="321">
        <v>70</v>
      </c>
      <c r="C81" s="335" t="s">
        <v>263</v>
      </c>
      <c r="D81" s="335"/>
      <c r="E81" s="323">
        <f>'[1]road inventory 2018'!C136</f>
        <v>2.6</v>
      </c>
      <c r="F81" s="323">
        <v>0</v>
      </c>
      <c r="G81" s="323">
        <v>0</v>
      </c>
      <c r="H81" s="323">
        <v>0</v>
      </c>
      <c r="I81" s="323">
        <v>2.6</v>
      </c>
      <c r="J81" s="325" t="s">
        <v>33</v>
      </c>
      <c r="K81" s="323">
        <f t="shared" si="2"/>
        <v>2.6</v>
      </c>
      <c r="L81" s="326" t="s">
        <v>436</v>
      </c>
      <c r="M81" s="363"/>
      <c r="N81" s="328"/>
    </row>
    <row r="82" spans="1:17" ht="20.149999999999999" customHeight="1" x14ac:dyDescent="0.35">
      <c r="A82" s="329">
        <v>27</v>
      </c>
      <c r="B82" s="321">
        <v>71</v>
      </c>
      <c r="C82" s="335" t="s">
        <v>54</v>
      </c>
      <c r="D82" s="335"/>
      <c r="E82" s="323">
        <f>'[1]road inventory 2018'!C137</f>
        <v>2.7</v>
      </c>
      <c r="F82" s="323">
        <v>0</v>
      </c>
      <c r="G82" s="323">
        <v>0</v>
      </c>
      <c r="H82" s="323">
        <v>0</v>
      </c>
      <c r="I82" s="323">
        <v>2.7</v>
      </c>
      <c r="J82" s="325" t="s">
        <v>12</v>
      </c>
      <c r="K82" s="323">
        <f t="shared" si="2"/>
        <v>2.7</v>
      </c>
      <c r="L82" s="326" t="s">
        <v>437</v>
      </c>
      <c r="M82" s="363"/>
      <c r="N82" s="328"/>
    </row>
    <row r="83" spans="1:17" ht="20.149999999999999" customHeight="1" x14ac:dyDescent="0.35">
      <c r="A83" s="329">
        <v>28</v>
      </c>
      <c r="B83" s="321">
        <v>72</v>
      </c>
      <c r="C83" s="335" t="s">
        <v>56</v>
      </c>
      <c r="D83" s="335"/>
      <c r="E83" s="323">
        <f>'[1]road inventory 2018'!C138</f>
        <v>1.7</v>
      </c>
      <c r="F83" s="323">
        <v>0.83</v>
      </c>
      <c r="G83" s="323">
        <v>0</v>
      </c>
      <c r="H83" s="323">
        <v>0</v>
      </c>
      <c r="I83" s="323">
        <v>0.87</v>
      </c>
      <c r="J83" s="325" t="s">
        <v>12</v>
      </c>
      <c r="K83" s="323">
        <f t="shared" si="2"/>
        <v>1.7</v>
      </c>
      <c r="L83" s="326" t="s">
        <v>438</v>
      </c>
      <c r="M83" s="363"/>
      <c r="N83" s="328"/>
    </row>
    <row r="84" spans="1:17" ht="20.149999999999999" customHeight="1" x14ac:dyDescent="0.35">
      <c r="A84" s="329">
        <v>29</v>
      </c>
      <c r="B84" s="321">
        <v>73</v>
      </c>
      <c r="C84" s="336" t="s">
        <v>258</v>
      </c>
      <c r="D84" s="336"/>
      <c r="E84" s="323">
        <f>'[1]road inventory 2018'!C139</f>
        <v>5.5</v>
      </c>
      <c r="F84" s="323">
        <v>0</v>
      </c>
      <c r="G84" s="323">
        <v>0</v>
      </c>
      <c r="H84" s="323">
        <v>0</v>
      </c>
      <c r="I84" s="323">
        <v>5.5</v>
      </c>
      <c r="J84" s="325" t="s">
        <v>12</v>
      </c>
      <c r="K84" s="323">
        <f t="shared" si="2"/>
        <v>5.5</v>
      </c>
      <c r="L84" s="326" t="s">
        <v>439</v>
      </c>
      <c r="M84" s="363"/>
      <c r="N84" s="328"/>
    </row>
    <row r="85" spans="1:17" ht="20.149999999999999" customHeight="1" x14ac:dyDescent="0.35">
      <c r="A85" s="329">
        <v>30</v>
      </c>
      <c r="B85" s="321">
        <v>74</v>
      </c>
      <c r="C85" s="336" t="s">
        <v>257</v>
      </c>
      <c r="D85" s="336"/>
      <c r="E85" s="323">
        <f>'[1]road inventory 2018'!C140</f>
        <v>0.5</v>
      </c>
      <c r="F85" s="323">
        <v>0</v>
      </c>
      <c r="G85" s="323">
        <v>0</v>
      </c>
      <c r="H85" s="323">
        <v>0</v>
      </c>
      <c r="I85" s="323">
        <v>0.5</v>
      </c>
      <c r="J85" s="325" t="s">
        <v>33</v>
      </c>
      <c r="K85" s="323">
        <f t="shared" si="2"/>
        <v>0.5</v>
      </c>
      <c r="L85" s="326" t="s">
        <v>439</v>
      </c>
      <c r="M85" s="363"/>
      <c r="N85" s="328"/>
    </row>
    <row r="86" spans="1:17" ht="20.149999999999999" customHeight="1" x14ac:dyDescent="0.35">
      <c r="A86" s="329">
        <v>31</v>
      </c>
      <c r="B86" s="321">
        <v>75</v>
      </c>
      <c r="C86" s="336" t="s">
        <v>259</v>
      </c>
      <c r="D86" s="336"/>
      <c r="E86" s="323">
        <f>'[1]road inventory 2018'!C141</f>
        <v>2.1</v>
      </c>
      <c r="F86" s="323">
        <v>0</v>
      </c>
      <c r="G86" s="323">
        <v>0</v>
      </c>
      <c r="H86" s="323">
        <v>0</v>
      </c>
      <c r="I86" s="323">
        <v>2.1</v>
      </c>
      <c r="J86" s="325" t="s">
        <v>33</v>
      </c>
      <c r="K86" s="323">
        <f t="shared" si="2"/>
        <v>2.1</v>
      </c>
      <c r="L86" s="326" t="s">
        <v>440</v>
      </c>
      <c r="M86" s="363"/>
      <c r="N86" s="328"/>
    </row>
    <row r="87" spans="1:17" ht="20.149999999999999" customHeight="1" x14ac:dyDescent="0.35">
      <c r="A87" s="329">
        <v>32</v>
      </c>
      <c r="B87" s="321">
        <v>76</v>
      </c>
      <c r="C87" s="336" t="s">
        <v>256</v>
      </c>
      <c r="D87" s="336"/>
      <c r="E87" s="323">
        <f>'[1]road inventory 2018'!C142</f>
        <v>0.2</v>
      </c>
      <c r="F87" s="323">
        <v>0.2</v>
      </c>
      <c r="G87" s="323">
        <v>0</v>
      </c>
      <c r="H87" s="323">
        <v>0</v>
      </c>
      <c r="I87" s="323">
        <v>0</v>
      </c>
      <c r="J87" s="325" t="s">
        <v>12</v>
      </c>
      <c r="K87" s="323">
        <f t="shared" si="2"/>
        <v>0.2</v>
      </c>
      <c r="L87" s="326" t="s">
        <v>425</v>
      </c>
      <c r="M87" s="363"/>
      <c r="N87" s="328"/>
    </row>
    <row r="88" spans="1:17" s="317" customFormat="1" ht="20.149999999999999" customHeight="1" x14ac:dyDescent="0.35">
      <c r="B88" s="373"/>
      <c r="C88" s="374" t="s">
        <v>341</v>
      </c>
      <c r="D88" s="374"/>
      <c r="E88" s="375">
        <f>SUM(E56:E87)</f>
        <v>107.84999999999998</v>
      </c>
      <c r="F88" s="375">
        <f>SUM(F56:F87)</f>
        <v>41.619</v>
      </c>
      <c r="G88" s="375">
        <f>SUM(G56:G87)</f>
        <v>0</v>
      </c>
      <c r="H88" s="375">
        <f>SUM(H56:H87)</f>
        <v>0</v>
      </c>
      <c r="I88" s="375">
        <f>SUM(I56:I87)</f>
        <v>66.230999999999995</v>
      </c>
      <c r="J88" s="376"/>
      <c r="K88" s="375"/>
      <c r="L88" s="372"/>
      <c r="M88" s="453"/>
      <c r="N88" s="377"/>
      <c r="O88" s="320"/>
    </row>
    <row r="89" spans="1:17" ht="20.149999999999999" customHeight="1" x14ac:dyDescent="0.35">
      <c r="B89" s="321"/>
      <c r="C89" s="330"/>
      <c r="D89" s="330"/>
      <c r="E89" s="323"/>
      <c r="F89" s="323"/>
      <c r="G89" s="323"/>
      <c r="H89" s="323"/>
      <c r="I89" s="323"/>
      <c r="J89" s="325"/>
      <c r="K89" s="323"/>
      <c r="L89" s="326"/>
      <c r="M89" s="363"/>
      <c r="N89" s="328"/>
      <c r="O89" s="331"/>
    </row>
    <row r="90" spans="1:17" s="317" customFormat="1" ht="20.149999999999999" customHeight="1" x14ac:dyDescent="0.35">
      <c r="B90" s="390" t="s">
        <v>342</v>
      </c>
      <c r="C90" s="378"/>
      <c r="D90" s="378"/>
      <c r="E90" s="375"/>
      <c r="F90" s="375"/>
      <c r="G90" s="375"/>
      <c r="H90" s="375"/>
      <c r="I90" s="375"/>
      <c r="J90" s="376"/>
      <c r="K90" s="375"/>
      <c r="L90" s="378"/>
      <c r="M90" s="453"/>
      <c r="N90" s="377"/>
    </row>
    <row r="91" spans="1:17" ht="20.149999999999999" customHeight="1" x14ac:dyDescent="0.35">
      <c r="A91" s="329">
        <v>1</v>
      </c>
      <c r="B91" s="321">
        <v>21</v>
      </c>
      <c r="C91" s="336" t="s">
        <v>241</v>
      </c>
      <c r="D91" s="336"/>
      <c r="E91" s="323">
        <f>'[1]road inventory 2018'!C41</f>
        <v>4.3</v>
      </c>
      <c r="F91" s="323">
        <v>4.3</v>
      </c>
      <c r="G91" s="323">
        <v>0</v>
      </c>
      <c r="H91" s="323">
        <v>0</v>
      </c>
      <c r="I91" s="323">
        <v>0</v>
      </c>
      <c r="J91" s="325" t="s">
        <v>10</v>
      </c>
      <c r="K91" s="323">
        <f t="shared" ref="K91:K117" si="3">SUM(F91:I91)</f>
        <v>4.3</v>
      </c>
      <c r="L91" s="326" t="s">
        <v>345</v>
      </c>
      <c r="M91" s="363"/>
      <c r="N91" s="328">
        <v>4.3</v>
      </c>
      <c r="O91" s="331"/>
      <c r="P91" s="331"/>
      <c r="Q91" s="331"/>
    </row>
    <row r="92" spans="1:17" ht="20.149999999999999" customHeight="1" x14ac:dyDescent="0.35">
      <c r="A92" s="329">
        <v>2</v>
      </c>
      <c r="B92" s="321">
        <v>22</v>
      </c>
      <c r="C92" s="336" t="s">
        <v>225</v>
      </c>
      <c r="D92" s="336"/>
      <c r="E92" s="323">
        <f>'[1]road inventory 2018'!C42</f>
        <v>3.9</v>
      </c>
      <c r="F92" s="323">
        <v>0</v>
      </c>
      <c r="G92" s="323">
        <v>0</v>
      </c>
      <c r="H92" s="323">
        <v>0</v>
      </c>
      <c r="I92" s="323">
        <v>3.9</v>
      </c>
      <c r="J92" s="325" t="s">
        <v>33</v>
      </c>
      <c r="K92" s="323">
        <f t="shared" si="3"/>
        <v>3.9</v>
      </c>
      <c r="L92" s="326" t="s">
        <v>346</v>
      </c>
      <c r="M92" s="363"/>
      <c r="N92" s="328"/>
    </row>
    <row r="93" spans="1:17" ht="20.149999999999999" customHeight="1" x14ac:dyDescent="0.35">
      <c r="A93" s="329">
        <v>3</v>
      </c>
      <c r="B93" s="321">
        <v>23</v>
      </c>
      <c r="C93" s="336" t="s">
        <v>237</v>
      </c>
      <c r="D93" s="336"/>
      <c r="E93" s="323">
        <f>'[1]road inventory 2018'!C43</f>
        <v>4.3</v>
      </c>
      <c r="F93" s="323">
        <v>2.9</v>
      </c>
      <c r="G93" s="323">
        <v>0</v>
      </c>
      <c r="H93" s="323">
        <v>0</v>
      </c>
      <c r="I93" s="323">
        <v>1.4</v>
      </c>
      <c r="J93" s="325" t="s">
        <v>12</v>
      </c>
      <c r="K93" s="323">
        <f t="shared" si="3"/>
        <v>4.3</v>
      </c>
      <c r="L93" s="326" t="s">
        <v>347</v>
      </c>
      <c r="M93" s="363"/>
      <c r="N93" s="328"/>
    </row>
    <row r="94" spans="1:17" ht="20.149999999999999" customHeight="1" x14ac:dyDescent="0.35">
      <c r="A94" s="329">
        <v>4</v>
      </c>
      <c r="B94" s="321">
        <v>24</v>
      </c>
      <c r="C94" s="336" t="s">
        <v>236</v>
      </c>
      <c r="D94" s="336"/>
      <c r="E94" s="323">
        <v>7.9</v>
      </c>
      <c r="F94" s="323">
        <v>7.9</v>
      </c>
      <c r="G94" s="323">
        <v>0</v>
      </c>
      <c r="H94" s="323">
        <v>0</v>
      </c>
      <c r="I94" s="323">
        <v>0</v>
      </c>
      <c r="J94" s="325" t="s">
        <v>12</v>
      </c>
      <c r="K94" s="323">
        <f t="shared" si="3"/>
        <v>7.9</v>
      </c>
      <c r="L94" s="326" t="s">
        <v>347</v>
      </c>
      <c r="M94" s="363"/>
      <c r="N94" s="328"/>
    </row>
    <row r="95" spans="1:17" ht="20.149999999999999" customHeight="1" x14ac:dyDescent="0.35">
      <c r="A95" s="329">
        <v>5</v>
      </c>
      <c r="B95" s="321">
        <v>25</v>
      </c>
      <c r="C95" s="336" t="s">
        <v>30</v>
      </c>
      <c r="D95" s="336"/>
      <c r="E95" s="323">
        <f>'[1]road inventory 2018'!C45</f>
        <v>1.7</v>
      </c>
      <c r="F95" s="323">
        <v>0</v>
      </c>
      <c r="G95" s="323">
        <v>0</v>
      </c>
      <c r="H95" s="323">
        <v>0</v>
      </c>
      <c r="I95" s="323">
        <v>1.7</v>
      </c>
      <c r="J95" s="325" t="s">
        <v>12</v>
      </c>
      <c r="K95" s="323">
        <f t="shared" si="3"/>
        <v>1.7</v>
      </c>
      <c r="L95" s="326" t="s">
        <v>348</v>
      </c>
      <c r="M95" s="363"/>
      <c r="N95" s="328"/>
    </row>
    <row r="96" spans="1:17" ht="20.149999999999999" customHeight="1" x14ac:dyDescent="0.35">
      <c r="A96" s="329">
        <v>6</v>
      </c>
      <c r="B96" s="321">
        <v>26</v>
      </c>
      <c r="C96" s="336" t="s">
        <v>350</v>
      </c>
      <c r="D96" s="336"/>
      <c r="E96" s="323">
        <f>'[1]road inventory 2018'!C46</f>
        <v>5.9</v>
      </c>
      <c r="F96" s="323">
        <v>1.85</v>
      </c>
      <c r="G96" s="323">
        <v>0</v>
      </c>
      <c r="H96" s="323">
        <v>0</v>
      </c>
      <c r="I96" s="323">
        <v>4.05</v>
      </c>
      <c r="J96" s="326" t="s">
        <v>10</v>
      </c>
      <c r="K96" s="323">
        <f t="shared" si="3"/>
        <v>5.9</v>
      </c>
      <c r="L96" s="326" t="s">
        <v>348</v>
      </c>
      <c r="M96" s="363"/>
      <c r="N96" s="328">
        <v>1.85</v>
      </c>
    </row>
    <row r="97" spans="1:14" ht="20.149999999999999" customHeight="1" x14ac:dyDescent="0.35">
      <c r="A97" s="329">
        <v>7</v>
      </c>
      <c r="B97" s="321">
        <v>27</v>
      </c>
      <c r="C97" s="336" t="s">
        <v>224</v>
      </c>
      <c r="D97" s="336"/>
      <c r="E97" s="323">
        <f>'[1]road inventory 2018'!C47</f>
        <v>1.9</v>
      </c>
      <c r="F97" s="323">
        <v>0.28000000000000003</v>
      </c>
      <c r="G97" s="323">
        <v>0</v>
      </c>
      <c r="H97" s="323">
        <v>0</v>
      </c>
      <c r="I97" s="323">
        <v>1.62</v>
      </c>
      <c r="J97" s="325" t="s">
        <v>12</v>
      </c>
      <c r="K97" s="323">
        <f t="shared" si="3"/>
        <v>1.9000000000000001</v>
      </c>
      <c r="L97" s="326" t="s">
        <v>351</v>
      </c>
      <c r="M97" s="363"/>
      <c r="N97" s="328"/>
    </row>
    <row r="98" spans="1:14" ht="20.149999999999999" customHeight="1" x14ac:dyDescent="0.35">
      <c r="A98" s="329">
        <v>8</v>
      </c>
      <c r="B98" s="321">
        <v>28</v>
      </c>
      <c r="C98" s="336" t="s">
        <v>233</v>
      </c>
      <c r="D98" s="336"/>
      <c r="E98" s="323">
        <f>'[1]road inventory 2018'!C48</f>
        <v>5.6</v>
      </c>
      <c r="F98" s="323">
        <v>1.55</v>
      </c>
      <c r="G98" s="323">
        <v>0</v>
      </c>
      <c r="H98" s="323">
        <v>0</v>
      </c>
      <c r="I98" s="323">
        <v>4.05</v>
      </c>
      <c r="J98" s="325" t="s">
        <v>33</v>
      </c>
      <c r="K98" s="323">
        <f t="shared" si="3"/>
        <v>5.6</v>
      </c>
      <c r="L98" s="326" t="s">
        <v>352</v>
      </c>
      <c r="M98" s="363"/>
      <c r="N98" s="328"/>
    </row>
    <row r="99" spans="1:14" ht="20.149999999999999" customHeight="1" x14ac:dyDescent="0.35">
      <c r="A99" s="329">
        <v>9</v>
      </c>
      <c r="B99" s="321">
        <v>29</v>
      </c>
      <c r="C99" s="336" t="s">
        <v>239</v>
      </c>
      <c r="D99" s="336"/>
      <c r="E99" s="323">
        <f>'[1]road inventory 2018'!C49</f>
        <v>0.8</v>
      </c>
      <c r="F99" s="323">
        <v>0.8</v>
      </c>
      <c r="G99" s="323">
        <v>0</v>
      </c>
      <c r="H99" s="323">
        <v>0</v>
      </c>
      <c r="I99" s="323">
        <v>0</v>
      </c>
      <c r="J99" s="325" t="s">
        <v>12</v>
      </c>
      <c r="K99" s="323">
        <f t="shared" si="3"/>
        <v>0.8</v>
      </c>
      <c r="L99" s="326" t="s">
        <v>353</v>
      </c>
      <c r="M99" s="363"/>
      <c r="N99" s="328"/>
    </row>
    <row r="100" spans="1:14" ht="20.149999999999999" customHeight="1" x14ac:dyDescent="0.35">
      <c r="A100" s="329">
        <v>10</v>
      </c>
      <c r="B100" s="321">
        <v>30</v>
      </c>
      <c r="C100" s="336" t="s">
        <v>354</v>
      </c>
      <c r="D100" s="336"/>
      <c r="E100" s="323">
        <f>'[1]road inventory 2018'!C50</f>
        <v>2</v>
      </c>
      <c r="F100" s="323">
        <v>0</v>
      </c>
      <c r="G100" s="323">
        <v>0</v>
      </c>
      <c r="H100" s="323">
        <v>0</v>
      </c>
      <c r="I100" s="323">
        <v>2</v>
      </c>
      <c r="J100" s="325" t="s">
        <v>10</v>
      </c>
      <c r="K100" s="323">
        <f t="shared" si="3"/>
        <v>2</v>
      </c>
      <c r="L100" s="326" t="s">
        <v>355</v>
      </c>
      <c r="M100" s="363"/>
      <c r="N100" s="328" t="s">
        <v>753</v>
      </c>
    </row>
    <row r="101" spans="1:14" ht="20.149999999999999" customHeight="1" x14ac:dyDescent="0.35">
      <c r="A101" s="329">
        <v>11</v>
      </c>
      <c r="B101" s="321">
        <v>106</v>
      </c>
      <c r="C101" s="336" t="s">
        <v>238</v>
      </c>
      <c r="D101" s="336"/>
      <c r="E101" s="323">
        <f>'[1]road inventory 2018'!C51</f>
        <v>3.2</v>
      </c>
      <c r="F101" s="323">
        <v>3.2</v>
      </c>
      <c r="G101" s="323">
        <v>0</v>
      </c>
      <c r="H101" s="323">
        <v>0</v>
      </c>
      <c r="I101" s="323">
        <v>0</v>
      </c>
      <c r="J101" s="325" t="s">
        <v>10</v>
      </c>
      <c r="K101" s="323">
        <f t="shared" si="3"/>
        <v>3.2</v>
      </c>
      <c r="L101" s="326" t="s">
        <v>358</v>
      </c>
      <c r="M101" s="363"/>
      <c r="N101" s="328"/>
    </row>
    <row r="102" spans="1:14" ht="20.149999999999999" customHeight="1" x14ac:dyDescent="0.35">
      <c r="A102" s="329">
        <v>12</v>
      </c>
      <c r="B102" s="321">
        <v>31</v>
      </c>
      <c r="C102" s="336" t="s">
        <v>359</v>
      </c>
      <c r="D102" s="336"/>
      <c r="E102" s="323">
        <f>'[1]road inventory 2018'!C52</f>
        <v>0.8</v>
      </c>
      <c r="F102" s="323">
        <v>0.8</v>
      </c>
      <c r="G102" s="323">
        <v>0</v>
      </c>
      <c r="H102" s="323">
        <v>0</v>
      </c>
      <c r="I102" s="323">
        <v>0</v>
      </c>
      <c r="J102" s="325" t="s">
        <v>12</v>
      </c>
      <c r="K102" s="323">
        <f t="shared" si="3"/>
        <v>0.8</v>
      </c>
      <c r="L102" s="326" t="s">
        <v>360</v>
      </c>
      <c r="M102" s="363"/>
      <c r="N102" s="328"/>
    </row>
    <row r="103" spans="1:14" ht="20.149999999999999" customHeight="1" x14ac:dyDescent="0.35">
      <c r="A103" s="329">
        <v>13</v>
      </c>
      <c r="B103" s="321">
        <v>32</v>
      </c>
      <c r="C103" s="336" t="s">
        <v>232</v>
      </c>
      <c r="D103" s="336"/>
      <c r="E103" s="323">
        <f>'[1]road inventory 2018'!C53</f>
        <v>3</v>
      </c>
      <c r="F103" s="323">
        <v>0</v>
      </c>
      <c r="G103" s="323">
        <v>0</v>
      </c>
      <c r="H103" s="323">
        <v>0</v>
      </c>
      <c r="I103" s="323">
        <v>3</v>
      </c>
      <c r="J103" s="325" t="s">
        <v>41</v>
      </c>
      <c r="K103" s="323">
        <f t="shared" si="3"/>
        <v>3</v>
      </c>
      <c r="L103" s="326" t="s">
        <v>361</v>
      </c>
      <c r="M103" s="363"/>
      <c r="N103" s="328"/>
    </row>
    <row r="104" spans="1:14" ht="20.149999999999999" customHeight="1" x14ac:dyDescent="0.35">
      <c r="A104" s="329">
        <v>14</v>
      </c>
      <c r="B104" s="321">
        <v>33</v>
      </c>
      <c r="C104" s="336" t="s">
        <v>34</v>
      </c>
      <c r="D104" s="336"/>
      <c r="E104" s="323">
        <f>'[1]road inventory 2018'!C54</f>
        <v>2.4</v>
      </c>
      <c r="F104" s="323">
        <v>0</v>
      </c>
      <c r="G104" s="323">
        <v>0</v>
      </c>
      <c r="H104" s="323">
        <v>0</v>
      </c>
      <c r="I104" s="323">
        <v>2.4</v>
      </c>
      <c r="J104" s="326" t="s">
        <v>33</v>
      </c>
      <c r="K104" s="323">
        <f t="shared" si="3"/>
        <v>2.4</v>
      </c>
      <c r="L104" s="326" t="s">
        <v>362</v>
      </c>
      <c r="M104" s="363"/>
      <c r="N104" s="328"/>
    </row>
    <row r="105" spans="1:14" ht="20.149999999999999" customHeight="1" x14ac:dyDescent="0.35">
      <c r="A105" s="329">
        <v>15</v>
      </c>
      <c r="B105" s="321">
        <v>34</v>
      </c>
      <c r="C105" s="336" t="s">
        <v>235</v>
      </c>
      <c r="D105" s="336"/>
      <c r="E105" s="323">
        <f>'[1]road inventory 2018'!C55</f>
        <v>4.2</v>
      </c>
      <c r="F105" s="323">
        <v>0</v>
      </c>
      <c r="G105" s="323">
        <v>0</v>
      </c>
      <c r="H105" s="323">
        <v>0</v>
      </c>
      <c r="I105" s="323">
        <v>4.2</v>
      </c>
      <c r="J105" s="325" t="s">
        <v>41</v>
      </c>
      <c r="K105" s="323">
        <f t="shared" si="3"/>
        <v>4.2</v>
      </c>
      <c r="L105" s="326" t="s">
        <v>363</v>
      </c>
      <c r="M105" s="363"/>
      <c r="N105" s="328"/>
    </row>
    <row r="106" spans="1:14" ht="20.149999999999999" customHeight="1" x14ac:dyDescent="0.35">
      <c r="A106" s="329">
        <v>16</v>
      </c>
      <c r="B106" s="321">
        <v>35</v>
      </c>
      <c r="C106" s="336" t="s">
        <v>364</v>
      </c>
      <c r="D106" s="336"/>
      <c r="E106" s="323">
        <f>'[1]road inventory 2018'!C56</f>
        <v>3</v>
      </c>
      <c r="F106" s="323">
        <f>0.4+0.31+0.1</f>
        <v>0.80999999999999994</v>
      </c>
      <c r="G106" s="323">
        <v>0</v>
      </c>
      <c r="H106" s="323">
        <v>0</v>
      </c>
      <c r="I106" s="323">
        <v>2.19</v>
      </c>
      <c r="J106" s="325" t="s">
        <v>12</v>
      </c>
      <c r="K106" s="323">
        <f t="shared" si="3"/>
        <v>3</v>
      </c>
      <c r="L106" s="326" t="s">
        <v>365</v>
      </c>
      <c r="M106" s="363"/>
      <c r="N106" s="328"/>
    </row>
    <row r="107" spans="1:14" ht="20.149999999999999" customHeight="1" x14ac:dyDescent="0.35">
      <c r="A107" s="329">
        <v>17</v>
      </c>
      <c r="B107" s="321">
        <v>36</v>
      </c>
      <c r="C107" s="336" t="s">
        <v>366</v>
      </c>
      <c r="D107" s="336"/>
      <c r="E107" s="323">
        <f>'[1]road inventory 2018'!C57</f>
        <v>6.2</v>
      </c>
      <c r="F107" s="323">
        <v>0</v>
      </c>
      <c r="G107" s="323">
        <v>0</v>
      </c>
      <c r="H107" s="323">
        <v>0</v>
      </c>
      <c r="I107" s="323">
        <v>6.2</v>
      </c>
      <c r="J107" s="325" t="s">
        <v>12</v>
      </c>
      <c r="K107" s="323">
        <f t="shared" si="3"/>
        <v>6.2</v>
      </c>
      <c r="L107" s="326" t="s">
        <v>367</v>
      </c>
      <c r="M107" s="363"/>
      <c r="N107" s="328"/>
    </row>
    <row r="108" spans="1:14" ht="20.149999999999999" customHeight="1" x14ac:dyDescent="0.35">
      <c r="A108" s="329">
        <v>18</v>
      </c>
      <c r="B108" s="321">
        <v>37</v>
      </c>
      <c r="C108" s="336" t="s">
        <v>234</v>
      </c>
      <c r="D108" s="336"/>
      <c r="E108" s="323">
        <f>'[1]road inventory 2018'!C58</f>
        <v>1.6</v>
      </c>
      <c r="F108" s="323">
        <v>0</v>
      </c>
      <c r="G108" s="323">
        <v>0</v>
      </c>
      <c r="H108" s="323">
        <v>0</v>
      </c>
      <c r="I108" s="323">
        <v>1.6</v>
      </c>
      <c r="J108" s="325" t="s">
        <v>41</v>
      </c>
      <c r="K108" s="323">
        <f t="shared" si="3"/>
        <v>1.6</v>
      </c>
      <c r="L108" s="326" t="s">
        <v>368</v>
      </c>
      <c r="M108" s="363"/>
      <c r="N108" s="328"/>
    </row>
    <row r="109" spans="1:14" ht="20.149999999999999" customHeight="1" x14ac:dyDescent="0.35">
      <c r="A109" s="329">
        <v>19</v>
      </c>
      <c r="B109" s="321">
        <v>38</v>
      </c>
      <c r="C109" s="336" t="s">
        <v>36</v>
      </c>
      <c r="D109" s="336"/>
      <c r="E109" s="323">
        <f>'[1]road inventory 2018'!C59</f>
        <v>4.4000000000000004</v>
      </c>
      <c r="F109" s="323">
        <v>1.58</v>
      </c>
      <c r="G109" s="323">
        <v>0</v>
      </c>
      <c r="H109" s="323">
        <v>0</v>
      </c>
      <c r="I109" s="323">
        <v>2.82</v>
      </c>
      <c r="J109" s="325" t="s">
        <v>12</v>
      </c>
      <c r="K109" s="323">
        <f t="shared" si="3"/>
        <v>4.4000000000000004</v>
      </c>
      <c r="L109" s="326" t="s">
        <v>369</v>
      </c>
      <c r="M109" s="363"/>
      <c r="N109" s="328">
        <v>1.58</v>
      </c>
    </row>
    <row r="110" spans="1:14" ht="20.149999999999999" customHeight="1" x14ac:dyDescent="0.35">
      <c r="A110" s="329">
        <v>20</v>
      </c>
      <c r="B110" s="321">
        <v>39</v>
      </c>
      <c r="C110" s="336" t="s">
        <v>370</v>
      </c>
      <c r="D110" s="336"/>
      <c r="E110" s="323">
        <f>'[1]road inventory 2018'!C60</f>
        <v>4.9000000000000004</v>
      </c>
      <c r="F110" s="323">
        <v>0.14000000000000001</v>
      </c>
      <c r="G110" s="323">
        <v>0</v>
      </c>
      <c r="H110" s="323">
        <v>0</v>
      </c>
      <c r="I110" s="323">
        <v>4.76</v>
      </c>
      <c r="J110" s="325" t="s">
        <v>12</v>
      </c>
      <c r="K110" s="323">
        <f t="shared" si="3"/>
        <v>4.8999999999999995</v>
      </c>
      <c r="L110" s="326" t="s">
        <v>371</v>
      </c>
      <c r="M110" s="363"/>
      <c r="N110" s="328"/>
    </row>
    <row r="111" spans="1:14" ht="20.149999999999999" customHeight="1" x14ac:dyDescent="0.35">
      <c r="A111" s="329">
        <v>21</v>
      </c>
      <c r="B111" s="321">
        <v>105</v>
      </c>
      <c r="C111" s="336" t="s">
        <v>228</v>
      </c>
      <c r="D111" s="336"/>
      <c r="E111" s="323">
        <f>'[1]road inventory 2018'!C61</f>
        <v>3.6</v>
      </c>
      <c r="F111" s="323">
        <v>0</v>
      </c>
      <c r="G111" s="323">
        <v>0</v>
      </c>
      <c r="H111" s="323">
        <v>0</v>
      </c>
      <c r="I111" s="323">
        <v>3.6</v>
      </c>
      <c r="J111" s="325" t="s">
        <v>12</v>
      </c>
      <c r="K111" s="323">
        <f t="shared" si="3"/>
        <v>3.6</v>
      </c>
      <c r="L111" s="326" t="s">
        <v>372</v>
      </c>
      <c r="M111" s="363"/>
      <c r="N111" s="328"/>
    </row>
    <row r="112" spans="1:14" ht="20.149999999999999" customHeight="1" x14ac:dyDescent="0.35">
      <c r="A112" s="329">
        <v>22</v>
      </c>
      <c r="B112" s="321">
        <v>40</v>
      </c>
      <c r="C112" s="336" t="s">
        <v>231</v>
      </c>
      <c r="D112" s="336"/>
      <c r="E112" s="323">
        <f>'[1]road inventory 2018'!C62</f>
        <v>1.5</v>
      </c>
      <c r="F112" s="323">
        <v>1.1000000000000001</v>
      </c>
      <c r="G112" s="323">
        <v>0</v>
      </c>
      <c r="H112" s="323">
        <v>0</v>
      </c>
      <c r="I112" s="323">
        <v>0.4</v>
      </c>
      <c r="J112" s="325" t="s">
        <v>10</v>
      </c>
      <c r="K112" s="323">
        <f t="shared" si="3"/>
        <v>1.5</v>
      </c>
      <c r="L112" s="326" t="s">
        <v>373</v>
      </c>
      <c r="M112" s="363"/>
      <c r="N112" s="328"/>
    </row>
    <row r="113" spans="1:17" ht="20.149999999999999" customHeight="1" x14ac:dyDescent="0.35">
      <c r="A113" s="329">
        <v>23</v>
      </c>
      <c r="B113" s="321">
        <v>41</v>
      </c>
      <c r="C113" s="336" t="s">
        <v>230</v>
      </c>
      <c r="D113" s="336"/>
      <c r="E113" s="323">
        <f>'[1]road inventory 2018'!C63</f>
        <v>2.8</v>
      </c>
      <c r="F113" s="323">
        <v>0</v>
      </c>
      <c r="G113" s="323">
        <v>0</v>
      </c>
      <c r="H113" s="323">
        <v>0</v>
      </c>
      <c r="I113" s="323">
        <v>2.8</v>
      </c>
      <c r="J113" s="325" t="s">
        <v>12</v>
      </c>
      <c r="K113" s="323">
        <f t="shared" si="3"/>
        <v>2.8</v>
      </c>
      <c r="L113" s="326" t="s">
        <v>374</v>
      </c>
      <c r="M113" s="363"/>
      <c r="N113" s="328"/>
    </row>
    <row r="114" spans="1:17" ht="20.149999999999999" customHeight="1" x14ac:dyDescent="0.35">
      <c r="A114" s="329">
        <v>24</v>
      </c>
      <c r="B114" s="321">
        <v>42</v>
      </c>
      <c r="C114" s="336" t="s">
        <v>227</v>
      </c>
      <c r="D114" s="336"/>
      <c r="E114" s="323">
        <f>'[1]road inventory 2018'!C64</f>
        <v>1.5</v>
      </c>
      <c r="F114" s="323">
        <v>0.17</v>
      </c>
      <c r="G114" s="323">
        <v>0</v>
      </c>
      <c r="H114" s="323">
        <v>0</v>
      </c>
      <c r="I114" s="323">
        <v>1.33</v>
      </c>
      <c r="J114" s="325" t="s">
        <v>33</v>
      </c>
      <c r="K114" s="323">
        <f t="shared" si="3"/>
        <v>1.5</v>
      </c>
      <c r="L114" s="326" t="s">
        <v>375</v>
      </c>
      <c r="M114" s="363"/>
      <c r="N114" s="328"/>
    </row>
    <row r="115" spans="1:17" ht="20.149999999999999" customHeight="1" x14ac:dyDescent="0.35">
      <c r="A115" s="329">
        <v>25</v>
      </c>
      <c r="B115" s="321">
        <v>43</v>
      </c>
      <c r="C115" s="336" t="s">
        <v>226</v>
      </c>
      <c r="D115" s="336"/>
      <c r="E115" s="323">
        <f>'[1]road inventory 2018'!C65</f>
        <v>12.7</v>
      </c>
      <c r="F115" s="323">
        <v>0.16</v>
      </c>
      <c r="G115" s="323">
        <v>0</v>
      </c>
      <c r="H115" s="323">
        <v>0</v>
      </c>
      <c r="I115" s="323">
        <v>12.54</v>
      </c>
      <c r="J115" s="325" t="s">
        <v>41</v>
      </c>
      <c r="K115" s="323">
        <f t="shared" si="3"/>
        <v>12.7</v>
      </c>
      <c r="L115" s="326" t="s">
        <v>376</v>
      </c>
      <c r="M115" s="363"/>
      <c r="N115" s="328"/>
      <c r="Q115" s="331"/>
    </row>
    <row r="116" spans="1:17" ht="20.149999999999999" customHeight="1" x14ac:dyDescent="0.35">
      <c r="A116" s="329">
        <v>26</v>
      </c>
      <c r="B116" s="321">
        <v>44</v>
      </c>
      <c r="C116" s="336" t="s">
        <v>752</v>
      </c>
      <c r="D116" s="336"/>
      <c r="E116" s="323">
        <f>'[1]road inventory 2018'!C66</f>
        <v>5.3</v>
      </c>
      <c r="F116" s="323">
        <v>1.5</v>
      </c>
      <c r="G116" s="323">
        <v>0</v>
      </c>
      <c r="H116" s="323">
        <v>0</v>
      </c>
      <c r="I116" s="323">
        <v>3.8</v>
      </c>
      <c r="J116" s="325" t="s">
        <v>33</v>
      </c>
      <c r="K116" s="323">
        <f t="shared" si="3"/>
        <v>5.3</v>
      </c>
      <c r="L116" s="326" t="s">
        <v>378</v>
      </c>
      <c r="M116" s="350" t="s">
        <v>751</v>
      </c>
      <c r="N116" s="328">
        <v>1.5</v>
      </c>
    </row>
    <row r="117" spans="1:17" ht="20.149999999999999" customHeight="1" x14ac:dyDescent="0.35">
      <c r="A117" s="329">
        <v>27</v>
      </c>
      <c r="B117" s="321">
        <v>104</v>
      </c>
      <c r="C117" s="336" t="s">
        <v>240</v>
      </c>
      <c r="D117" s="336"/>
      <c r="E117" s="323">
        <f>'[1]road inventory 2018'!C67</f>
        <v>3.1</v>
      </c>
      <c r="F117" s="323">
        <v>0</v>
      </c>
      <c r="G117" s="323">
        <v>0</v>
      </c>
      <c r="H117" s="323">
        <v>0</v>
      </c>
      <c r="I117" s="323">
        <v>3.1</v>
      </c>
      <c r="J117" s="325" t="s">
        <v>12</v>
      </c>
      <c r="K117" s="323">
        <f t="shared" si="3"/>
        <v>3.1</v>
      </c>
      <c r="L117" s="326" t="s">
        <v>379</v>
      </c>
      <c r="M117" s="363"/>
      <c r="N117" s="328"/>
    </row>
    <row r="118" spans="1:17" s="317" customFormat="1" ht="20.149999999999999" customHeight="1" x14ac:dyDescent="0.35">
      <c r="B118" s="373"/>
      <c r="C118" s="374" t="s">
        <v>341</v>
      </c>
      <c r="D118" s="374"/>
      <c r="E118" s="375">
        <f>SUM(E91:E117)</f>
        <v>102.5</v>
      </c>
      <c r="F118" s="375">
        <f>SUM(F91:F117)</f>
        <v>29.040000000000003</v>
      </c>
      <c r="G118" s="375">
        <f>SUM(G91:G117)</f>
        <v>0</v>
      </c>
      <c r="H118" s="375">
        <f>SUM(H91:H117)</f>
        <v>0</v>
      </c>
      <c r="I118" s="375">
        <f>SUM(I91:I117)</f>
        <v>73.459999999999994</v>
      </c>
      <c r="J118" s="376"/>
      <c r="K118" s="375"/>
      <c r="L118" s="372"/>
      <c r="M118" s="453"/>
      <c r="N118" s="377"/>
      <c r="O118" s="320"/>
    </row>
    <row r="119" spans="1:17" ht="20.149999999999999" customHeight="1" x14ac:dyDescent="0.35">
      <c r="B119" s="321"/>
      <c r="C119" s="330"/>
      <c r="D119" s="330"/>
      <c r="E119" s="323"/>
      <c r="F119" s="323"/>
      <c r="G119" s="323"/>
      <c r="H119" s="323"/>
      <c r="I119" s="323"/>
      <c r="J119" s="325"/>
      <c r="K119" s="323"/>
      <c r="L119" s="326"/>
      <c r="M119" s="363"/>
      <c r="N119" s="328"/>
      <c r="O119" s="331"/>
    </row>
    <row r="120" spans="1:17" s="317" customFormat="1" ht="20.149999999999999" customHeight="1" x14ac:dyDescent="0.35">
      <c r="B120" s="390" t="s">
        <v>380</v>
      </c>
      <c r="C120" s="378"/>
      <c r="D120" s="378"/>
      <c r="E120" s="375"/>
      <c r="F120" s="375"/>
      <c r="G120" s="375"/>
      <c r="H120" s="375"/>
      <c r="I120" s="375"/>
      <c r="J120" s="376"/>
      <c r="K120" s="375"/>
      <c r="L120" s="378"/>
      <c r="M120" s="453"/>
      <c r="N120" s="377"/>
    </row>
    <row r="121" spans="1:17" ht="20.149999999999999" customHeight="1" x14ac:dyDescent="0.35">
      <c r="A121" s="329">
        <v>1</v>
      </c>
      <c r="B121" s="321">
        <v>107</v>
      </c>
      <c r="C121" s="336" t="s">
        <v>381</v>
      </c>
      <c r="D121" s="336"/>
      <c r="E121" s="323">
        <f>'[1]road inventory 2018'!C73</f>
        <v>2.5</v>
      </c>
      <c r="F121" s="337">
        <f>1.01+1.03</f>
        <v>2.04</v>
      </c>
      <c r="G121" s="337">
        <v>0</v>
      </c>
      <c r="H121" s="337">
        <v>0</v>
      </c>
      <c r="I121" s="323">
        <v>0.46</v>
      </c>
      <c r="J121" s="325" t="s">
        <v>33</v>
      </c>
      <c r="K121" s="323">
        <f t="shared" ref="K121:K127" si="4">SUM(F121:I121)</f>
        <v>2.5</v>
      </c>
      <c r="L121" s="326" t="s">
        <v>382</v>
      </c>
      <c r="M121" s="363"/>
      <c r="N121" s="328"/>
    </row>
    <row r="122" spans="1:17" ht="20.149999999999999" customHeight="1" x14ac:dyDescent="0.35">
      <c r="A122" s="329">
        <v>2</v>
      </c>
      <c r="B122" s="321">
        <v>102</v>
      </c>
      <c r="C122" s="336" t="s">
        <v>242</v>
      </c>
      <c r="D122" s="336"/>
      <c r="E122" s="323">
        <f>'[1]road inventory 2018'!C74</f>
        <v>1.3</v>
      </c>
      <c r="F122" s="337">
        <v>0.27</v>
      </c>
      <c r="G122" s="337">
        <v>0</v>
      </c>
      <c r="H122" s="337">
        <v>0</v>
      </c>
      <c r="I122" s="323">
        <v>1.03</v>
      </c>
      <c r="J122" s="325" t="s">
        <v>33</v>
      </c>
      <c r="K122" s="323">
        <f t="shared" si="4"/>
        <v>1.3</v>
      </c>
      <c r="L122" s="326" t="s">
        <v>383</v>
      </c>
      <c r="M122" s="363"/>
      <c r="N122" s="328"/>
    </row>
    <row r="123" spans="1:17" ht="20.149999999999999" customHeight="1" x14ac:dyDescent="0.35">
      <c r="A123" s="329">
        <v>3</v>
      </c>
      <c r="B123" s="321">
        <v>101</v>
      </c>
      <c r="C123" s="336" t="s">
        <v>384</v>
      </c>
      <c r="D123" s="336"/>
      <c r="E123" s="323">
        <v>0.6</v>
      </c>
      <c r="F123" s="337">
        <v>0</v>
      </c>
      <c r="G123" s="337">
        <v>0</v>
      </c>
      <c r="H123" s="337">
        <v>0</v>
      </c>
      <c r="I123" s="323">
        <v>0.6</v>
      </c>
      <c r="J123" s="325" t="s">
        <v>33</v>
      </c>
      <c r="K123" s="323">
        <f t="shared" si="4"/>
        <v>0.6</v>
      </c>
      <c r="L123" s="326"/>
      <c r="M123" s="363"/>
      <c r="N123" s="328"/>
    </row>
    <row r="124" spans="1:17" ht="20.149999999999999" customHeight="1" x14ac:dyDescent="0.35">
      <c r="A124" s="329">
        <v>4</v>
      </c>
      <c r="B124" s="321">
        <v>47</v>
      </c>
      <c r="C124" s="336" t="s">
        <v>38</v>
      </c>
      <c r="D124" s="336"/>
      <c r="E124" s="323">
        <f>'[1]road inventory 2018'!C76</f>
        <v>17</v>
      </c>
      <c r="F124" s="323">
        <f>1.03+0.2+0.08</f>
        <v>1.31</v>
      </c>
      <c r="G124" s="337">
        <v>0</v>
      </c>
      <c r="H124" s="337">
        <v>0</v>
      </c>
      <c r="I124" s="323">
        <v>15.69</v>
      </c>
      <c r="J124" s="325" t="s">
        <v>41</v>
      </c>
      <c r="K124" s="323">
        <f t="shared" si="4"/>
        <v>17</v>
      </c>
      <c r="L124" s="326" t="s">
        <v>387</v>
      </c>
      <c r="M124" s="363"/>
      <c r="N124" s="328"/>
    </row>
    <row r="125" spans="1:17" ht="20.149999999999999" customHeight="1" x14ac:dyDescent="0.35">
      <c r="A125" s="329">
        <v>5</v>
      </c>
      <c r="B125" s="321">
        <v>48</v>
      </c>
      <c r="C125" s="336" t="s">
        <v>388</v>
      </c>
      <c r="D125" s="336"/>
      <c r="E125" s="323">
        <f>'[1]road inventory 2018'!C77</f>
        <v>2.6</v>
      </c>
      <c r="F125" s="337">
        <v>0</v>
      </c>
      <c r="G125" s="337">
        <v>0</v>
      </c>
      <c r="H125" s="337">
        <v>0</v>
      </c>
      <c r="I125" s="323">
        <v>2.6</v>
      </c>
      <c r="J125" s="325" t="s">
        <v>33</v>
      </c>
      <c r="K125" s="323">
        <f t="shared" si="4"/>
        <v>2.6</v>
      </c>
      <c r="L125" s="326" t="s">
        <v>389</v>
      </c>
      <c r="M125" s="363"/>
      <c r="N125" s="328"/>
    </row>
    <row r="126" spans="1:17" ht="20.149999999999999" customHeight="1" x14ac:dyDescent="0.35">
      <c r="A126" s="329">
        <v>6</v>
      </c>
      <c r="B126" s="321">
        <v>90</v>
      </c>
      <c r="C126" s="336" t="s">
        <v>390</v>
      </c>
      <c r="D126" s="336"/>
      <c r="E126" s="323">
        <f>'[1]road inventory 2018'!C78</f>
        <v>4.3499999999999996</v>
      </c>
      <c r="F126" s="337">
        <v>0</v>
      </c>
      <c r="G126" s="337">
        <v>0</v>
      </c>
      <c r="H126" s="337">
        <v>0</v>
      </c>
      <c r="I126" s="323">
        <v>4.3499999999999996</v>
      </c>
      <c r="J126" s="325" t="s">
        <v>33</v>
      </c>
      <c r="K126" s="323">
        <f t="shared" si="4"/>
        <v>4.3499999999999996</v>
      </c>
      <c r="L126" s="326" t="s">
        <v>391</v>
      </c>
      <c r="M126" s="363"/>
      <c r="N126" s="328"/>
    </row>
    <row r="127" spans="1:17" ht="20.149999999999999" customHeight="1" x14ac:dyDescent="0.35">
      <c r="A127" s="329">
        <v>7</v>
      </c>
      <c r="B127" s="321">
        <v>99</v>
      </c>
      <c r="C127" s="336" t="s">
        <v>392</v>
      </c>
      <c r="D127" s="336"/>
      <c r="E127" s="323">
        <f>'[1]road inventory 2018'!C79</f>
        <v>14.1</v>
      </c>
      <c r="F127" s="323">
        <f>1.1+1</f>
        <v>2.1</v>
      </c>
      <c r="G127" s="323">
        <v>0</v>
      </c>
      <c r="H127" s="323">
        <v>0</v>
      </c>
      <c r="I127" s="323">
        <f>1.08+1.01+1.08+1+1.01+1.1+1.07+0.94+1.02+1.05+1.04+0.64-0.04</f>
        <v>12</v>
      </c>
      <c r="J127" s="325" t="s">
        <v>33</v>
      </c>
      <c r="K127" s="323">
        <f t="shared" si="4"/>
        <v>14.1</v>
      </c>
      <c r="L127" s="326" t="s">
        <v>393</v>
      </c>
      <c r="M127" s="363"/>
      <c r="N127" s="328">
        <v>2.1</v>
      </c>
    </row>
    <row r="128" spans="1:17" s="317" customFormat="1" ht="20.149999999999999" customHeight="1" x14ac:dyDescent="0.35">
      <c r="B128" s="373"/>
      <c r="C128" s="374" t="s">
        <v>341</v>
      </c>
      <c r="D128" s="374"/>
      <c r="E128" s="375">
        <f>SUM(E121:E127)</f>
        <v>42.45</v>
      </c>
      <c r="F128" s="375">
        <f>SUM(F121:F127)</f>
        <v>5.7200000000000006</v>
      </c>
      <c r="G128" s="375">
        <f>SUM(G121:G127)</f>
        <v>0</v>
      </c>
      <c r="H128" s="375">
        <f>SUM(H121:H127)</f>
        <v>0</v>
      </c>
      <c r="I128" s="375">
        <f>SUM(I121:I127)</f>
        <v>36.730000000000004</v>
      </c>
      <c r="J128" s="376"/>
      <c r="K128" s="375"/>
      <c r="L128" s="372"/>
      <c r="M128" s="453"/>
      <c r="N128" s="377"/>
      <c r="O128" s="320"/>
    </row>
    <row r="129" spans="1:15" ht="20.149999999999999" customHeight="1" x14ac:dyDescent="0.35">
      <c r="B129" s="321"/>
      <c r="C129" s="330"/>
      <c r="D129" s="330"/>
      <c r="E129" s="323"/>
      <c r="F129" s="323"/>
      <c r="G129" s="323"/>
      <c r="H129" s="323"/>
      <c r="I129" s="323"/>
      <c r="J129" s="325"/>
      <c r="K129" s="323"/>
      <c r="L129" s="326"/>
      <c r="M129" s="363"/>
      <c r="N129" s="328"/>
      <c r="O129" s="331"/>
    </row>
    <row r="130" spans="1:15" s="317" customFormat="1" ht="20.149999999999999" customHeight="1" x14ac:dyDescent="0.35">
      <c r="B130" s="390" t="s">
        <v>394</v>
      </c>
      <c r="C130" s="378"/>
      <c r="D130" s="378"/>
      <c r="E130" s="375"/>
      <c r="F130" s="375"/>
      <c r="G130" s="375"/>
      <c r="H130" s="375"/>
      <c r="I130" s="375"/>
      <c r="J130" s="376"/>
      <c r="K130" s="375"/>
      <c r="L130" s="378"/>
      <c r="M130" s="453"/>
      <c r="N130" s="377"/>
    </row>
    <row r="131" spans="1:15" s="327" customFormat="1" ht="20.149999999999999" customHeight="1" x14ac:dyDescent="0.35">
      <c r="A131" s="327">
        <v>1</v>
      </c>
      <c r="B131" s="338">
        <v>108</v>
      </c>
      <c r="C131" s="336" t="s">
        <v>395</v>
      </c>
      <c r="D131" s="336"/>
      <c r="E131" s="339">
        <f>'[1]road inventory 2018'!C86</f>
        <v>3.1</v>
      </c>
      <c r="F131" s="340">
        <v>0.48</v>
      </c>
      <c r="G131" s="340">
        <v>0</v>
      </c>
      <c r="H131" s="340">
        <v>0</v>
      </c>
      <c r="I131" s="339">
        <v>2.62</v>
      </c>
      <c r="J131" s="326" t="s">
        <v>33</v>
      </c>
      <c r="K131" s="323">
        <f>SUM(F131:I131)</f>
        <v>3.1</v>
      </c>
      <c r="L131" s="326" t="s">
        <v>396</v>
      </c>
      <c r="M131" s="455"/>
      <c r="N131" s="341"/>
    </row>
    <row r="132" spans="1:15" s="317" customFormat="1" ht="20.149999999999999" customHeight="1" x14ac:dyDescent="0.35">
      <c r="B132" s="373"/>
      <c r="C132" s="374" t="s">
        <v>341</v>
      </c>
      <c r="D132" s="374"/>
      <c r="E132" s="375">
        <f>SUM(E131)</f>
        <v>3.1</v>
      </c>
      <c r="F132" s="375">
        <f>SUM(F131)</f>
        <v>0.48</v>
      </c>
      <c r="G132" s="375">
        <f>SUM(G131)</f>
        <v>0</v>
      </c>
      <c r="H132" s="375">
        <f>SUM(H131)</f>
        <v>0</v>
      </c>
      <c r="I132" s="375">
        <f>SUM(I131)</f>
        <v>2.62</v>
      </c>
      <c r="J132" s="376"/>
      <c r="K132" s="375"/>
      <c r="L132" s="372"/>
      <c r="M132" s="453"/>
      <c r="N132" s="377"/>
      <c r="O132" s="320"/>
    </row>
    <row r="133" spans="1:15" ht="20.149999999999999" customHeight="1" x14ac:dyDescent="0.35">
      <c r="B133" s="321"/>
      <c r="C133" s="330"/>
      <c r="D133" s="330"/>
      <c r="E133" s="323"/>
      <c r="F133" s="323"/>
      <c r="G133" s="323"/>
      <c r="H133" s="323"/>
      <c r="I133" s="323"/>
      <c r="J133" s="325"/>
      <c r="K133" s="323"/>
      <c r="L133" s="326"/>
      <c r="M133" s="363"/>
      <c r="N133" s="328"/>
      <c r="O133" s="331"/>
    </row>
    <row r="134" spans="1:15" s="317" customFormat="1" ht="20.149999999999999" customHeight="1" x14ac:dyDescent="0.35">
      <c r="B134" s="390" t="s">
        <v>397</v>
      </c>
      <c r="C134" s="378"/>
      <c r="D134" s="378"/>
      <c r="E134" s="375"/>
      <c r="F134" s="375"/>
      <c r="G134" s="375"/>
      <c r="H134" s="375"/>
      <c r="I134" s="375"/>
      <c r="J134" s="376"/>
      <c r="K134" s="375"/>
      <c r="L134" s="378"/>
      <c r="M134" s="453"/>
      <c r="N134" s="377"/>
    </row>
    <row r="135" spans="1:15" ht="20.149999999999999" customHeight="1" x14ac:dyDescent="0.35">
      <c r="A135" s="329">
        <v>1</v>
      </c>
      <c r="B135" s="321">
        <v>223</v>
      </c>
      <c r="C135" s="336" t="s">
        <v>42</v>
      </c>
      <c r="D135" s="336"/>
      <c r="E135" s="323">
        <f>'[1]road inventory 2018'!C93</f>
        <v>4.0999999999999996</v>
      </c>
      <c r="F135" s="323">
        <v>0</v>
      </c>
      <c r="G135" s="323">
        <v>0</v>
      </c>
      <c r="H135" s="323">
        <v>0</v>
      </c>
      <c r="I135" s="323">
        <v>4.0999999999999996</v>
      </c>
      <c r="J135" s="325" t="s">
        <v>33</v>
      </c>
      <c r="K135" s="323">
        <f t="shared" ref="K135:K144" si="5">SUM(F135:I135)</f>
        <v>4.0999999999999996</v>
      </c>
      <c r="L135" s="326" t="s">
        <v>398</v>
      </c>
      <c r="M135" s="363"/>
      <c r="N135" s="328"/>
    </row>
    <row r="136" spans="1:15" ht="20.149999999999999" customHeight="1" x14ac:dyDescent="0.35">
      <c r="A136" s="329">
        <v>2</v>
      </c>
      <c r="B136" s="321">
        <v>224</v>
      </c>
      <c r="C136" s="336" t="s">
        <v>44</v>
      </c>
      <c r="D136" s="336"/>
      <c r="E136" s="323">
        <f>'[1]road inventory 2018'!C94</f>
        <v>7.2</v>
      </c>
      <c r="F136" s="323">
        <f>2.25+0.06+0.9</f>
        <v>3.21</v>
      </c>
      <c r="G136" s="323">
        <v>0</v>
      </c>
      <c r="H136" s="323">
        <v>0</v>
      </c>
      <c r="I136" s="323">
        <v>3.99</v>
      </c>
      <c r="J136" s="325" t="s">
        <v>33</v>
      </c>
      <c r="K136" s="323">
        <f t="shared" si="5"/>
        <v>7.2</v>
      </c>
      <c r="L136" s="326" t="s">
        <v>399</v>
      </c>
      <c r="M136" s="363" t="s">
        <v>750</v>
      </c>
      <c r="N136" s="328">
        <v>2</v>
      </c>
    </row>
    <row r="137" spans="1:15" ht="20.149999999999999" customHeight="1" x14ac:dyDescent="0.35">
      <c r="A137" s="329">
        <v>3</v>
      </c>
      <c r="B137" s="321">
        <v>45</v>
      </c>
      <c r="C137" s="336" t="s">
        <v>865</v>
      </c>
      <c r="D137" s="336"/>
      <c r="E137" s="323">
        <f>'[1]road inventory 2018'!C95</f>
        <v>7.8999999999999995</v>
      </c>
      <c r="F137" s="323">
        <v>0.71</v>
      </c>
      <c r="G137" s="323">
        <v>0</v>
      </c>
      <c r="H137" s="323">
        <v>0</v>
      </c>
      <c r="I137" s="323">
        <v>7.19</v>
      </c>
      <c r="J137" s="325" t="s">
        <v>33</v>
      </c>
      <c r="K137" s="323">
        <f t="shared" si="5"/>
        <v>7.9</v>
      </c>
      <c r="L137" s="326" t="s">
        <v>401</v>
      </c>
      <c r="M137" s="363"/>
      <c r="N137" s="328"/>
    </row>
    <row r="138" spans="1:15" ht="20.149999999999999" customHeight="1" x14ac:dyDescent="0.35">
      <c r="A138" s="329">
        <v>4</v>
      </c>
      <c r="B138" s="321">
        <v>217</v>
      </c>
      <c r="C138" s="336" t="s">
        <v>243</v>
      </c>
      <c r="D138" s="336"/>
      <c r="E138" s="323">
        <f>'[1]road inventory 2018'!C96</f>
        <v>1.1000000000000001</v>
      </c>
      <c r="F138" s="323">
        <v>1.1000000000000001</v>
      </c>
      <c r="G138" s="323">
        <v>0</v>
      </c>
      <c r="H138" s="323">
        <v>0</v>
      </c>
      <c r="I138" s="323">
        <v>0</v>
      </c>
      <c r="J138" s="325" t="s">
        <v>10</v>
      </c>
      <c r="K138" s="323">
        <f t="shared" si="5"/>
        <v>1.1000000000000001</v>
      </c>
      <c r="L138" s="326" t="s">
        <v>402</v>
      </c>
      <c r="M138" s="363"/>
      <c r="N138" s="328"/>
    </row>
    <row r="139" spans="1:15" ht="20.149999999999999" customHeight="1" x14ac:dyDescent="0.35">
      <c r="A139" s="329">
        <v>5</v>
      </c>
      <c r="B139" s="321">
        <v>225</v>
      </c>
      <c r="C139" s="336" t="s">
        <v>403</v>
      </c>
      <c r="D139" s="336"/>
      <c r="E139" s="323">
        <f>'[1]road inventory 2018'!C97</f>
        <v>0.4</v>
      </c>
      <c r="F139" s="323">
        <v>0</v>
      </c>
      <c r="G139" s="323">
        <v>0</v>
      </c>
      <c r="H139" s="323">
        <v>0</v>
      </c>
      <c r="I139" s="323">
        <v>0.4</v>
      </c>
      <c r="J139" s="325" t="s">
        <v>33</v>
      </c>
      <c r="K139" s="323">
        <f t="shared" si="5"/>
        <v>0.4</v>
      </c>
      <c r="L139" s="326" t="s">
        <v>404</v>
      </c>
      <c r="M139" s="363"/>
      <c r="N139" s="328"/>
    </row>
    <row r="140" spans="1:15" ht="20.149999999999999" customHeight="1" x14ac:dyDescent="0.35">
      <c r="A140" s="329">
        <v>6</v>
      </c>
      <c r="B140" s="321">
        <v>226</v>
      </c>
      <c r="C140" s="336" t="s">
        <v>45</v>
      </c>
      <c r="D140" s="336"/>
      <c r="E140" s="323">
        <f>'[1]road inventory 2018'!C98</f>
        <v>4.8</v>
      </c>
      <c r="F140" s="323">
        <v>0.86</v>
      </c>
      <c r="G140" s="323">
        <v>0</v>
      </c>
      <c r="H140" s="323">
        <v>0</v>
      </c>
      <c r="I140" s="323">
        <v>3.94</v>
      </c>
      <c r="J140" s="325" t="s">
        <v>10</v>
      </c>
      <c r="K140" s="323">
        <f t="shared" si="5"/>
        <v>4.8</v>
      </c>
      <c r="L140" s="326" t="s">
        <v>405</v>
      </c>
      <c r="M140" s="363"/>
      <c r="N140" s="328"/>
    </row>
    <row r="141" spans="1:15" ht="20.149999999999999" customHeight="1" x14ac:dyDescent="0.35">
      <c r="A141" s="329">
        <v>7</v>
      </c>
      <c r="B141" s="321">
        <v>116</v>
      </c>
      <c r="C141" s="336" t="s">
        <v>47</v>
      </c>
      <c r="D141" s="336"/>
      <c r="E141" s="323">
        <f>'[1]road inventory 2018'!C99</f>
        <v>12.3</v>
      </c>
      <c r="F141" s="323">
        <v>6.67</v>
      </c>
      <c r="G141" s="323">
        <v>0</v>
      </c>
      <c r="H141" s="323">
        <v>0</v>
      </c>
      <c r="I141" s="323">
        <v>5.63</v>
      </c>
      <c r="J141" s="325" t="s">
        <v>12</v>
      </c>
      <c r="K141" s="323">
        <f t="shared" si="5"/>
        <v>12.3</v>
      </c>
      <c r="L141" s="326" t="s">
        <v>405</v>
      </c>
      <c r="M141" s="363"/>
      <c r="N141" s="328"/>
    </row>
    <row r="142" spans="1:15" ht="20.149999999999999" customHeight="1" x14ac:dyDescent="0.35">
      <c r="A142" s="329">
        <v>8</v>
      </c>
      <c r="B142" s="321">
        <v>46</v>
      </c>
      <c r="C142" s="336" t="s">
        <v>406</v>
      </c>
      <c r="D142" s="336"/>
      <c r="E142" s="323">
        <f>'[1]road inventory 2018'!C100</f>
        <v>1.3</v>
      </c>
      <c r="F142" s="323">
        <v>1.3</v>
      </c>
      <c r="G142" s="323">
        <v>0</v>
      </c>
      <c r="H142" s="323">
        <v>0</v>
      </c>
      <c r="I142" s="323">
        <v>0</v>
      </c>
      <c r="J142" s="325" t="s">
        <v>10</v>
      </c>
      <c r="K142" s="323">
        <f t="shared" si="5"/>
        <v>1.3</v>
      </c>
      <c r="L142" s="326" t="s">
        <v>407</v>
      </c>
      <c r="M142" s="363"/>
      <c r="N142" s="328"/>
    </row>
    <row r="143" spans="1:15" ht="20.149999999999999" customHeight="1" x14ac:dyDescent="0.35">
      <c r="A143" s="329">
        <v>9</v>
      </c>
      <c r="B143" s="321">
        <v>227</v>
      </c>
      <c r="C143" s="336" t="s">
        <v>408</v>
      </c>
      <c r="D143" s="336"/>
      <c r="E143" s="323">
        <f>'[1]road inventory 2018'!C101</f>
        <v>7.2</v>
      </c>
      <c r="F143" s="323">
        <v>0</v>
      </c>
      <c r="G143" s="323">
        <v>0</v>
      </c>
      <c r="H143" s="323">
        <v>0</v>
      </c>
      <c r="I143" s="323">
        <v>7.2</v>
      </c>
      <c r="J143" s="325" t="s">
        <v>33</v>
      </c>
      <c r="K143" s="323">
        <f t="shared" si="5"/>
        <v>7.2</v>
      </c>
      <c r="L143" s="326" t="s">
        <v>409</v>
      </c>
      <c r="M143" s="363"/>
      <c r="N143" s="328"/>
    </row>
    <row r="144" spans="1:15" ht="20.149999999999999" customHeight="1" x14ac:dyDescent="0.35">
      <c r="A144" s="329">
        <v>10</v>
      </c>
      <c r="B144" s="321">
        <v>100</v>
      </c>
      <c r="C144" s="336" t="s">
        <v>50</v>
      </c>
      <c r="D144" s="336"/>
      <c r="E144" s="323">
        <f>'[1]road inventory 2018'!C102</f>
        <v>7.8</v>
      </c>
      <c r="F144" s="323">
        <v>2</v>
      </c>
      <c r="G144" s="323">
        <v>0</v>
      </c>
      <c r="H144" s="323">
        <v>0</v>
      </c>
      <c r="I144" s="323">
        <v>5.8</v>
      </c>
      <c r="J144" s="325" t="s">
        <v>41</v>
      </c>
      <c r="K144" s="323">
        <f t="shared" si="5"/>
        <v>7.8</v>
      </c>
      <c r="L144" s="326" t="s">
        <v>410</v>
      </c>
      <c r="M144" s="363"/>
      <c r="N144" s="328">
        <v>2</v>
      </c>
    </row>
    <row r="145" spans="1:15" s="317" customFormat="1" ht="20.149999999999999" customHeight="1" x14ac:dyDescent="0.35">
      <c r="B145" s="373"/>
      <c r="C145" s="374" t="s">
        <v>341</v>
      </c>
      <c r="D145" s="374"/>
      <c r="E145" s="375">
        <f>SUM(E135:E144)</f>
        <v>54.099999999999994</v>
      </c>
      <c r="F145" s="375">
        <f>SUM(F135:F144)</f>
        <v>15.850000000000001</v>
      </c>
      <c r="G145" s="375">
        <f>SUM(G135:G144)</f>
        <v>0</v>
      </c>
      <c r="H145" s="375">
        <f>SUM(H135:H144)</f>
        <v>0</v>
      </c>
      <c r="I145" s="375">
        <f>SUM(I135:I144)</f>
        <v>38.25</v>
      </c>
      <c r="J145" s="376"/>
      <c r="K145" s="375"/>
      <c r="L145" s="372"/>
      <c r="M145" s="453"/>
      <c r="N145" s="377"/>
      <c r="O145" s="320"/>
    </row>
    <row r="146" spans="1:15" ht="20.149999999999999" customHeight="1" x14ac:dyDescent="0.35">
      <c r="B146" s="321"/>
      <c r="C146" s="330"/>
      <c r="D146" s="330"/>
      <c r="E146" s="323"/>
      <c r="F146" s="323"/>
      <c r="G146" s="323"/>
      <c r="H146" s="323"/>
      <c r="I146" s="323"/>
      <c r="J146" s="325"/>
      <c r="K146" s="323"/>
      <c r="L146" s="326"/>
      <c r="M146" s="363"/>
      <c r="N146" s="328"/>
      <c r="O146" s="331"/>
    </row>
    <row r="147" spans="1:15" s="317" customFormat="1" ht="20.149999999999999" customHeight="1" x14ac:dyDescent="0.35">
      <c r="B147" s="391" t="s">
        <v>579</v>
      </c>
      <c r="C147" s="378"/>
      <c r="D147" s="378"/>
      <c r="E147" s="375"/>
      <c r="F147" s="375"/>
      <c r="G147" s="375"/>
      <c r="H147" s="375"/>
      <c r="I147" s="375"/>
      <c r="J147" s="376"/>
      <c r="K147" s="375"/>
      <c r="L147" s="378"/>
      <c r="M147" s="453"/>
      <c r="N147" s="377"/>
      <c r="O147" s="320"/>
    </row>
    <row r="148" spans="1:15" ht="20.149999999999999" customHeight="1" x14ac:dyDescent="0.35">
      <c r="A148" s="329">
        <v>1</v>
      </c>
      <c r="B148" s="321">
        <v>214</v>
      </c>
      <c r="C148" s="336" t="s">
        <v>580</v>
      </c>
      <c r="D148" s="336"/>
      <c r="E148" s="323">
        <f>'[1]road inventory 2018'!C318</f>
        <v>4.5</v>
      </c>
      <c r="F148" s="337">
        <v>0.7</v>
      </c>
      <c r="G148" s="337">
        <v>0</v>
      </c>
      <c r="H148" s="337">
        <v>0</v>
      </c>
      <c r="I148" s="323">
        <v>3.8</v>
      </c>
      <c r="J148" s="325" t="s">
        <v>12</v>
      </c>
      <c r="K148" s="323">
        <f>SUM(F148:I148)</f>
        <v>4.5</v>
      </c>
      <c r="L148" s="326" t="s">
        <v>581</v>
      </c>
      <c r="M148" s="363"/>
      <c r="N148" s="328"/>
    </row>
    <row r="149" spans="1:15" ht="20.149999999999999" customHeight="1" x14ac:dyDescent="0.35">
      <c r="A149" s="329">
        <v>2</v>
      </c>
      <c r="B149" s="321">
        <v>212</v>
      </c>
      <c r="C149" s="336" t="s">
        <v>582</v>
      </c>
      <c r="D149" s="336"/>
      <c r="E149" s="323">
        <f>'[1]road inventory 2018'!C319</f>
        <v>2.75</v>
      </c>
      <c r="F149" s="337">
        <v>2.6</v>
      </c>
      <c r="G149" s="337">
        <v>0</v>
      </c>
      <c r="H149" s="337">
        <v>0</v>
      </c>
      <c r="I149" s="323">
        <v>0.15</v>
      </c>
      <c r="J149" s="325" t="s">
        <v>12</v>
      </c>
      <c r="K149" s="323">
        <f>SUM(F149:I149)</f>
        <v>2.75</v>
      </c>
      <c r="L149" s="326" t="s">
        <v>528</v>
      </c>
      <c r="M149" s="363"/>
      <c r="N149" s="328"/>
    </row>
    <row r="150" spans="1:15" s="317" customFormat="1" ht="20.149999999999999" customHeight="1" x14ac:dyDescent="0.35">
      <c r="B150" s="357"/>
      <c r="C150" s="322" t="s">
        <v>341</v>
      </c>
      <c r="D150" s="322"/>
      <c r="E150" s="324">
        <f>SUM(E148:E149)</f>
        <v>7.25</v>
      </c>
      <c r="F150" s="324">
        <f>SUM(F148:F149)</f>
        <v>3.3</v>
      </c>
      <c r="G150" s="324">
        <f>SUM(G148:G149)</f>
        <v>0</v>
      </c>
      <c r="H150" s="324">
        <f>SUM(H148:H149)</f>
        <v>0</v>
      </c>
      <c r="I150" s="324">
        <f>SUM(I148:I149)</f>
        <v>3.9499999999999997</v>
      </c>
      <c r="J150" s="358"/>
      <c r="K150" s="324"/>
      <c r="L150" s="359"/>
      <c r="M150" s="456"/>
      <c r="N150" s="334"/>
      <c r="O150" s="320"/>
    </row>
    <row r="151" spans="1:15" ht="15" customHeight="1" x14ac:dyDescent="0.35">
      <c r="B151" s="321"/>
      <c r="C151" s="330"/>
      <c r="D151" s="330"/>
      <c r="E151" s="323"/>
      <c r="F151" s="323"/>
      <c r="G151" s="323"/>
      <c r="H151" s="323"/>
      <c r="I151" s="323"/>
      <c r="J151" s="325"/>
      <c r="K151" s="323"/>
      <c r="L151" s="326"/>
      <c r="M151" s="363"/>
      <c r="N151" s="328"/>
      <c r="O151" s="331"/>
    </row>
    <row r="152" spans="1:15" s="317" customFormat="1" ht="20.149999999999999" customHeight="1" x14ac:dyDescent="0.35">
      <c r="B152" s="390" t="s">
        <v>526</v>
      </c>
      <c r="C152" s="378"/>
      <c r="D152" s="378"/>
      <c r="E152" s="375"/>
      <c r="F152" s="392"/>
      <c r="G152" s="392"/>
      <c r="H152" s="392"/>
      <c r="I152" s="375"/>
      <c r="J152" s="376"/>
      <c r="K152" s="375"/>
      <c r="L152" s="378"/>
      <c r="M152" s="453"/>
      <c r="N152" s="377"/>
    </row>
    <row r="153" spans="1:15" ht="20.149999999999999" customHeight="1" x14ac:dyDescent="0.35">
      <c r="A153" s="329">
        <v>1</v>
      </c>
      <c r="B153" s="321">
        <v>160</v>
      </c>
      <c r="C153" s="336" t="s">
        <v>527</v>
      </c>
      <c r="D153" s="336"/>
      <c r="E153" s="323">
        <f>'[1]road inventory 2018'!C266</f>
        <v>28</v>
      </c>
      <c r="F153" s="323">
        <f>7.25+2.494</f>
        <v>9.7439999999999998</v>
      </c>
      <c r="G153" s="323">
        <v>0</v>
      </c>
      <c r="H153" s="323">
        <v>0</v>
      </c>
      <c r="I153" s="323">
        <v>18.256</v>
      </c>
      <c r="J153" s="325" t="s">
        <v>33</v>
      </c>
      <c r="K153" s="323">
        <f t="shared" ref="K153:K163" si="6">SUM(F153:I153)</f>
        <v>28</v>
      </c>
      <c r="L153" s="326" t="s">
        <v>528</v>
      </c>
      <c r="M153" s="363"/>
      <c r="N153" s="328">
        <v>9.7439999999999998</v>
      </c>
    </row>
    <row r="154" spans="1:15" ht="20.149999999999999" customHeight="1" x14ac:dyDescent="0.35">
      <c r="A154" s="329">
        <v>2</v>
      </c>
      <c r="B154" s="321">
        <v>161</v>
      </c>
      <c r="C154" s="336" t="s">
        <v>529</v>
      </c>
      <c r="D154" s="336"/>
      <c r="E154" s="323">
        <f>'[1]road inventory 2018'!C267</f>
        <v>1.8</v>
      </c>
      <c r="F154" s="323">
        <v>1.8</v>
      </c>
      <c r="G154" s="323">
        <v>0</v>
      </c>
      <c r="H154" s="323">
        <v>0</v>
      </c>
      <c r="I154" s="323">
        <v>0</v>
      </c>
      <c r="J154" s="325" t="s">
        <v>12</v>
      </c>
      <c r="K154" s="323">
        <f t="shared" si="6"/>
        <v>1.8</v>
      </c>
      <c r="L154" s="326" t="s">
        <v>528</v>
      </c>
      <c r="M154" s="363"/>
      <c r="N154" s="328"/>
    </row>
    <row r="155" spans="1:15" ht="20.149999999999999" customHeight="1" x14ac:dyDescent="0.35">
      <c r="A155" s="329">
        <v>3</v>
      </c>
      <c r="B155" s="321">
        <v>162</v>
      </c>
      <c r="C155" s="336" t="s">
        <v>530</v>
      </c>
      <c r="D155" s="336"/>
      <c r="E155" s="323">
        <f>'[1]road inventory 2018'!C268</f>
        <v>1.9</v>
      </c>
      <c r="F155" s="323">
        <v>0</v>
      </c>
      <c r="G155" s="323">
        <v>0</v>
      </c>
      <c r="H155" s="323">
        <v>0</v>
      </c>
      <c r="I155" s="323">
        <v>1.9</v>
      </c>
      <c r="J155" s="325" t="s">
        <v>33</v>
      </c>
      <c r="K155" s="323">
        <f t="shared" si="6"/>
        <v>1.9</v>
      </c>
      <c r="L155" s="326" t="s">
        <v>531</v>
      </c>
      <c r="M155" s="363"/>
      <c r="N155" s="328"/>
    </row>
    <row r="156" spans="1:15" ht="20.149999999999999" customHeight="1" x14ac:dyDescent="0.35">
      <c r="A156" s="329">
        <v>4</v>
      </c>
      <c r="B156" s="321">
        <v>163</v>
      </c>
      <c r="C156" s="336" t="s">
        <v>532</v>
      </c>
      <c r="D156" s="336"/>
      <c r="E156" s="323">
        <f>'[1]road inventory 2018'!C269</f>
        <v>9</v>
      </c>
      <c r="F156" s="323">
        <v>0.65</v>
      </c>
      <c r="G156" s="323">
        <v>0</v>
      </c>
      <c r="H156" s="323">
        <v>0</v>
      </c>
      <c r="I156" s="323">
        <v>8.35</v>
      </c>
      <c r="J156" s="325" t="s">
        <v>33</v>
      </c>
      <c r="K156" s="323">
        <f t="shared" si="6"/>
        <v>9</v>
      </c>
      <c r="L156" s="326" t="s">
        <v>533</v>
      </c>
      <c r="M156" s="363"/>
      <c r="N156" s="328"/>
    </row>
    <row r="157" spans="1:15" ht="20.149999999999999" customHeight="1" x14ac:dyDescent="0.35">
      <c r="A157" s="329">
        <v>5</v>
      </c>
      <c r="B157" s="321">
        <v>164</v>
      </c>
      <c r="C157" s="336" t="s">
        <v>534</v>
      </c>
      <c r="D157" s="336"/>
      <c r="E157" s="323">
        <f>'[1]road inventory 2018'!C270</f>
        <v>2.2000000000000002</v>
      </c>
      <c r="F157" s="323">
        <v>0</v>
      </c>
      <c r="G157" s="323">
        <v>0</v>
      </c>
      <c r="H157" s="323">
        <v>0</v>
      </c>
      <c r="I157" s="323">
        <v>2.2000000000000002</v>
      </c>
      <c r="J157" s="325" t="s">
        <v>33</v>
      </c>
      <c r="K157" s="323">
        <f t="shared" si="6"/>
        <v>2.2000000000000002</v>
      </c>
      <c r="L157" s="326" t="s">
        <v>535</v>
      </c>
      <c r="M157" s="363"/>
      <c r="N157" s="328"/>
    </row>
    <row r="158" spans="1:15" ht="20.149999999999999" customHeight="1" x14ac:dyDescent="0.35">
      <c r="A158" s="329">
        <v>6</v>
      </c>
      <c r="B158" s="321">
        <v>165</v>
      </c>
      <c r="C158" s="336" t="s">
        <v>536</v>
      </c>
      <c r="D158" s="336"/>
      <c r="E158" s="323">
        <f>'[1]road inventory 2018'!C271</f>
        <v>3.5</v>
      </c>
      <c r="F158" s="323">
        <v>0</v>
      </c>
      <c r="G158" s="323">
        <v>0</v>
      </c>
      <c r="H158" s="323">
        <v>0</v>
      </c>
      <c r="I158" s="323">
        <v>3.5</v>
      </c>
      <c r="J158" s="325" t="s">
        <v>33</v>
      </c>
      <c r="K158" s="323">
        <f t="shared" si="6"/>
        <v>3.5</v>
      </c>
      <c r="L158" s="326" t="s">
        <v>537</v>
      </c>
      <c r="M158" s="363"/>
      <c r="N158" s="328"/>
    </row>
    <row r="159" spans="1:15" ht="20.149999999999999" customHeight="1" x14ac:dyDescent="0.35">
      <c r="A159" s="329">
        <v>7</v>
      </c>
      <c r="B159" s="321">
        <v>166</v>
      </c>
      <c r="C159" s="336" t="s">
        <v>538</v>
      </c>
      <c r="D159" s="336"/>
      <c r="E159" s="323">
        <f>'[1]road inventory 2018'!C272</f>
        <v>2.8</v>
      </c>
      <c r="F159" s="323">
        <v>0</v>
      </c>
      <c r="G159" s="323">
        <v>0</v>
      </c>
      <c r="H159" s="323">
        <v>0</v>
      </c>
      <c r="I159" s="323">
        <v>2.8</v>
      </c>
      <c r="J159" s="325" t="s">
        <v>12</v>
      </c>
      <c r="K159" s="323">
        <f t="shared" si="6"/>
        <v>2.8</v>
      </c>
      <c r="L159" s="326" t="s">
        <v>539</v>
      </c>
      <c r="M159" s="363"/>
      <c r="N159" s="328"/>
    </row>
    <row r="160" spans="1:15" ht="20.149999999999999" customHeight="1" x14ac:dyDescent="0.35">
      <c r="A160" s="329">
        <v>8</v>
      </c>
      <c r="B160" s="321">
        <v>167</v>
      </c>
      <c r="C160" s="336" t="s">
        <v>540</v>
      </c>
      <c r="D160" s="336"/>
      <c r="E160" s="323">
        <f>'[1]road inventory 2018'!C273</f>
        <v>5.5</v>
      </c>
      <c r="F160" s="323">
        <v>0</v>
      </c>
      <c r="G160" s="323">
        <v>0</v>
      </c>
      <c r="H160" s="323">
        <v>0</v>
      </c>
      <c r="I160" s="323">
        <v>5.5</v>
      </c>
      <c r="J160" s="325" t="s">
        <v>12</v>
      </c>
      <c r="K160" s="323">
        <f t="shared" si="6"/>
        <v>5.5</v>
      </c>
      <c r="L160" s="326" t="s">
        <v>541</v>
      </c>
      <c r="M160" s="363"/>
      <c r="N160" s="328"/>
    </row>
    <row r="161" spans="1:15" ht="20.149999999999999" customHeight="1" x14ac:dyDescent="0.35">
      <c r="A161" s="329">
        <v>9</v>
      </c>
      <c r="B161" s="321">
        <v>168</v>
      </c>
      <c r="C161" s="336" t="s">
        <v>542</v>
      </c>
      <c r="D161" s="336"/>
      <c r="E161" s="323">
        <f>'[1]road inventory 2018'!C274</f>
        <v>2.8</v>
      </c>
      <c r="F161" s="323">
        <v>0</v>
      </c>
      <c r="G161" s="323">
        <v>0</v>
      </c>
      <c r="H161" s="323">
        <v>0</v>
      </c>
      <c r="I161" s="323">
        <v>2.8</v>
      </c>
      <c r="J161" s="325" t="s">
        <v>33</v>
      </c>
      <c r="K161" s="323">
        <f t="shared" si="6"/>
        <v>2.8</v>
      </c>
      <c r="L161" s="326" t="s">
        <v>543</v>
      </c>
      <c r="M161" s="363"/>
      <c r="N161" s="328"/>
    </row>
    <row r="162" spans="1:15" ht="20.149999999999999" customHeight="1" x14ac:dyDescent="0.35">
      <c r="A162" s="329">
        <v>10</v>
      </c>
      <c r="B162" s="321">
        <v>170</v>
      </c>
      <c r="C162" s="336" t="s">
        <v>544</v>
      </c>
      <c r="D162" s="336"/>
      <c r="E162" s="323">
        <f>'[1]road inventory 2018'!C275</f>
        <v>1.3</v>
      </c>
      <c r="F162" s="323">
        <v>0</v>
      </c>
      <c r="G162" s="323">
        <v>0</v>
      </c>
      <c r="H162" s="323">
        <v>0</v>
      </c>
      <c r="I162" s="323">
        <v>1.3</v>
      </c>
      <c r="J162" s="325" t="s">
        <v>33</v>
      </c>
      <c r="K162" s="323">
        <f t="shared" si="6"/>
        <v>1.3</v>
      </c>
      <c r="L162" s="326" t="s">
        <v>533</v>
      </c>
      <c r="M162" s="363"/>
      <c r="N162" s="328"/>
    </row>
    <row r="163" spans="1:15" ht="20.149999999999999" customHeight="1" x14ac:dyDescent="0.35">
      <c r="A163" s="329">
        <v>11</v>
      </c>
      <c r="B163" s="321">
        <v>169</v>
      </c>
      <c r="C163" s="336" t="s">
        <v>545</v>
      </c>
      <c r="D163" s="336"/>
      <c r="E163" s="323">
        <f>'[1]road inventory 2018'!C276</f>
        <v>3.2</v>
      </c>
      <c r="F163" s="323">
        <v>0</v>
      </c>
      <c r="G163" s="323">
        <v>0</v>
      </c>
      <c r="H163" s="323">
        <v>0</v>
      </c>
      <c r="I163" s="323">
        <v>3.2</v>
      </c>
      <c r="J163" s="325" t="s">
        <v>41</v>
      </c>
      <c r="K163" s="323">
        <f t="shared" si="6"/>
        <v>3.2</v>
      </c>
      <c r="L163" s="326" t="s">
        <v>546</v>
      </c>
      <c r="M163" s="363"/>
      <c r="N163" s="328"/>
    </row>
    <row r="164" spans="1:15" s="317" customFormat="1" ht="20.149999999999999" customHeight="1" x14ac:dyDescent="0.35">
      <c r="B164" s="373"/>
      <c r="C164" s="374" t="s">
        <v>341</v>
      </c>
      <c r="D164" s="374"/>
      <c r="E164" s="375">
        <f>SUM(E153:E163)</f>
        <v>62</v>
      </c>
      <c r="F164" s="375">
        <f>SUM(F153:F163)</f>
        <v>12.194000000000001</v>
      </c>
      <c r="G164" s="375">
        <f>SUM(G153:G163)</f>
        <v>0</v>
      </c>
      <c r="H164" s="375">
        <f>SUM(H153:H163)</f>
        <v>0</v>
      </c>
      <c r="I164" s="375">
        <f>SUM(I153:I163)</f>
        <v>49.805999999999997</v>
      </c>
      <c r="J164" s="376"/>
      <c r="K164" s="375"/>
      <c r="L164" s="372"/>
      <c r="M164" s="453"/>
      <c r="N164" s="377"/>
      <c r="O164" s="320"/>
    </row>
    <row r="165" spans="1:15" ht="20.149999999999999" customHeight="1" x14ac:dyDescent="0.35">
      <c r="B165" s="321"/>
      <c r="C165" s="330"/>
      <c r="D165" s="330"/>
      <c r="E165" s="323"/>
      <c r="F165" s="323"/>
      <c r="G165" s="323"/>
      <c r="H165" s="323"/>
      <c r="I165" s="323"/>
      <c r="J165" s="325"/>
      <c r="K165" s="323"/>
      <c r="L165" s="326"/>
      <c r="M165" s="363"/>
      <c r="N165" s="328"/>
      <c r="O165" s="331"/>
    </row>
    <row r="166" spans="1:15" s="317" customFormat="1" ht="20.149999999999999" customHeight="1" x14ac:dyDescent="0.35">
      <c r="B166" s="390" t="s">
        <v>596</v>
      </c>
      <c r="C166" s="378"/>
      <c r="D166" s="378"/>
      <c r="E166" s="375"/>
      <c r="F166" s="375"/>
      <c r="G166" s="375"/>
      <c r="H166" s="375"/>
      <c r="I166" s="375"/>
      <c r="J166" s="376"/>
      <c r="K166" s="375"/>
      <c r="L166" s="378"/>
      <c r="M166" s="453"/>
      <c r="N166" s="377"/>
    </row>
    <row r="167" spans="1:15" ht="20.149999999999999" customHeight="1" x14ac:dyDescent="0.35">
      <c r="A167" s="329">
        <v>1</v>
      </c>
      <c r="B167" s="321">
        <v>187</v>
      </c>
      <c r="C167" s="336" t="s">
        <v>597</v>
      </c>
      <c r="D167" s="336"/>
      <c r="E167" s="325">
        <f>'[1]road inventory 2018'!C345</f>
        <v>0.504</v>
      </c>
      <c r="F167" s="323">
        <v>0.504</v>
      </c>
      <c r="G167" s="323">
        <v>0</v>
      </c>
      <c r="H167" s="323">
        <v>0</v>
      </c>
      <c r="I167" s="323">
        <v>0</v>
      </c>
      <c r="J167" s="326" t="s">
        <v>12</v>
      </c>
      <c r="K167" s="323">
        <f t="shared" ref="K167:K174" si="7">SUM(F167:I167)</f>
        <v>0.504</v>
      </c>
      <c r="L167" s="326"/>
      <c r="M167" s="452" t="s">
        <v>745</v>
      </c>
    </row>
    <row r="168" spans="1:15" ht="20.149999999999999" customHeight="1" x14ac:dyDescent="0.35">
      <c r="A168" s="329">
        <v>2</v>
      </c>
      <c r="B168" s="321">
        <v>188</v>
      </c>
      <c r="C168" s="336" t="s">
        <v>598</v>
      </c>
      <c r="D168" s="336"/>
      <c r="E168" s="325">
        <f>'[1]road inventory 2018'!C346</f>
        <v>0.158</v>
      </c>
      <c r="F168" s="323">
        <v>0.158</v>
      </c>
      <c r="G168" s="323">
        <v>0</v>
      </c>
      <c r="H168" s="323">
        <v>0</v>
      </c>
      <c r="I168" s="323">
        <v>0</v>
      </c>
      <c r="J168" s="326" t="s">
        <v>12</v>
      </c>
      <c r="K168" s="323">
        <f t="shared" si="7"/>
        <v>0.158</v>
      </c>
      <c r="L168" s="326"/>
    </row>
    <row r="169" spans="1:15" ht="20.149999999999999" customHeight="1" x14ac:dyDescent="0.35">
      <c r="A169" s="329">
        <v>3</v>
      </c>
      <c r="B169" s="321">
        <v>189</v>
      </c>
      <c r="C169" s="336" t="s">
        <v>599</v>
      </c>
      <c r="D169" s="336"/>
      <c r="E169" s="325">
        <f>'[1]road inventory 2018'!C347</f>
        <v>0.74199999999999999</v>
      </c>
      <c r="F169" s="323">
        <v>0.74199999999999999</v>
      </c>
      <c r="G169" s="323">
        <v>0</v>
      </c>
      <c r="H169" s="323">
        <v>0</v>
      </c>
      <c r="I169" s="323">
        <v>0</v>
      </c>
      <c r="J169" s="326" t="s">
        <v>12</v>
      </c>
      <c r="K169" s="323">
        <f t="shared" si="7"/>
        <v>0.74199999999999999</v>
      </c>
      <c r="L169" s="326"/>
    </row>
    <row r="170" spans="1:15" ht="20.149999999999999" customHeight="1" x14ac:dyDescent="0.35">
      <c r="A170" s="329">
        <v>4</v>
      </c>
      <c r="B170" s="321">
        <v>185</v>
      </c>
      <c r="C170" s="336" t="s">
        <v>600</v>
      </c>
      <c r="D170" s="336"/>
      <c r="E170" s="325">
        <v>7.6</v>
      </c>
      <c r="F170" s="323">
        <v>0</v>
      </c>
      <c r="G170" s="323">
        <v>0</v>
      </c>
      <c r="H170" s="323">
        <v>0</v>
      </c>
      <c r="I170" s="323">
        <v>7.6</v>
      </c>
      <c r="J170" s="326" t="s">
        <v>10</v>
      </c>
      <c r="K170" s="323">
        <f t="shared" si="7"/>
        <v>7.6</v>
      </c>
      <c r="L170" s="326"/>
    </row>
    <row r="171" spans="1:15" ht="20.149999999999999" customHeight="1" x14ac:dyDescent="0.35">
      <c r="A171" s="329">
        <v>5</v>
      </c>
      <c r="B171" s="321">
        <v>186</v>
      </c>
      <c r="C171" s="336" t="s">
        <v>601</v>
      </c>
      <c r="D171" s="336"/>
      <c r="E171" s="325">
        <f>'[1]road inventory 2018'!C349</f>
        <v>10.5</v>
      </c>
      <c r="F171" s="323">
        <v>0</v>
      </c>
      <c r="G171" s="323">
        <v>0</v>
      </c>
      <c r="H171" s="323">
        <v>0</v>
      </c>
      <c r="I171" s="323">
        <v>10.5</v>
      </c>
      <c r="J171" s="326" t="s">
        <v>12</v>
      </c>
      <c r="K171" s="323">
        <f t="shared" si="7"/>
        <v>10.5</v>
      </c>
      <c r="L171" s="326"/>
    </row>
    <row r="172" spans="1:15" ht="20.149999999999999" customHeight="1" x14ac:dyDescent="0.35">
      <c r="A172" s="329">
        <v>6</v>
      </c>
      <c r="B172" s="321">
        <v>190</v>
      </c>
      <c r="C172" s="336" t="s">
        <v>602</v>
      </c>
      <c r="D172" s="336"/>
      <c r="E172" s="325">
        <f>'[1]road inventory 2018'!C350</f>
        <v>17.5</v>
      </c>
      <c r="F172" s="323">
        <v>0</v>
      </c>
      <c r="G172" s="323">
        <v>0</v>
      </c>
      <c r="H172" s="323">
        <v>0</v>
      </c>
      <c r="I172" s="323">
        <v>17.5</v>
      </c>
      <c r="J172" s="326" t="s">
        <v>12</v>
      </c>
      <c r="K172" s="323">
        <f t="shared" si="7"/>
        <v>17.5</v>
      </c>
      <c r="L172" s="326"/>
    </row>
    <row r="173" spans="1:15" ht="20.149999999999999" customHeight="1" x14ac:dyDescent="0.35">
      <c r="A173" s="329">
        <v>7</v>
      </c>
      <c r="B173" s="321">
        <v>191</v>
      </c>
      <c r="C173" s="336" t="s">
        <v>603</v>
      </c>
      <c r="D173" s="336"/>
      <c r="E173" s="325">
        <f>'[1]road inventory 2018'!C351</f>
        <v>3.5</v>
      </c>
      <c r="F173" s="323">
        <v>0</v>
      </c>
      <c r="G173" s="323">
        <v>0</v>
      </c>
      <c r="H173" s="323">
        <v>0</v>
      </c>
      <c r="I173" s="323">
        <v>3.5</v>
      </c>
      <c r="J173" s="326" t="s">
        <v>12</v>
      </c>
      <c r="K173" s="323">
        <f t="shared" si="7"/>
        <v>3.5</v>
      </c>
      <c r="L173" s="326"/>
    </row>
    <row r="174" spans="1:15" ht="20.149999999999999" customHeight="1" x14ac:dyDescent="0.35">
      <c r="A174" s="329">
        <v>8</v>
      </c>
      <c r="B174" s="321">
        <v>230</v>
      </c>
      <c r="C174" s="336" t="s">
        <v>604</v>
      </c>
      <c r="D174" s="336"/>
      <c r="E174" s="325">
        <f>'[1]road inventory 2018'!C352</f>
        <v>1.58</v>
      </c>
      <c r="F174" s="323">
        <v>0</v>
      </c>
      <c r="G174" s="323">
        <v>0</v>
      </c>
      <c r="H174" s="323">
        <v>0</v>
      </c>
      <c r="I174" s="323">
        <v>1.58</v>
      </c>
      <c r="J174" s="326" t="s">
        <v>41</v>
      </c>
      <c r="K174" s="323">
        <f t="shared" si="7"/>
        <v>1.58</v>
      </c>
      <c r="L174" s="326"/>
    </row>
    <row r="175" spans="1:15" s="317" customFormat="1" ht="20.149999999999999" customHeight="1" x14ac:dyDescent="0.35">
      <c r="B175" s="373"/>
      <c r="C175" s="374" t="s">
        <v>341</v>
      </c>
      <c r="D175" s="374"/>
      <c r="E175" s="375">
        <f>SUM(E167:E174)</f>
        <v>42.083999999999996</v>
      </c>
      <c r="F175" s="375">
        <f>SUM(F167:F174)</f>
        <v>1.4039999999999999</v>
      </c>
      <c r="G175" s="375">
        <f>SUM(G167:G174)</f>
        <v>0</v>
      </c>
      <c r="H175" s="375">
        <f>SUM(H167:H174)</f>
        <v>0</v>
      </c>
      <c r="I175" s="375">
        <f>SUM(I167:I174)</f>
        <v>40.68</v>
      </c>
      <c r="J175" s="376"/>
      <c r="K175" s="375"/>
      <c r="L175" s="372"/>
      <c r="M175" s="453"/>
      <c r="N175" s="377"/>
      <c r="O175" s="320"/>
    </row>
    <row r="176" spans="1:15" ht="20.149999999999999" customHeight="1" x14ac:dyDescent="0.35">
      <c r="B176" s="321"/>
      <c r="C176" s="330"/>
      <c r="D176" s="330"/>
      <c r="E176" s="323"/>
      <c r="F176" s="323"/>
      <c r="G176" s="323"/>
      <c r="H176" s="323"/>
      <c r="I176" s="323"/>
      <c r="J176" s="325"/>
      <c r="K176" s="323"/>
      <c r="L176" s="326"/>
      <c r="M176" s="363"/>
      <c r="N176" s="328"/>
      <c r="O176" s="331"/>
    </row>
    <row r="177" spans="1:19" s="317" customFormat="1" ht="20.149999999999999" customHeight="1" x14ac:dyDescent="0.35">
      <c r="B177" s="390" t="s">
        <v>734</v>
      </c>
      <c r="C177" s="378"/>
      <c r="D177" s="378"/>
      <c r="E177" s="376"/>
      <c r="F177" s="375"/>
      <c r="G177" s="375"/>
      <c r="H177" s="375"/>
      <c r="I177" s="375"/>
      <c r="J177" s="372"/>
      <c r="K177" s="375"/>
      <c r="L177" s="400"/>
      <c r="M177" s="457"/>
      <c r="N177" s="401"/>
    </row>
    <row r="178" spans="1:19" ht="20.149999999999999" customHeight="1" x14ac:dyDescent="0.35">
      <c r="A178" s="329">
        <v>1</v>
      </c>
      <c r="B178" s="321">
        <v>171</v>
      </c>
      <c r="C178" s="336" t="s">
        <v>611</v>
      </c>
      <c r="D178" s="336"/>
      <c r="E178" s="323">
        <v>8.7409999999999997</v>
      </c>
      <c r="F178" s="323">
        <v>1.18</v>
      </c>
      <c r="G178" s="323">
        <v>0</v>
      </c>
      <c r="H178" s="323">
        <v>0</v>
      </c>
      <c r="I178" s="323">
        <v>7.5609999999999999</v>
      </c>
      <c r="J178" s="325" t="s">
        <v>12</v>
      </c>
      <c r="K178" s="323">
        <f>SUM(F178:I178)</f>
        <v>8.7409999999999997</v>
      </c>
      <c r="L178" s="326"/>
      <c r="M178" s="363"/>
      <c r="N178" s="328"/>
    </row>
    <row r="179" spans="1:19" s="317" customFormat="1" ht="20.149999999999999" customHeight="1" x14ac:dyDescent="0.35">
      <c r="B179" s="373"/>
      <c r="C179" s="374" t="s">
        <v>341</v>
      </c>
      <c r="D179" s="374"/>
      <c r="E179" s="375">
        <f>SUM(E178)</f>
        <v>8.7409999999999997</v>
      </c>
      <c r="F179" s="375">
        <f>SUM(F178)</f>
        <v>1.18</v>
      </c>
      <c r="G179" s="375">
        <f>SUM(G178)</f>
        <v>0</v>
      </c>
      <c r="H179" s="375">
        <f>SUM(H178)</f>
        <v>0</v>
      </c>
      <c r="I179" s="375">
        <f>SUM(I178)</f>
        <v>7.5609999999999999</v>
      </c>
      <c r="J179" s="376"/>
      <c r="K179" s="375"/>
      <c r="L179" s="372"/>
      <c r="M179" s="453"/>
      <c r="N179" s="377"/>
      <c r="O179" s="320"/>
    </row>
    <row r="180" spans="1:19" ht="20.149999999999999" customHeight="1" x14ac:dyDescent="0.35">
      <c r="B180" s="321"/>
      <c r="C180" s="330"/>
      <c r="D180" s="330"/>
      <c r="E180" s="323"/>
      <c r="F180" s="323"/>
      <c r="G180" s="323"/>
      <c r="H180" s="323"/>
      <c r="I180" s="323"/>
      <c r="J180" s="325"/>
      <c r="K180" s="323"/>
      <c r="L180" s="326"/>
      <c r="M180" s="363"/>
      <c r="N180" s="328"/>
      <c r="O180" s="331"/>
    </row>
    <row r="181" spans="1:19" s="317" customFormat="1" ht="20.149999999999999" customHeight="1" x14ac:dyDescent="0.35">
      <c r="B181" s="390" t="s">
        <v>583</v>
      </c>
      <c r="C181" s="378"/>
      <c r="D181" s="378"/>
      <c r="E181" s="375"/>
      <c r="F181" s="375"/>
      <c r="G181" s="375"/>
      <c r="H181" s="375"/>
      <c r="I181" s="375"/>
      <c r="J181" s="376"/>
      <c r="K181" s="375"/>
      <c r="L181" s="400"/>
      <c r="M181" s="453"/>
      <c r="N181" s="377"/>
    </row>
    <row r="182" spans="1:19" ht="20.149999999999999" customHeight="1" x14ac:dyDescent="0.35">
      <c r="A182" s="329">
        <v>1</v>
      </c>
      <c r="B182" s="321">
        <v>173</v>
      </c>
      <c r="C182" s="336" t="s">
        <v>584</v>
      </c>
      <c r="D182" s="336"/>
      <c r="E182" s="323">
        <f>'[1]road inventory 2018'!C326</f>
        <v>1.5</v>
      </c>
      <c r="F182" s="323">
        <v>1.5</v>
      </c>
      <c r="G182" s="323">
        <v>0</v>
      </c>
      <c r="H182" s="323">
        <v>0</v>
      </c>
      <c r="I182" s="323">
        <v>0</v>
      </c>
      <c r="J182" s="325" t="s">
        <v>10</v>
      </c>
      <c r="K182" s="323">
        <f t="shared" ref="K182:K194" si="8">SUM(F182:I182)</f>
        <v>1.5</v>
      </c>
      <c r="L182" s="326"/>
      <c r="M182" s="363"/>
      <c r="N182" s="328"/>
    </row>
    <row r="183" spans="1:19" ht="20.149999999999999" customHeight="1" x14ac:dyDescent="0.35">
      <c r="A183" s="329">
        <v>2</v>
      </c>
      <c r="B183" s="321">
        <v>174</v>
      </c>
      <c r="C183" s="336" t="s">
        <v>585</v>
      </c>
      <c r="D183" s="336"/>
      <c r="E183" s="323">
        <f>'[1]road inventory 2018'!C327</f>
        <v>0.2</v>
      </c>
      <c r="F183" s="323">
        <v>0.2</v>
      </c>
      <c r="G183" s="323">
        <v>0</v>
      </c>
      <c r="H183" s="323">
        <v>0</v>
      </c>
      <c r="I183" s="323">
        <v>0</v>
      </c>
      <c r="J183" s="326" t="s">
        <v>33</v>
      </c>
      <c r="K183" s="323">
        <f t="shared" si="8"/>
        <v>0.2</v>
      </c>
      <c r="L183" s="326"/>
      <c r="M183" s="363"/>
      <c r="N183" s="328"/>
    </row>
    <row r="184" spans="1:19" ht="20.149999999999999" customHeight="1" x14ac:dyDescent="0.35">
      <c r="A184" s="329">
        <v>3</v>
      </c>
      <c r="B184" s="321">
        <v>175</v>
      </c>
      <c r="C184" s="336" t="s">
        <v>586</v>
      </c>
      <c r="D184" s="336"/>
      <c r="E184" s="323">
        <f>'[1]road inventory 2018'!C328</f>
        <v>3.6</v>
      </c>
      <c r="F184" s="323">
        <v>3.31</v>
      </c>
      <c r="G184" s="323">
        <v>0</v>
      </c>
      <c r="H184" s="323">
        <v>0</v>
      </c>
      <c r="I184" s="323">
        <v>0.28999999999999998</v>
      </c>
      <c r="J184" s="326" t="s">
        <v>12</v>
      </c>
      <c r="K184" s="323">
        <f t="shared" si="8"/>
        <v>3.6</v>
      </c>
      <c r="L184" s="326"/>
      <c r="M184" s="363"/>
      <c r="N184" s="328"/>
    </row>
    <row r="185" spans="1:19" ht="20.149999999999999" customHeight="1" x14ac:dyDescent="0.35">
      <c r="A185" s="329">
        <v>4</v>
      </c>
      <c r="B185" s="321">
        <v>176</v>
      </c>
      <c r="C185" s="336" t="s">
        <v>587</v>
      </c>
      <c r="D185" s="336"/>
      <c r="E185" s="323">
        <f>'[1]road inventory 2018'!C329</f>
        <v>20.5</v>
      </c>
      <c r="F185" s="323">
        <v>5.21</v>
      </c>
      <c r="G185" s="323">
        <v>0</v>
      </c>
      <c r="H185" s="323">
        <v>0</v>
      </c>
      <c r="I185" s="323">
        <v>15.29</v>
      </c>
      <c r="J185" s="326" t="s">
        <v>12</v>
      </c>
      <c r="K185" s="323">
        <f t="shared" si="8"/>
        <v>20.5</v>
      </c>
      <c r="L185" s="326"/>
      <c r="M185" s="363"/>
      <c r="N185" s="328"/>
    </row>
    <row r="186" spans="1:19" ht="20.149999999999999" customHeight="1" x14ac:dyDescent="0.35">
      <c r="A186" s="329">
        <v>5</v>
      </c>
      <c r="B186" s="321">
        <v>177</v>
      </c>
      <c r="C186" s="336" t="s">
        <v>588</v>
      </c>
      <c r="D186" s="336"/>
      <c r="E186" s="323">
        <f>'[1]road inventory 2018'!C330</f>
        <v>13.5</v>
      </c>
      <c r="F186" s="323">
        <v>13.5</v>
      </c>
      <c r="G186" s="323">
        <v>0</v>
      </c>
      <c r="H186" s="323">
        <v>0</v>
      </c>
      <c r="I186" s="323">
        <v>0</v>
      </c>
      <c r="J186" s="325" t="s">
        <v>10</v>
      </c>
      <c r="K186" s="323">
        <f t="shared" si="8"/>
        <v>13.5</v>
      </c>
      <c r="L186" s="326"/>
      <c r="M186" s="363"/>
      <c r="N186" s="328"/>
    </row>
    <row r="187" spans="1:19" ht="20.149999999999999" customHeight="1" x14ac:dyDescent="0.35">
      <c r="A187" s="329">
        <v>6</v>
      </c>
      <c r="B187" s="321">
        <v>172</v>
      </c>
      <c r="C187" s="336" t="s">
        <v>589</v>
      </c>
      <c r="D187" s="336"/>
      <c r="E187" s="323">
        <f>'[1]road inventory 2018'!C331</f>
        <v>5.7</v>
      </c>
      <c r="F187" s="323">
        <v>1.02</v>
      </c>
      <c r="G187" s="323">
        <v>0</v>
      </c>
      <c r="H187" s="323">
        <v>3.42</v>
      </c>
      <c r="I187" s="323">
        <v>1.26</v>
      </c>
      <c r="J187" s="325" t="s">
        <v>10</v>
      </c>
      <c r="K187" s="323">
        <f t="shared" si="8"/>
        <v>5.6999999999999993</v>
      </c>
      <c r="L187" s="326"/>
      <c r="M187" s="363"/>
      <c r="N187" s="328"/>
      <c r="S187" s="331"/>
    </row>
    <row r="188" spans="1:19" ht="20.149999999999999" customHeight="1" x14ac:dyDescent="0.35">
      <c r="A188" s="329">
        <v>7</v>
      </c>
      <c r="B188" s="321">
        <v>178</v>
      </c>
      <c r="C188" s="336" t="s">
        <v>296</v>
      </c>
      <c r="D188" s="336"/>
      <c r="E188" s="323">
        <f>'[1]road inventory 2018'!C332</f>
        <v>25.54</v>
      </c>
      <c r="F188" s="323">
        <v>1.23</v>
      </c>
      <c r="G188" s="323">
        <v>0</v>
      </c>
      <c r="H188" s="323">
        <v>0</v>
      </c>
      <c r="I188" s="323">
        <v>24.31</v>
      </c>
      <c r="J188" s="326" t="s">
        <v>12</v>
      </c>
      <c r="K188" s="323">
        <f t="shared" si="8"/>
        <v>25.54</v>
      </c>
      <c r="L188" s="326"/>
      <c r="M188" s="363"/>
      <c r="N188" s="328"/>
    </row>
    <row r="189" spans="1:19" ht="20.149999999999999" customHeight="1" x14ac:dyDescent="0.35">
      <c r="A189" s="329">
        <v>8</v>
      </c>
      <c r="B189" s="321">
        <v>179</v>
      </c>
      <c r="C189" s="336" t="s">
        <v>590</v>
      </c>
      <c r="D189" s="336"/>
      <c r="E189" s="323">
        <f>'[1]road inventory 2018'!C333</f>
        <v>9.4</v>
      </c>
      <c r="F189" s="323">
        <v>0.43</v>
      </c>
      <c r="G189" s="323">
        <v>0</v>
      </c>
      <c r="H189" s="323">
        <v>0</v>
      </c>
      <c r="I189" s="323">
        <v>8.9700000000000006</v>
      </c>
      <c r="J189" s="325" t="s">
        <v>12</v>
      </c>
      <c r="K189" s="323">
        <f t="shared" si="8"/>
        <v>9.4</v>
      </c>
      <c r="L189" s="326"/>
      <c r="M189" s="363"/>
      <c r="N189" s="328"/>
    </row>
    <row r="190" spans="1:19" ht="20.149999999999999" customHeight="1" x14ac:dyDescent="0.35">
      <c r="A190" s="329">
        <v>9</v>
      </c>
      <c r="B190" s="321">
        <v>180</v>
      </c>
      <c r="C190" s="336" t="s">
        <v>591</v>
      </c>
      <c r="D190" s="336"/>
      <c r="E190" s="323">
        <f>'[1]road inventory 2018'!C334</f>
        <v>2.42</v>
      </c>
      <c r="F190" s="323">
        <v>0</v>
      </c>
      <c r="G190" s="323">
        <v>0</v>
      </c>
      <c r="H190" s="323">
        <v>0</v>
      </c>
      <c r="I190" s="323">
        <v>2.42</v>
      </c>
      <c r="J190" s="326" t="s">
        <v>12</v>
      </c>
      <c r="K190" s="323">
        <f t="shared" si="8"/>
        <v>2.42</v>
      </c>
      <c r="L190" s="326"/>
      <c r="M190" s="363"/>
      <c r="N190" s="328"/>
    </row>
    <row r="191" spans="1:19" ht="20.149999999999999" customHeight="1" x14ac:dyDescent="0.35">
      <c r="A191" s="329">
        <v>10</v>
      </c>
      <c r="B191" s="321">
        <v>181</v>
      </c>
      <c r="C191" s="336" t="s">
        <v>592</v>
      </c>
      <c r="D191" s="336"/>
      <c r="E191" s="323">
        <f>'[1]road inventory 2018'!C335</f>
        <v>4.9000000000000004</v>
      </c>
      <c r="F191" s="323">
        <v>4.9000000000000004</v>
      </c>
      <c r="G191" s="323">
        <v>0</v>
      </c>
      <c r="H191" s="323">
        <v>0</v>
      </c>
      <c r="I191" s="323">
        <v>0</v>
      </c>
      <c r="J191" s="325" t="s">
        <v>10</v>
      </c>
      <c r="K191" s="323">
        <f t="shared" si="8"/>
        <v>4.9000000000000004</v>
      </c>
      <c r="L191" s="326"/>
      <c r="M191" s="363"/>
      <c r="N191" s="328"/>
    </row>
    <row r="192" spans="1:19" ht="20.149999999999999" customHeight="1" x14ac:dyDescent="0.35">
      <c r="A192" s="329">
        <v>11</v>
      </c>
      <c r="B192" s="321">
        <v>182</v>
      </c>
      <c r="C192" s="336" t="s">
        <v>593</v>
      </c>
      <c r="D192" s="336"/>
      <c r="E192" s="323">
        <f>'[1]road inventory 2018'!C336</f>
        <v>16</v>
      </c>
      <c r="F192" s="323">
        <v>16</v>
      </c>
      <c r="G192" s="323">
        <v>0</v>
      </c>
      <c r="H192" s="323">
        <v>0</v>
      </c>
      <c r="I192" s="323">
        <v>0</v>
      </c>
      <c r="J192" s="326" t="s">
        <v>10</v>
      </c>
      <c r="K192" s="323">
        <f t="shared" si="8"/>
        <v>16</v>
      </c>
      <c r="L192" s="326"/>
      <c r="M192" s="363"/>
      <c r="N192" s="328"/>
    </row>
    <row r="193" spans="1:16" ht="20.149999999999999" customHeight="1" x14ac:dyDescent="0.35">
      <c r="A193" s="329">
        <v>12</v>
      </c>
      <c r="B193" s="321">
        <v>183</v>
      </c>
      <c r="C193" s="336" t="s">
        <v>594</v>
      </c>
      <c r="D193" s="336"/>
      <c r="E193" s="323">
        <f>'[1]road inventory 2018'!C337</f>
        <v>1.7</v>
      </c>
      <c r="F193" s="323">
        <v>0</v>
      </c>
      <c r="G193" s="323">
        <v>0</v>
      </c>
      <c r="H193" s="323">
        <v>0</v>
      </c>
      <c r="I193" s="323">
        <v>1.7</v>
      </c>
      <c r="J193" s="326" t="s">
        <v>12</v>
      </c>
      <c r="K193" s="323">
        <f t="shared" si="8"/>
        <v>1.7</v>
      </c>
      <c r="L193" s="326"/>
      <c r="M193" s="363"/>
      <c r="N193" s="328"/>
    </row>
    <row r="194" spans="1:16" ht="20.149999999999999" customHeight="1" x14ac:dyDescent="0.35">
      <c r="A194" s="329">
        <v>13</v>
      </c>
      <c r="B194" s="321">
        <v>184</v>
      </c>
      <c r="C194" s="336" t="s">
        <v>595</v>
      </c>
      <c r="D194" s="336"/>
      <c r="E194" s="323">
        <f>'[1]road inventory 2018'!C338</f>
        <v>12</v>
      </c>
      <c r="F194" s="323">
        <v>10.01</v>
      </c>
      <c r="G194" s="323">
        <v>0</v>
      </c>
      <c r="H194" s="323">
        <v>0</v>
      </c>
      <c r="I194" s="323">
        <v>1.99</v>
      </c>
      <c r="J194" s="326" t="s">
        <v>10</v>
      </c>
      <c r="K194" s="323">
        <f t="shared" si="8"/>
        <v>12</v>
      </c>
      <c r="L194" s="326"/>
      <c r="M194" s="363"/>
      <c r="N194" s="328"/>
    </row>
    <row r="195" spans="1:16" s="317" customFormat="1" ht="20.149999999999999" customHeight="1" x14ac:dyDescent="0.35">
      <c r="B195" s="373"/>
      <c r="C195" s="374" t="s">
        <v>341</v>
      </c>
      <c r="D195" s="374"/>
      <c r="E195" s="375">
        <f>SUM(E182:E194)</f>
        <v>116.96000000000001</v>
      </c>
      <c r="F195" s="375">
        <f>SUM(F182:F194)</f>
        <v>57.309999999999995</v>
      </c>
      <c r="G195" s="375">
        <f>SUM(G182:G194)</f>
        <v>0</v>
      </c>
      <c r="H195" s="375">
        <f>SUM(H182:H194)</f>
        <v>3.42</v>
      </c>
      <c r="I195" s="375">
        <f>SUM(I182:I194)</f>
        <v>56.230000000000004</v>
      </c>
      <c r="J195" s="376"/>
      <c r="K195" s="375"/>
      <c r="L195" s="372"/>
      <c r="M195" s="453"/>
      <c r="N195" s="377"/>
      <c r="O195" s="320"/>
    </row>
    <row r="196" spans="1:16" ht="20.149999999999999" customHeight="1" x14ac:dyDescent="0.35">
      <c r="B196" s="321"/>
      <c r="C196" s="330"/>
      <c r="D196" s="330"/>
      <c r="E196" s="323"/>
      <c r="F196" s="323"/>
      <c r="G196" s="323"/>
      <c r="H196" s="323"/>
      <c r="I196" s="323"/>
      <c r="J196" s="325"/>
      <c r="K196" s="323"/>
      <c r="L196" s="326"/>
      <c r="M196" s="363"/>
      <c r="N196" s="328"/>
      <c r="O196" s="331"/>
    </row>
    <row r="197" spans="1:16" s="317" customFormat="1" ht="20.149999999999999" customHeight="1" x14ac:dyDescent="0.35">
      <c r="B197" s="390" t="s">
        <v>605</v>
      </c>
      <c r="C197" s="378"/>
      <c r="D197" s="378"/>
      <c r="E197" s="375"/>
      <c r="F197" s="375"/>
      <c r="G197" s="375"/>
      <c r="H197" s="375"/>
      <c r="I197" s="375"/>
      <c r="J197" s="372"/>
      <c r="K197" s="375"/>
      <c r="L197" s="400"/>
      <c r="M197" s="453"/>
      <c r="N197" s="377"/>
    </row>
    <row r="198" spans="1:16" ht="20.149999999999999" customHeight="1" x14ac:dyDescent="0.35">
      <c r="A198" s="329">
        <v>1</v>
      </c>
      <c r="B198" s="321">
        <v>192</v>
      </c>
      <c r="C198" s="336" t="s">
        <v>606</v>
      </c>
      <c r="D198" s="336"/>
      <c r="E198" s="342">
        <f>'[1]road inventory 2018'!C359</f>
        <v>17</v>
      </c>
      <c r="F198" s="323">
        <f>10.754-(153.8/1000)</f>
        <v>10.600199999999999</v>
      </c>
      <c r="G198" s="323">
        <v>0</v>
      </c>
      <c r="H198" s="323">
        <v>0</v>
      </c>
      <c r="I198" s="323">
        <v>6.4</v>
      </c>
      <c r="J198" s="326" t="s">
        <v>10</v>
      </c>
      <c r="K198" s="323">
        <f>SUM(F198:I198)</f>
        <v>17.0002</v>
      </c>
      <c r="L198" s="326"/>
      <c r="M198" s="458"/>
      <c r="N198" s="343">
        <v>10.6</v>
      </c>
    </row>
    <row r="199" spans="1:16" ht="20.149999999999999" customHeight="1" x14ac:dyDescent="0.35">
      <c r="A199" s="329">
        <v>2</v>
      </c>
      <c r="B199" s="321">
        <v>193</v>
      </c>
      <c r="C199" s="336" t="s">
        <v>607</v>
      </c>
      <c r="D199" s="336"/>
      <c r="E199" s="342">
        <f>'[1]road inventory 2018'!C360</f>
        <v>1.8</v>
      </c>
      <c r="F199" s="323">
        <v>1.8</v>
      </c>
      <c r="G199" s="323">
        <v>0</v>
      </c>
      <c r="H199" s="323">
        <v>0</v>
      </c>
      <c r="I199" s="323">
        <v>0</v>
      </c>
      <c r="J199" s="326" t="s">
        <v>12</v>
      </c>
      <c r="K199" s="323">
        <f>SUM(F199:I199)</f>
        <v>1.8</v>
      </c>
      <c r="L199" s="326"/>
      <c r="M199" s="458"/>
      <c r="N199" s="343"/>
    </row>
    <row r="200" spans="1:16" ht="20.149999999999999" customHeight="1" x14ac:dyDescent="0.35">
      <c r="A200" s="329">
        <v>3</v>
      </c>
      <c r="B200" s="321">
        <v>194</v>
      </c>
      <c r="C200" s="336" t="s">
        <v>608</v>
      </c>
      <c r="D200" s="336"/>
      <c r="E200" s="342">
        <f>'[1]road inventory 2018'!C361</f>
        <v>5.3</v>
      </c>
      <c r="F200" s="323">
        <v>3.5409999999999999</v>
      </c>
      <c r="G200" s="323">
        <v>0</v>
      </c>
      <c r="H200" s="323">
        <v>0</v>
      </c>
      <c r="I200" s="323">
        <v>1.7589999999999999</v>
      </c>
      <c r="J200" s="326" t="s">
        <v>12</v>
      </c>
      <c r="K200" s="323">
        <f>SUM(F200:I200)</f>
        <v>5.3</v>
      </c>
      <c r="L200" s="326"/>
      <c r="M200" s="458"/>
      <c r="N200" s="343"/>
    </row>
    <row r="201" spans="1:16" ht="20.149999999999999" customHeight="1" x14ac:dyDescent="0.35">
      <c r="A201" s="329">
        <v>4</v>
      </c>
      <c r="B201" s="321">
        <v>195</v>
      </c>
      <c r="C201" s="336" t="s">
        <v>609</v>
      </c>
      <c r="D201" s="336"/>
      <c r="E201" s="342">
        <v>3.9000000000000004</v>
      </c>
      <c r="F201" s="323">
        <v>1.2</v>
      </c>
      <c r="G201" s="323">
        <v>0</v>
      </c>
      <c r="H201" s="323">
        <v>0</v>
      </c>
      <c r="I201" s="323">
        <v>2.7</v>
      </c>
      <c r="J201" s="326" t="s">
        <v>12</v>
      </c>
      <c r="K201" s="323">
        <f>SUM(F201:I201)</f>
        <v>3.9000000000000004</v>
      </c>
      <c r="L201" s="326"/>
      <c r="M201" s="458" t="s">
        <v>746</v>
      </c>
      <c r="N201" s="343"/>
    </row>
    <row r="202" spans="1:16" s="317" customFormat="1" ht="20.149999999999999" customHeight="1" x14ac:dyDescent="0.35">
      <c r="B202" s="373"/>
      <c r="C202" s="374" t="s">
        <v>341</v>
      </c>
      <c r="D202" s="374"/>
      <c r="E202" s="375">
        <f>SUM(E198:E201)</f>
        <v>28</v>
      </c>
      <c r="F202" s="375">
        <f>SUM(F198:F201)</f>
        <v>17.141200000000001</v>
      </c>
      <c r="G202" s="375">
        <f>SUM(G198:G201)</f>
        <v>0</v>
      </c>
      <c r="H202" s="375">
        <f>SUM(H198:H201)</f>
        <v>0</v>
      </c>
      <c r="I202" s="375">
        <f>SUM(I198:I201)</f>
        <v>10.859000000000002</v>
      </c>
      <c r="J202" s="376"/>
      <c r="K202" s="375"/>
      <c r="L202" s="372"/>
      <c r="M202" s="453"/>
      <c r="N202" s="377"/>
      <c r="O202" s="320"/>
    </row>
    <row r="203" spans="1:16" ht="20.149999999999999" customHeight="1" x14ac:dyDescent="0.35">
      <c r="B203" s="321"/>
      <c r="C203" s="330"/>
      <c r="D203" s="330"/>
      <c r="E203" s="323"/>
      <c r="F203" s="323"/>
      <c r="G203" s="323"/>
      <c r="H203" s="323"/>
      <c r="I203" s="323"/>
      <c r="J203" s="325"/>
      <c r="K203" s="323"/>
      <c r="L203" s="326"/>
      <c r="M203" s="363"/>
      <c r="N203" s="328"/>
      <c r="O203" s="331"/>
      <c r="P203" s="317" t="s">
        <v>845</v>
      </c>
    </row>
    <row r="204" spans="1:16" s="317" customFormat="1" ht="20.149999999999999" customHeight="1" x14ac:dyDescent="0.35">
      <c r="B204" s="403" t="s">
        <v>547</v>
      </c>
      <c r="C204" s="378"/>
      <c r="D204" s="378"/>
      <c r="E204" s="404"/>
      <c r="F204" s="404"/>
      <c r="G204" s="404"/>
      <c r="H204" s="404"/>
      <c r="I204" s="404"/>
      <c r="J204" s="405"/>
      <c r="K204" s="375"/>
      <c r="L204" s="402"/>
      <c r="M204" s="453"/>
      <c r="N204" s="377"/>
      <c r="P204" s="320">
        <f>E252+E213+E202+E195+E179+E175+E164+E150</f>
        <v>349.815</v>
      </c>
    </row>
    <row r="205" spans="1:16" ht="20.149999999999999" customHeight="1" x14ac:dyDescent="0.35">
      <c r="A205" s="329">
        <v>1</v>
      </c>
      <c r="B205" s="344">
        <v>196</v>
      </c>
      <c r="C205" s="348" t="s">
        <v>548</v>
      </c>
      <c r="D205" s="348"/>
      <c r="E205" s="345">
        <f>'[1]road inventory 2018'!C283</f>
        <v>12.700000000000001</v>
      </c>
      <c r="F205" s="345">
        <v>8.2100000000000009</v>
      </c>
      <c r="G205" s="345">
        <v>0</v>
      </c>
      <c r="H205" s="345">
        <v>0</v>
      </c>
      <c r="I205" s="345">
        <v>4.49</v>
      </c>
      <c r="J205" s="346" t="s">
        <v>12</v>
      </c>
      <c r="K205" s="323">
        <f t="shared" ref="K205:K212" si="9">SUM(F205:I205)</f>
        <v>12.700000000000001</v>
      </c>
      <c r="L205" s="347" t="s">
        <v>549</v>
      </c>
      <c r="M205" s="363"/>
      <c r="N205" s="328"/>
    </row>
    <row r="206" spans="1:16" ht="20.149999999999999" customHeight="1" x14ac:dyDescent="0.35">
      <c r="A206" s="329">
        <v>2</v>
      </c>
      <c r="B206" s="344">
        <v>197</v>
      </c>
      <c r="C206" s="348" t="s">
        <v>550</v>
      </c>
      <c r="D206" s="348"/>
      <c r="E206" s="345">
        <f>'[1]road inventory 2018'!C284</f>
        <v>6.6</v>
      </c>
      <c r="F206" s="345">
        <v>3.0939999999999999</v>
      </c>
      <c r="G206" s="345">
        <v>1.833</v>
      </c>
      <c r="H206" s="345">
        <v>0</v>
      </c>
      <c r="I206" s="345">
        <v>1.673</v>
      </c>
      <c r="J206" s="346" t="s">
        <v>10</v>
      </c>
      <c r="K206" s="323">
        <f t="shared" si="9"/>
        <v>6.6</v>
      </c>
      <c r="L206" s="347" t="s">
        <v>551</v>
      </c>
      <c r="M206" s="363"/>
      <c r="N206" s="328"/>
    </row>
    <row r="207" spans="1:16" ht="20.149999999999999" customHeight="1" x14ac:dyDescent="0.35">
      <c r="A207" s="329">
        <v>3</v>
      </c>
      <c r="B207" s="344">
        <v>199</v>
      </c>
      <c r="C207" s="348" t="s">
        <v>552</v>
      </c>
      <c r="D207" s="348"/>
      <c r="E207" s="345">
        <f>'[1]road inventory 2018'!C285</f>
        <v>5</v>
      </c>
      <c r="F207" s="345">
        <v>0.161</v>
      </c>
      <c r="G207" s="345">
        <v>3.31</v>
      </c>
      <c r="H207" s="345">
        <v>0.1</v>
      </c>
      <c r="I207" s="345">
        <v>1.429</v>
      </c>
      <c r="J207" s="346" t="s">
        <v>41</v>
      </c>
      <c r="K207" s="323">
        <f t="shared" si="9"/>
        <v>5</v>
      </c>
      <c r="L207" s="347" t="s">
        <v>553</v>
      </c>
      <c r="M207" s="363"/>
      <c r="N207" s="328"/>
    </row>
    <row r="208" spans="1:16" ht="20.149999999999999" customHeight="1" x14ac:dyDescent="0.35">
      <c r="A208" s="329">
        <v>4</v>
      </c>
      <c r="B208" s="344">
        <v>200</v>
      </c>
      <c r="C208" s="348" t="s">
        <v>291</v>
      </c>
      <c r="D208" s="348"/>
      <c r="E208" s="345">
        <f>'[1]road inventory 2018'!C286</f>
        <v>1.1000000000000001</v>
      </c>
      <c r="F208" s="345">
        <v>1.1000000000000001</v>
      </c>
      <c r="G208" s="345">
        <v>0</v>
      </c>
      <c r="H208" s="345">
        <v>0</v>
      </c>
      <c r="I208" s="345">
        <v>0</v>
      </c>
      <c r="J208" s="346" t="s">
        <v>10</v>
      </c>
      <c r="K208" s="323">
        <f t="shared" si="9"/>
        <v>1.1000000000000001</v>
      </c>
      <c r="L208" s="347" t="s">
        <v>554</v>
      </c>
      <c r="M208" s="363"/>
      <c r="N208" s="328"/>
    </row>
    <row r="209" spans="1:15" ht="20.149999999999999" customHeight="1" x14ac:dyDescent="0.35">
      <c r="A209" s="329">
        <v>5</v>
      </c>
      <c r="B209" s="344">
        <v>201</v>
      </c>
      <c r="C209" s="348" t="s">
        <v>555</v>
      </c>
      <c r="D209" s="348"/>
      <c r="E209" s="345">
        <f>'[1]road inventory 2018'!C287</f>
        <v>5.2</v>
      </c>
      <c r="F209" s="345">
        <v>2.7</v>
      </c>
      <c r="G209" s="345">
        <v>0</v>
      </c>
      <c r="H209" s="345">
        <v>0</v>
      </c>
      <c r="I209" s="345">
        <v>2.5</v>
      </c>
      <c r="J209" s="346" t="s">
        <v>10</v>
      </c>
      <c r="K209" s="323">
        <f t="shared" si="9"/>
        <v>5.2</v>
      </c>
      <c r="L209" s="347" t="s">
        <v>556</v>
      </c>
      <c r="M209" s="363"/>
      <c r="N209" s="328"/>
    </row>
    <row r="210" spans="1:15" ht="20.149999999999999" customHeight="1" x14ac:dyDescent="0.35">
      <c r="A210" s="329">
        <v>6</v>
      </c>
      <c r="B210" s="344">
        <v>202</v>
      </c>
      <c r="C210" s="348" t="s">
        <v>557</v>
      </c>
      <c r="D210" s="348"/>
      <c r="E210" s="345">
        <f>'[1]road inventory 2018'!C288</f>
        <v>5.3000000000000007</v>
      </c>
      <c r="F210" s="345">
        <v>1.37</v>
      </c>
      <c r="G210" s="345">
        <v>0</v>
      </c>
      <c r="H210" s="345">
        <v>0</v>
      </c>
      <c r="I210" s="345">
        <v>3.93</v>
      </c>
      <c r="J210" s="346" t="s">
        <v>10</v>
      </c>
      <c r="K210" s="323">
        <f t="shared" si="9"/>
        <v>5.3000000000000007</v>
      </c>
      <c r="L210" s="347" t="s">
        <v>556</v>
      </c>
      <c r="M210" s="363"/>
      <c r="N210" s="328">
        <v>1.37</v>
      </c>
    </row>
    <row r="211" spans="1:15" ht="20.149999999999999" customHeight="1" x14ac:dyDescent="0.35">
      <c r="A211" s="329">
        <v>7</v>
      </c>
      <c r="B211" s="344">
        <v>203</v>
      </c>
      <c r="C211" s="348" t="s">
        <v>558</v>
      </c>
      <c r="D211" s="348"/>
      <c r="E211" s="345">
        <f>'[1]road inventory 2018'!C289</f>
        <v>3.8</v>
      </c>
      <c r="F211" s="345">
        <v>2.5350000000000001</v>
      </c>
      <c r="G211" s="345">
        <v>0</v>
      </c>
      <c r="H211" s="345">
        <v>0</v>
      </c>
      <c r="I211" s="345">
        <v>1.2649999999999999</v>
      </c>
      <c r="J211" s="346" t="s">
        <v>10</v>
      </c>
      <c r="K211" s="323">
        <f t="shared" si="9"/>
        <v>3.8</v>
      </c>
      <c r="L211" s="347" t="s">
        <v>559</v>
      </c>
      <c r="M211" s="363"/>
      <c r="N211" s="328"/>
    </row>
    <row r="212" spans="1:15" ht="20.149999999999999" customHeight="1" x14ac:dyDescent="0.35">
      <c r="A212" s="329">
        <v>8</v>
      </c>
      <c r="B212" s="344">
        <v>228</v>
      </c>
      <c r="C212" s="348" t="s">
        <v>141</v>
      </c>
      <c r="D212" s="348"/>
      <c r="E212" s="345">
        <f>'[1]road inventory 2018'!C290</f>
        <v>9.3000000000000007</v>
      </c>
      <c r="F212" s="345">
        <v>7.22</v>
      </c>
      <c r="G212" s="345">
        <v>0</v>
      </c>
      <c r="H212" s="345">
        <v>0</v>
      </c>
      <c r="I212" s="345">
        <f>0.83+1.25</f>
        <v>2.08</v>
      </c>
      <c r="J212" s="346" t="s">
        <v>10</v>
      </c>
      <c r="K212" s="323">
        <f t="shared" si="9"/>
        <v>9.3000000000000007</v>
      </c>
      <c r="L212" s="347"/>
      <c r="M212" s="363"/>
      <c r="N212" s="328"/>
    </row>
    <row r="213" spans="1:15" s="317" customFormat="1" ht="20.149999999999999" customHeight="1" x14ac:dyDescent="0.35">
      <c r="B213" s="373"/>
      <c r="C213" s="374" t="s">
        <v>341</v>
      </c>
      <c r="D213" s="374"/>
      <c r="E213" s="375">
        <f>SUM(E205:E212)</f>
        <v>49</v>
      </c>
      <c r="F213" s="375">
        <f>SUM(F205:F212)</f>
        <v>26.39</v>
      </c>
      <c r="G213" s="375">
        <f>SUM(G205:G212)</f>
        <v>5.1429999999999998</v>
      </c>
      <c r="H213" s="375">
        <f>SUM(H205:H212)</f>
        <v>0.1</v>
      </c>
      <c r="I213" s="375">
        <f>SUM(I205:I212)</f>
        <v>17.367000000000001</v>
      </c>
      <c r="J213" s="376"/>
      <c r="K213" s="375"/>
      <c r="L213" s="372"/>
      <c r="M213" s="453"/>
      <c r="N213" s="377"/>
      <c r="O213" s="320"/>
    </row>
    <row r="214" spans="1:15" ht="20.149999999999999" customHeight="1" x14ac:dyDescent="0.35">
      <c r="B214" s="321"/>
      <c r="C214" s="330"/>
      <c r="D214" s="330"/>
      <c r="E214" s="323"/>
      <c r="F214" s="323"/>
      <c r="G214" s="323"/>
      <c r="H214" s="323"/>
      <c r="I214" s="323"/>
      <c r="J214" s="325"/>
      <c r="K214" s="323"/>
      <c r="L214" s="326"/>
      <c r="M214" s="363"/>
      <c r="N214" s="328"/>
      <c r="O214" s="331"/>
    </row>
    <row r="215" spans="1:15" s="317" customFormat="1" ht="20.149999999999999" customHeight="1" x14ac:dyDescent="0.35">
      <c r="B215" s="403" t="s">
        <v>501</v>
      </c>
      <c r="C215" s="378"/>
      <c r="D215" s="378"/>
      <c r="E215" s="404"/>
      <c r="F215" s="404"/>
      <c r="G215" s="404"/>
      <c r="H215" s="404"/>
      <c r="I215" s="404"/>
      <c r="J215" s="405"/>
      <c r="K215" s="375"/>
      <c r="L215" s="402"/>
      <c r="M215" s="453"/>
      <c r="N215" s="377"/>
    </row>
    <row r="216" spans="1:15" ht="20.149999999999999" customHeight="1" x14ac:dyDescent="0.35">
      <c r="A216" s="329">
        <v>1</v>
      </c>
      <c r="B216" s="321">
        <v>153</v>
      </c>
      <c r="C216" s="336" t="s">
        <v>121</v>
      </c>
      <c r="D216" s="336">
        <f>[2]CARRIAGEWAY!$D$13:$L$13</f>
        <v>11.456999999999999</v>
      </c>
      <c r="E216" s="336">
        <f>D216</f>
        <v>11.456999999999999</v>
      </c>
      <c r="F216" s="323">
        <f>[2]CARRIAGEWAY!$V$360</f>
        <v>4.8800000000000008</v>
      </c>
      <c r="G216" s="323">
        <f>[3]CARRIAGEWAY!$X$360</f>
        <v>0</v>
      </c>
      <c r="H216" s="323">
        <v>0</v>
      </c>
      <c r="I216" s="349">
        <f>D216-F216</f>
        <v>6.5769999999999982</v>
      </c>
      <c r="J216" s="325" t="s">
        <v>12</v>
      </c>
      <c r="K216" s="323">
        <f t="shared" ref="K216:K229" si="10">SUM(F216:I216)</f>
        <v>11.456999999999999</v>
      </c>
      <c r="L216" s="326" t="s">
        <v>502</v>
      </c>
      <c r="M216" s="350" t="s">
        <v>747</v>
      </c>
      <c r="N216" s="328"/>
    </row>
    <row r="217" spans="1:15" ht="20.149999999999999" customHeight="1" x14ac:dyDescent="0.35">
      <c r="A217" s="329">
        <v>2</v>
      </c>
      <c r="B217" s="321">
        <v>125</v>
      </c>
      <c r="C217" s="336" t="s">
        <v>125</v>
      </c>
      <c r="D217" s="336">
        <f>[4]CARRIAGEWAY!$D$13:$L$13</f>
        <v>2.9</v>
      </c>
      <c r="E217" s="336">
        <f t="shared" ref="E217:E223" si="11">D217</f>
        <v>2.9</v>
      </c>
      <c r="F217" s="323">
        <v>0</v>
      </c>
      <c r="G217" s="323">
        <v>0</v>
      </c>
      <c r="H217" s="323">
        <v>0</v>
      </c>
      <c r="I217" s="349">
        <v>2.9</v>
      </c>
      <c r="J217" s="325" t="s">
        <v>12</v>
      </c>
      <c r="K217" s="323">
        <f t="shared" si="10"/>
        <v>2.9</v>
      </c>
      <c r="L217" s="326" t="s">
        <v>502</v>
      </c>
      <c r="M217" s="363"/>
      <c r="N217" s="328"/>
    </row>
    <row r="218" spans="1:15" ht="20.149999999999999" customHeight="1" x14ac:dyDescent="0.35">
      <c r="A218" s="329">
        <v>3</v>
      </c>
      <c r="B218" s="321">
        <v>154</v>
      </c>
      <c r="C218" s="336" t="s">
        <v>127</v>
      </c>
      <c r="D218" s="336">
        <f>[5]CARRIAGEWAY!$D$13:$L$13</f>
        <v>7.016</v>
      </c>
      <c r="E218" s="336">
        <f t="shared" si="11"/>
        <v>7.016</v>
      </c>
      <c r="F218" s="323">
        <f>[5]CARRIAGEWAY!$V$360</f>
        <v>0.27400000000000002</v>
      </c>
      <c r="G218" s="323">
        <v>0</v>
      </c>
      <c r="H218" s="323">
        <v>0</v>
      </c>
      <c r="I218" s="349">
        <f>D218-F218</f>
        <v>6.742</v>
      </c>
      <c r="J218" s="325" t="s">
        <v>12</v>
      </c>
      <c r="K218" s="323">
        <f t="shared" si="10"/>
        <v>7.016</v>
      </c>
      <c r="L218" s="326" t="s">
        <v>503</v>
      </c>
      <c r="M218" s="363"/>
      <c r="N218" s="328"/>
    </row>
    <row r="219" spans="1:15" ht="20.149999999999999" customHeight="1" x14ac:dyDescent="0.35">
      <c r="A219" s="329">
        <v>4</v>
      </c>
      <c r="B219" s="321">
        <v>127</v>
      </c>
      <c r="C219" s="336" t="s">
        <v>504</v>
      </c>
      <c r="D219" s="336">
        <f>[6]CARRIAGEWAY!$D$13:$L$13</f>
        <v>3.1</v>
      </c>
      <c r="E219" s="336">
        <f t="shared" si="11"/>
        <v>3.1</v>
      </c>
      <c r="F219" s="323">
        <f>[6]CARRIAGEWAY!$V$360</f>
        <v>1.5590000000000002</v>
      </c>
      <c r="G219" s="323">
        <v>0</v>
      </c>
      <c r="H219" s="323">
        <v>0</v>
      </c>
      <c r="I219" s="349">
        <f>D219-F219</f>
        <v>1.5409999999999999</v>
      </c>
      <c r="J219" s="325" t="s">
        <v>10</v>
      </c>
      <c r="K219" s="323">
        <f t="shared" si="10"/>
        <v>3.1</v>
      </c>
      <c r="L219" s="326" t="s">
        <v>505</v>
      </c>
      <c r="M219" s="363"/>
      <c r="N219" s="328"/>
    </row>
    <row r="220" spans="1:15" ht="20.149999999999999" customHeight="1" x14ac:dyDescent="0.35">
      <c r="A220" s="329">
        <v>5</v>
      </c>
      <c r="B220" s="321">
        <v>128</v>
      </c>
      <c r="C220" s="336" t="s">
        <v>507</v>
      </c>
      <c r="D220" s="336">
        <f>[7]CARRIAGEWAY!$D$13:$L$13</f>
        <v>2.323</v>
      </c>
      <c r="E220" s="336">
        <f t="shared" si="11"/>
        <v>2.323</v>
      </c>
      <c r="F220" s="323">
        <f>[7]CARRIAGEWAY!$V$360</f>
        <v>2.1819999999999999</v>
      </c>
      <c r="G220" s="323">
        <v>0</v>
      </c>
      <c r="H220" s="323">
        <v>0</v>
      </c>
      <c r="I220" s="349">
        <f>D220-F220</f>
        <v>0.14100000000000001</v>
      </c>
      <c r="J220" s="325" t="s">
        <v>10</v>
      </c>
      <c r="K220" s="323">
        <f t="shared" si="10"/>
        <v>2.323</v>
      </c>
      <c r="L220" s="326" t="s">
        <v>508</v>
      </c>
      <c r="M220" s="363"/>
      <c r="N220" s="328"/>
    </row>
    <row r="221" spans="1:15" ht="20.149999999999999" customHeight="1" x14ac:dyDescent="0.35">
      <c r="A221" s="329">
        <v>6</v>
      </c>
      <c r="B221" s="321">
        <v>155</v>
      </c>
      <c r="C221" s="336" t="s">
        <v>509</v>
      </c>
      <c r="D221" s="336">
        <f>[8]CARRIAGEWAY!$D$13:$L$13</f>
        <v>3.7970000000000002</v>
      </c>
      <c r="E221" s="336">
        <f t="shared" si="11"/>
        <v>3.7970000000000002</v>
      </c>
      <c r="F221" s="323">
        <v>1.99</v>
      </c>
      <c r="G221" s="323">
        <v>0</v>
      </c>
      <c r="H221" s="323">
        <v>0</v>
      </c>
      <c r="I221" s="349">
        <f>D221-F221</f>
        <v>1.8070000000000002</v>
      </c>
      <c r="J221" s="325" t="s">
        <v>41</v>
      </c>
      <c r="K221" s="323">
        <f t="shared" si="10"/>
        <v>3.7970000000000002</v>
      </c>
      <c r="L221" s="326" t="s">
        <v>510</v>
      </c>
      <c r="M221" s="363"/>
      <c r="N221" s="328"/>
    </row>
    <row r="222" spans="1:15" ht="20.149999999999999" customHeight="1" x14ac:dyDescent="0.35">
      <c r="A222" s="329">
        <v>7</v>
      </c>
      <c r="B222" s="321">
        <v>129</v>
      </c>
      <c r="C222" s="336" t="s">
        <v>512</v>
      </c>
      <c r="D222" s="336">
        <f>[9]CARRIAGEWAY!$D$13:$L$13</f>
        <v>2.7849999999999997</v>
      </c>
      <c r="E222" s="336">
        <f t="shared" si="11"/>
        <v>2.7849999999999997</v>
      </c>
      <c r="F222" s="323">
        <v>0</v>
      </c>
      <c r="G222" s="323">
        <v>0</v>
      </c>
      <c r="H222" s="323">
        <v>0</v>
      </c>
      <c r="I222" s="349">
        <f>D222</f>
        <v>2.7849999999999997</v>
      </c>
      <c r="J222" s="325" t="s">
        <v>12</v>
      </c>
      <c r="K222" s="323">
        <f t="shared" si="10"/>
        <v>2.7849999999999997</v>
      </c>
      <c r="L222" s="326" t="s">
        <v>513</v>
      </c>
      <c r="M222" s="363"/>
      <c r="N222" s="328"/>
    </row>
    <row r="223" spans="1:15" ht="20.149999999999999" customHeight="1" x14ac:dyDescent="0.35">
      <c r="A223" s="329">
        <v>8</v>
      </c>
      <c r="B223" s="321">
        <v>156</v>
      </c>
      <c r="C223" s="336" t="s">
        <v>130</v>
      </c>
      <c r="D223" s="336">
        <v>20.45</v>
      </c>
      <c r="E223" s="336">
        <f t="shared" si="11"/>
        <v>20.45</v>
      </c>
      <c r="F223" s="323">
        <f>5.49+2.715</f>
        <v>8.2050000000000001</v>
      </c>
      <c r="G223" s="323">
        <v>0</v>
      </c>
      <c r="H223" s="323">
        <v>0</v>
      </c>
      <c r="I223" s="349">
        <f>D223-F223</f>
        <v>12.244999999999999</v>
      </c>
      <c r="J223" s="325" t="s">
        <v>12</v>
      </c>
      <c r="K223" s="323">
        <f t="shared" si="10"/>
        <v>20.45</v>
      </c>
      <c r="L223" s="326" t="s">
        <v>514</v>
      </c>
      <c r="M223" s="363"/>
      <c r="N223" s="328">
        <f>5.49+2.715</f>
        <v>8.2050000000000001</v>
      </c>
    </row>
    <row r="224" spans="1:15" ht="20.149999999999999" customHeight="1" x14ac:dyDescent="0.35">
      <c r="A224" s="329">
        <v>9</v>
      </c>
      <c r="B224" s="321">
        <v>157</v>
      </c>
      <c r="C224" s="336" t="s">
        <v>515</v>
      </c>
      <c r="D224" s="931"/>
      <c r="E224" s="323">
        <f>'[1]road inventory 2018'!C254</f>
        <v>8.6999999999999993</v>
      </c>
      <c r="F224" s="323">
        <v>0</v>
      </c>
      <c r="G224" s="323">
        <v>0</v>
      </c>
      <c r="H224" s="323">
        <v>0</v>
      </c>
      <c r="I224" s="349">
        <v>0</v>
      </c>
      <c r="J224" s="325" t="s">
        <v>12</v>
      </c>
      <c r="K224" s="323">
        <f t="shared" si="10"/>
        <v>0</v>
      </c>
      <c r="L224" s="326"/>
      <c r="M224" s="363"/>
      <c r="N224" s="328"/>
    </row>
    <row r="225" spans="1:16" ht="20.149999999999999" customHeight="1" x14ac:dyDescent="0.35">
      <c r="A225" s="329">
        <v>10</v>
      </c>
      <c r="B225" s="321">
        <v>158</v>
      </c>
      <c r="C225" s="336" t="s">
        <v>517</v>
      </c>
      <c r="D225" s="931"/>
      <c r="E225" s="323">
        <f>'[1]road inventory 2018'!C255</f>
        <v>7.1999999999999993</v>
      </c>
      <c r="F225" s="323">
        <v>0</v>
      </c>
      <c r="G225" s="323">
        <v>0</v>
      </c>
      <c r="H225" s="323">
        <v>0</v>
      </c>
      <c r="I225" s="349">
        <v>0</v>
      </c>
      <c r="J225" s="325" t="s">
        <v>33</v>
      </c>
      <c r="K225" s="323">
        <f t="shared" si="10"/>
        <v>0</v>
      </c>
      <c r="L225" s="326"/>
      <c r="M225" s="363"/>
      <c r="N225" s="328">
        <v>4.08</v>
      </c>
    </row>
    <row r="226" spans="1:16" ht="20.149999999999999" customHeight="1" x14ac:dyDescent="0.35">
      <c r="A226" s="329">
        <v>11</v>
      </c>
      <c r="B226" s="321">
        <v>159</v>
      </c>
      <c r="C226" s="336" t="s">
        <v>518</v>
      </c>
      <c r="D226" s="931"/>
      <c r="E226" s="323">
        <f>'[1]road inventory 2018'!C256</f>
        <v>4.8</v>
      </c>
      <c r="F226" s="323">
        <v>0</v>
      </c>
      <c r="G226" s="323">
        <v>0</v>
      </c>
      <c r="H226" s="323">
        <v>0</v>
      </c>
      <c r="I226" s="349">
        <v>0</v>
      </c>
      <c r="J226" s="325" t="s">
        <v>33</v>
      </c>
      <c r="K226" s="323">
        <f t="shared" si="10"/>
        <v>0</v>
      </c>
      <c r="L226" s="326"/>
      <c r="M226" s="363"/>
      <c r="N226" s="328"/>
    </row>
    <row r="227" spans="1:16" ht="20.149999999999999" customHeight="1" x14ac:dyDescent="0.35">
      <c r="A227" s="329">
        <v>12</v>
      </c>
      <c r="B227" s="321">
        <v>130</v>
      </c>
      <c r="C227" s="336" t="s">
        <v>519</v>
      </c>
      <c r="D227" s="336">
        <v>10.55</v>
      </c>
      <c r="E227" s="323">
        <f>D227</f>
        <v>10.55</v>
      </c>
      <c r="F227" s="323">
        <v>2.2000000000000002</v>
      </c>
      <c r="G227" s="323">
        <f>[10]CARRIAGEWAY!$X$360</f>
        <v>0</v>
      </c>
      <c r="H227" s="323">
        <v>0</v>
      </c>
      <c r="I227" s="349">
        <f>D227-F227</f>
        <v>8.3500000000000014</v>
      </c>
      <c r="J227" s="325" t="s">
        <v>41</v>
      </c>
      <c r="K227" s="323">
        <f t="shared" si="10"/>
        <v>10.55</v>
      </c>
      <c r="L227" s="326" t="s">
        <v>520</v>
      </c>
      <c r="M227" s="363"/>
      <c r="N227" s="328"/>
      <c r="O227" s="351"/>
      <c r="P227" s="352"/>
    </row>
    <row r="228" spans="1:16" ht="20.149999999999999" customHeight="1" x14ac:dyDescent="0.35">
      <c r="A228" s="329">
        <v>13</v>
      </c>
      <c r="B228" s="321">
        <v>131</v>
      </c>
      <c r="C228" s="336" t="s">
        <v>523</v>
      </c>
      <c r="D228" s="336">
        <f>[11]CARRIAGEWAY!$D$13:$L$13</f>
        <v>5.3309999999999995</v>
      </c>
      <c r="E228" s="323">
        <f>D228</f>
        <v>5.3309999999999995</v>
      </c>
      <c r="F228" s="323">
        <v>4.8499999999999996</v>
      </c>
      <c r="G228" s="323">
        <v>0</v>
      </c>
      <c r="H228" s="323">
        <v>0</v>
      </c>
      <c r="I228" s="349">
        <f>D228-F228</f>
        <v>0.48099999999999987</v>
      </c>
      <c r="J228" s="325" t="s">
        <v>12</v>
      </c>
      <c r="K228" s="323">
        <f t="shared" si="10"/>
        <v>5.3309999999999995</v>
      </c>
      <c r="L228" s="326"/>
      <c r="M228" s="363"/>
      <c r="N228" s="328"/>
    </row>
    <row r="229" spans="1:16" ht="20.149999999999999" customHeight="1" x14ac:dyDescent="0.35">
      <c r="A229" s="329">
        <v>14</v>
      </c>
      <c r="B229" s="321">
        <v>135</v>
      </c>
      <c r="C229" s="336" t="s">
        <v>139</v>
      </c>
      <c r="D229" s="336">
        <f>[12]CARRIAGEWAY!$D$13:$L$13</f>
        <v>4.4809999999999999</v>
      </c>
      <c r="E229" s="323">
        <f>D229</f>
        <v>4.4809999999999999</v>
      </c>
      <c r="F229" s="323">
        <v>0</v>
      </c>
      <c r="G229" s="323">
        <v>0</v>
      </c>
      <c r="H229" s="323">
        <v>0</v>
      </c>
      <c r="I229" s="349">
        <f>D229</f>
        <v>4.4809999999999999</v>
      </c>
      <c r="J229" s="325" t="s">
        <v>12</v>
      </c>
      <c r="K229" s="323">
        <f t="shared" si="10"/>
        <v>4.4809999999999999</v>
      </c>
      <c r="L229" s="326" t="s">
        <v>525</v>
      </c>
      <c r="M229" s="363"/>
      <c r="N229" s="328"/>
    </row>
    <row r="230" spans="1:16" s="317" customFormat="1" ht="20.149999999999999" customHeight="1" x14ac:dyDescent="0.35">
      <c r="B230" s="373"/>
      <c r="C230" s="374" t="s">
        <v>341</v>
      </c>
      <c r="D230" s="374">
        <f t="shared" ref="D230:I230" si="12">SUM(D216:D229)</f>
        <v>74.19</v>
      </c>
      <c r="E230" s="375">
        <f t="shared" si="12"/>
        <v>94.89</v>
      </c>
      <c r="F230" s="375">
        <f t="shared" si="12"/>
        <v>26.14</v>
      </c>
      <c r="G230" s="375">
        <f t="shared" si="12"/>
        <v>0</v>
      </c>
      <c r="H230" s="375">
        <f t="shared" si="12"/>
        <v>0</v>
      </c>
      <c r="I230" s="375">
        <f t="shared" si="12"/>
        <v>48.05</v>
      </c>
      <c r="J230" s="376"/>
      <c r="K230" s="375"/>
      <c r="L230" s="372"/>
      <c r="M230" s="453">
        <f>F230+I230</f>
        <v>74.19</v>
      </c>
      <c r="N230" s="377"/>
      <c r="O230" s="320"/>
    </row>
    <row r="231" spans="1:16" ht="20.149999999999999" customHeight="1" x14ac:dyDescent="0.35">
      <c r="B231" s="321"/>
      <c r="C231" s="330"/>
      <c r="D231" s="330"/>
      <c r="E231" s="323"/>
      <c r="F231" s="323"/>
      <c r="G231" s="323"/>
      <c r="H231" s="323"/>
      <c r="I231" s="323"/>
      <c r="J231" s="325"/>
      <c r="K231" s="323"/>
      <c r="L231" s="326"/>
      <c r="M231" s="363"/>
      <c r="N231" s="328"/>
      <c r="O231" s="320" t="s">
        <v>300</v>
      </c>
    </row>
    <row r="232" spans="1:16" s="317" customFormat="1" ht="20.149999999999999" customHeight="1" x14ac:dyDescent="0.35">
      <c r="B232" s="390" t="s">
        <v>494</v>
      </c>
      <c r="C232" s="378"/>
      <c r="D232" s="378"/>
      <c r="E232" s="375"/>
      <c r="F232" s="375"/>
      <c r="G232" s="375"/>
      <c r="H232" s="375"/>
      <c r="I232" s="406"/>
      <c r="J232" s="376"/>
      <c r="K232" s="375"/>
      <c r="L232" s="400"/>
      <c r="M232" s="453"/>
      <c r="N232" s="377"/>
      <c r="O232" s="320">
        <f>E230+E238+E272+E283+E294</f>
        <v>424.08599999999996</v>
      </c>
    </row>
    <row r="233" spans="1:16" ht="20.149999999999999" customHeight="1" x14ac:dyDescent="0.35">
      <c r="A233" s="329">
        <v>1</v>
      </c>
      <c r="B233" s="321">
        <v>148</v>
      </c>
      <c r="C233" s="336" t="s">
        <v>290</v>
      </c>
      <c r="D233" s="336">
        <f>[13]CARRIAGEWAY!$D$13:$L$13</f>
        <v>3.0760000000000005</v>
      </c>
      <c r="E233" s="323">
        <f>D233</f>
        <v>3.0760000000000005</v>
      </c>
      <c r="F233" s="323">
        <v>0.32500000000000001</v>
      </c>
      <c r="G233" s="323">
        <v>0</v>
      </c>
      <c r="H233" s="323">
        <v>0</v>
      </c>
      <c r="I233" s="323">
        <f>D233-F233</f>
        <v>2.7510000000000003</v>
      </c>
      <c r="J233" s="325" t="s">
        <v>41</v>
      </c>
      <c r="K233" s="323">
        <f>SUM(F233:I233)</f>
        <v>3.0760000000000005</v>
      </c>
      <c r="L233" s="325" t="s">
        <v>735</v>
      </c>
      <c r="M233" s="363"/>
      <c r="N233" s="328"/>
    </row>
    <row r="234" spans="1:16" ht="20.149999999999999" customHeight="1" x14ac:dyDescent="0.35">
      <c r="A234" s="329">
        <v>2</v>
      </c>
      <c r="B234" s="321">
        <v>149</v>
      </c>
      <c r="C234" s="336" t="s">
        <v>496</v>
      </c>
      <c r="D234" s="336">
        <f>[14]CARRIAGEWAY!$D$13:$L$13</f>
        <v>5.0560000000000009</v>
      </c>
      <c r="E234" s="323">
        <f>D234</f>
        <v>5.0560000000000009</v>
      </c>
      <c r="F234" s="323">
        <v>3.55</v>
      </c>
      <c r="G234" s="323">
        <v>0</v>
      </c>
      <c r="H234" s="323">
        <v>0</v>
      </c>
      <c r="I234" s="323">
        <f>D234-F234</f>
        <v>1.5060000000000011</v>
      </c>
      <c r="J234" s="325" t="s">
        <v>12</v>
      </c>
      <c r="K234" s="323">
        <f>SUM(F234:I234)</f>
        <v>5.0560000000000009</v>
      </c>
      <c r="L234" s="325" t="s">
        <v>736</v>
      </c>
      <c r="M234" s="363"/>
      <c r="N234" s="328"/>
    </row>
    <row r="235" spans="1:16" ht="20.149999999999999" customHeight="1" x14ac:dyDescent="0.35">
      <c r="A235" s="329">
        <v>3</v>
      </c>
      <c r="B235" s="321">
        <v>150</v>
      </c>
      <c r="C235" s="336" t="s">
        <v>116</v>
      </c>
      <c r="D235" s="336">
        <f>[15]CARRIAGEWAY!$D$13:$L$13</f>
        <v>11.209</v>
      </c>
      <c r="E235" s="323">
        <f>D235</f>
        <v>11.209</v>
      </c>
      <c r="F235" s="323">
        <v>7.01</v>
      </c>
      <c r="G235" s="323">
        <v>0</v>
      </c>
      <c r="H235" s="323">
        <v>0</v>
      </c>
      <c r="I235" s="323">
        <f>D235-F235</f>
        <v>4.1989999999999998</v>
      </c>
      <c r="J235" s="325" t="s">
        <v>10</v>
      </c>
      <c r="K235" s="323">
        <f>SUM(F235:I235)</f>
        <v>11.209</v>
      </c>
      <c r="L235" s="325" t="s">
        <v>737</v>
      </c>
      <c r="M235" s="363"/>
      <c r="N235" s="328"/>
    </row>
    <row r="236" spans="1:16" ht="20.149999999999999" customHeight="1" x14ac:dyDescent="0.35">
      <c r="A236" s="329">
        <v>4</v>
      </c>
      <c r="B236" s="321">
        <v>151</v>
      </c>
      <c r="C236" s="336" t="s">
        <v>499</v>
      </c>
      <c r="D236" s="336">
        <f>[16]CARRIAGEWAY!$D$13:$L$13</f>
        <v>4.0670000000000002</v>
      </c>
      <c r="E236" s="323">
        <f>D236</f>
        <v>4.0670000000000002</v>
      </c>
      <c r="F236" s="323">
        <v>1.85</v>
      </c>
      <c r="G236" s="323">
        <v>0</v>
      </c>
      <c r="H236" s="323">
        <v>0</v>
      </c>
      <c r="I236" s="323">
        <f>D236-F236</f>
        <v>2.2170000000000001</v>
      </c>
      <c r="J236" s="325" t="s">
        <v>12</v>
      </c>
      <c r="K236" s="323">
        <f>SUM(F236:I236)</f>
        <v>4.0670000000000002</v>
      </c>
      <c r="L236" s="325" t="s">
        <v>738</v>
      </c>
      <c r="M236" s="363"/>
      <c r="N236" s="328"/>
    </row>
    <row r="237" spans="1:16" ht="20.149999999999999" customHeight="1" x14ac:dyDescent="0.35">
      <c r="A237" s="329">
        <v>5</v>
      </c>
      <c r="B237" s="321">
        <v>152</v>
      </c>
      <c r="C237" s="336" t="s">
        <v>120</v>
      </c>
      <c r="D237" s="336">
        <f>[17]CARRIAGEWAY!$D$13:$L$13</f>
        <v>4.7160000000000002</v>
      </c>
      <c r="E237" s="323">
        <f>D237</f>
        <v>4.7160000000000002</v>
      </c>
      <c r="F237" s="323">
        <v>0.3</v>
      </c>
      <c r="G237" s="323">
        <v>0</v>
      </c>
      <c r="H237" s="323">
        <v>0</v>
      </c>
      <c r="I237" s="323">
        <f>D237-F237</f>
        <v>4.4160000000000004</v>
      </c>
      <c r="J237" s="325" t="s">
        <v>12</v>
      </c>
      <c r="K237" s="323">
        <f>SUM(F237:I237)</f>
        <v>4.7160000000000002</v>
      </c>
      <c r="L237" s="326"/>
      <c r="M237" s="363"/>
      <c r="N237" s="328"/>
      <c r="O237" s="329" t="e">
        <f>#REF!</f>
        <v>#REF!</v>
      </c>
    </row>
    <row r="238" spans="1:16" s="317" customFormat="1" ht="20.149999999999999" customHeight="1" x14ac:dyDescent="0.35">
      <c r="B238" s="373"/>
      <c r="C238" s="374" t="s">
        <v>341</v>
      </c>
      <c r="D238" s="374">
        <f t="shared" ref="D238:I238" si="13">SUM(D233:D237)</f>
        <v>28.124000000000002</v>
      </c>
      <c r="E238" s="375">
        <f t="shared" si="13"/>
        <v>28.124000000000002</v>
      </c>
      <c r="F238" s="375">
        <f t="shared" si="13"/>
        <v>13.035</v>
      </c>
      <c r="G238" s="375">
        <f t="shared" si="13"/>
        <v>0</v>
      </c>
      <c r="H238" s="375">
        <f t="shared" si="13"/>
        <v>0</v>
      </c>
      <c r="I238" s="375">
        <f t="shared" si="13"/>
        <v>15.089000000000002</v>
      </c>
      <c r="J238" s="376"/>
      <c r="K238" s="375"/>
      <c r="L238" s="372"/>
      <c r="M238" s="453">
        <f>F238+I238</f>
        <v>28.124000000000002</v>
      </c>
      <c r="N238" s="377"/>
      <c r="O238" s="320">
        <f>O232+P204+P15</f>
        <v>1250.251</v>
      </c>
    </row>
    <row r="239" spans="1:16" ht="20.149999999999999" customHeight="1" x14ac:dyDescent="0.35">
      <c r="B239" s="321"/>
      <c r="C239" s="330"/>
      <c r="D239" s="330"/>
      <c r="E239" s="323"/>
      <c r="F239" s="323"/>
      <c r="G239" s="323"/>
      <c r="H239" s="323"/>
      <c r="I239" s="323"/>
      <c r="J239" s="325"/>
      <c r="K239" s="323"/>
      <c r="L239" s="326"/>
      <c r="M239" s="363"/>
      <c r="N239" s="328"/>
      <c r="O239" s="331"/>
    </row>
    <row r="240" spans="1:16" ht="20.149999999999999" hidden="1" customHeight="1" x14ac:dyDescent="0.35">
      <c r="B240" s="390" t="s">
        <v>560</v>
      </c>
      <c r="C240" s="388"/>
      <c r="D240" s="388"/>
      <c r="E240" s="385"/>
      <c r="F240" s="385"/>
      <c r="G240" s="385"/>
      <c r="H240" s="385"/>
      <c r="I240" s="385"/>
      <c r="J240" s="386"/>
      <c r="K240" s="385"/>
      <c r="L240" s="399"/>
      <c r="M240" s="454"/>
      <c r="N240" s="387"/>
      <c r="O240" s="754" t="e">
        <f>O238-O237</f>
        <v>#REF!</v>
      </c>
    </row>
    <row r="241" spans="1:15" ht="20.149999999999999" hidden="1" customHeight="1" x14ac:dyDescent="0.35">
      <c r="A241" s="329">
        <v>1</v>
      </c>
      <c r="B241" s="321">
        <v>204</v>
      </c>
      <c r="C241" s="336" t="s">
        <v>561</v>
      </c>
      <c r="D241" s="336"/>
      <c r="E241" s="323">
        <f>'[1]road inventory 2018'!C298</f>
        <v>15.87</v>
      </c>
      <c r="F241" s="323">
        <v>6.92</v>
      </c>
      <c r="G241" s="323">
        <v>2.5499999999999998</v>
      </c>
      <c r="H241" s="323">
        <v>0</v>
      </c>
      <c r="I241" s="323">
        <v>6.4</v>
      </c>
      <c r="J241" s="325" t="s">
        <v>33</v>
      </c>
      <c r="K241" s="323">
        <f t="shared" ref="K241:K251" si="14">SUM(F241:I241)</f>
        <v>15.87</v>
      </c>
      <c r="L241" s="326" t="s">
        <v>562</v>
      </c>
      <c r="M241" s="363"/>
      <c r="N241" s="328"/>
    </row>
    <row r="242" spans="1:15" ht="20.149999999999999" hidden="1" customHeight="1" x14ac:dyDescent="0.35">
      <c r="A242" s="329">
        <v>2</v>
      </c>
      <c r="B242" s="321">
        <v>205</v>
      </c>
      <c r="C242" s="336" t="s">
        <v>563</v>
      </c>
      <c r="D242" s="336"/>
      <c r="E242" s="323">
        <f>'[1]road inventory 2018'!C299</f>
        <v>0.37</v>
      </c>
      <c r="F242" s="323">
        <v>0.37</v>
      </c>
      <c r="G242" s="323">
        <v>0</v>
      </c>
      <c r="H242" s="323">
        <v>0</v>
      </c>
      <c r="I242" s="323">
        <v>0</v>
      </c>
      <c r="J242" s="325" t="s">
        <v>10</v>
      </c>
      <c r="K242" s="323">
        <f t="shared" si="14"/>
        <v>0.37</v>
      </c>
      <c r="L242" s="326" t="s">
        <v>564</v>
      </c>
      <c r="M242" s="363"/>
      <c r="N242" s="328"/>
    </row>
    <row r="243" spans="1:15" ht="20.149999999999999" hidden="1" customHeight="1" x14ac:dyDescent="0.35">
      <c r="A243" s="329">
        <v>3</v>
      </c>
      <c r="B243" s="321">
        <v>213</v>
      </c>
      <c r="C243" s="336" t="s">
        <v>293</v>
      </c>
      <c r="D243" s="336"/>
      <c r="E243" s="323">
        <f>'[1]road inventory 2018'!C300</f>
        <v>1.8599999999999999</v>
      </c>
      <c r="F243" s="323">
        <v>1.86</v>
      </c>
      <c r="G243" s="323">
        <v>0</v>
      </c>
      <c r="H243" s="323">
        <v>0</v>
      </c>
      <c r="I243" s="323">
        <v>0</v>
      </c>
      <c r="J243" s="325" t="s">
        <v>12</v>
      </c>
      <c r="K243" s="323">
        <f t="shared" si="14"/>
        <v>1.86</v>
      </c>
      <c r="L243" s="326" t="s">
        <v>565</v>
      </c>
      <c r="M243" s="363"/>
      <c r="N243" s="328"/>
    </row>
    <row r="244" spans="1:15" ht="20.149999999999999" hidden="1" customHeight="1" x14ac:dyDescent="0.35">
      <c r="A244" s="329">
        <v>4</v>
      </c>
      <c r="B244" s="321">
        <v>206</v>
      </c>
      <c r="C244" s="336" t="s">
        <v>295</v>
      </c>
      <c r="D244" s="336"/>
      <c r="E244" s="323">
        <f>'[1]road inventory 2018'!C301</f>
        <v>2</v>
      </c>
      <c r="F244" s="323">
        <v>2</v>
      </c>
      <c r="G244" s="323">
        <v>0</v>
      </c>
      <c r="H244" s="323">
        <v>0</v>
      </c>
      <c r="I244" s="323">
        <v>0</v>
      </c>
      <c r="J244" s="325" t="s">
        <v>12</v>
      </c>
      <c r="K244" s="323">
        <f t="shared" si="14"/>
        <v>2</v>
      </c>
      <c r="L244" s="326" t="s">
        <v>566</v>
      </c>
      <c r="M244" s="363"/>
      <c r="N244" s="328"/>
    </row>
    <row r="245" spans="1:15" ht="20.149999999999999" hidden="1" customHeight="1" x14ac:dyDescent="0.35">
      <c r="A245" s="329">
        <v>5</v>
      </c>
      <c r="B245" s="321">
        <v>207</v>
      </c>
      <c r="C245" s="336" t="s">
        <v>292</v>
      </c>
      <c r="D245" s="336"/>
      <c r="E245" s="323">
        <f>'[1]road inventory 2018'!C302</f>
        <v>3.38</v>
      </c>
      <c r="F245" s="323">
        <v>2.4660000000000002</v>
      </c>
      <c r="G245" s="323">
        <v>0</v>
      </c>
      <c r="H245" s="323">
        <v>0.91400000000000003</v>
      </c>
      <c r="I245" s="323">
        <v>0</v>
      </c>
      <c r="J245" s="325" t="s">
        <v>41</v>
      </c>
      <c r="K245" s="323">
        <f t="shared" si="14"/>
        <v>3.3800000000000003</v>
      </c>
      <c r="L245" s="326" t="s">
        <v>567</v>
      </c>
      <c r="M245" s="363"/>
      <c r="N245" s="328"/>
    </row>
    <row r="246" spans="1:15" ht="20.149999999999999" hidden="1" customHeight="1" x14ac:dyDescent="0.35">
      <c r="A246" s="329">
        <v>6</v>
      </c>
      <c r="B246" s="321">
        <v>229</v>
      </c>
      <c r="C246" s="336" t="s">
        <v>568</v>
      </c>
      <c r="D246" s="336"/>
      <c r="E246" s="323">
        <f>'[1]road inventory 2018'!C303</f>
        <v>0.1</v>
      </c>
      <c r="F246" s="323">
        <v>0</v>
      </c>
      <c r="G246" s="323">
        <v>0</v>
      </c>
      <c r="H246" s="323">
        <v>0</v>
      </c>
      <c r="I246" s="323">
        <v>0.1</v>
      </c>
      <c r="J246" s="325" t="s">
        <v>33</v>
      </c>
      <c r="K246" s="323">
        <f t="shared" si="14"/>
        <v>0.1</v>
      </c>
      <c r="L246" s="326" t="s">
        <v>569</v>
      </c>
      <c r="M246" s="363"/>
      <c r="N246" s="328"/>
    </row>
    <row r="247" spans="1:15" ht="20.149999999999999" hidden="1" customHeight="1" x14ac:dyDescent="0.35">
      <c r="A247" s="329">
        <v>7</v>
      </c>
      <c r="B247" s="321">
        <v>215</v>
      </c>
      <c r="C247" s="336" t="s">
        <v>570</v>
      </c>
      <c r="D247" s="336"/>
      <c r="E247" s="323">
        <f>'[1]road inventory 2018'!C307</f>
        <v>3.8</v>
      </c>
      <c r="F247" s="323">
        <v>1</v>
      </c>
      <c r="G247" s="323">
        <v>2.8</v>
      </c>
      <c r="H247" s="323">
        <v>0</v>
      </c>
      <c r="I247" s="323">
        <v>0</v>
      </c>
      <c r="J247" s="325" t="s">
        <v>41</v>
      </c>
      <c r="K247" s="323">
        <f t="shared" si="14"/>
        <v>3.8</v>
      </c>
      <c r="L247" s="326" t="s">
        <v>571</v>
      </c>
      <c r="M247" s="363"/>
      <c r="N247" s="328">
        <v>1</v>
      </c>
    </row>
    <row r="248" spans="1:15" ht="20.149999999999999" hidden="1" customHeight="1" x14ac:dyDescent="0.35">
      <c r="A248" s="329">
        <v>8</v>
      </c>
      <c r="B248" s="321">
        <v>208</v>
      </c>
      <c r="C248" s="336" t="s">
        <v>572</v>
      </c>
      <c r="D248" s="336"/>
      <c r="E248" s="323">
        <f>'[1]road inventory 2018'!C308</f>
        <v>4.3</v>
      </c>
      <c r="F248" s="323">
        <v>1</v>
      </c>
      <c r="G248" s="323">
        <v>0.25</v>
      </c>
      <c r="H248" s="323">
        <v>0</v>
      </c>
      <c r="I248" s="323">
        <v>3.05</v>
      </c>
      <c r="J248" s="325" t="s">
        <v>10</v>
      </c>
      <c r="K248" s="323">
        <f t="shared" si="14"/>
        <v>4.3</v>
      </c>
      <c r="L248" s="326" t="s">
        <v>573</v>
      </c>
      <c r="M248" s="363"/>
      <c r="N248" s="328">
        <v>1</v>
      </c>
    </row>
    <row r="249" spans="1:15" ht="20.149999999999999" hidden="1" customHeight="1" x14ac:dyDescent="0.35">
      <c r="A249" s="329">
        <v>9</v>
      </c>
      <c r="B249" s="321">
        <v>209</v>
      </c>
      <c r="C249" s="336" t="s">
        <v>294</v>
      </c>
      <c r="D249" s="336"/>
      <c r="E249" s="323">
        <f>'[1]road inventory 2018'!C309</f>
        <v>2.6</v>
      </c>
      <c r="F249" s="323">
        <f>0.866+1.334</f>
        <v>2.2000000000000002</v>
      </c>
      <c r="G249" s="323">
        <v>0</v>
      </c>
      <c r="H249" s="323">
        <v>0</v>
      </c>
      <c r="I249" s="323">
        <v>0.4</v>
      </c>
      <c r="J249" s="325" t="s">
        <v>12</v>
      </c>
      <c r="K249" s="323">
        <f t="shared" si="14"/>
        <v>2.6</v>
      </c>
      <c r="L249" s="326" t="s">
        <v>574</v>
      </c>
      <c r="M249" s="363"/>
      <c r="N249" s="328"/>
    </row>
    <row r="250" spans="1:15" ht="20.149999999999999" hidden="1" customHeight="1" x14ac:dyDescent="0.35">
      <c r="A250" s="329">
        <v>10</v>
      </c>
      <c r="B250" s="321">
        <v>210</v>
      </c>
      <c r="C250" s="336" t="s">
        <v>575</v>
      </c>
      <c r="D250" s="336"/>
      <c r="E250" s="323">
        <f>'[1]road inventory 2018'!C310</f>
        <v>0.8</v>
      </c>
      <c r="F250" s="323">
        <v>0.8</v>
      </c>
      <c r="G250" s="323">
        <v>0</v>
      </c>
      <c r="H250" s="323">
        <v>0</v>
      </c>
      <c r="I250" s="323">
        <v>0</v>
      </c>
      <c r="J250" s="325" t="s">
        <v>12</v>
      </c>
      <c r="K250" s="323">
        <f t="shared" si="14"/>
        <v>0.8</v>
      </c>
      <c r="L250" s="326" t="s">
        <v>576</v>
      </c>
      <c r="M250" s="363"/>
      <c r="N250" s="328"/>
    </row>
    <row r="251" spans="1:15" ht="20.149999999999999" hidden="1" customHeight="1" x14ac:dyDescent="0.35">
      <c r="A251" s="329">
        <v>11</v>
      </c>
      <c r="B251" s="321">
        <v>211</v>
      </c>
      <c r="C251" s="336" t="s">
        <v>577</v>
      </c>
      <c r="D251" s="336"/>
      <c r="E251" s="323">
        <f>'[1]road inventory 2018'!C311</f>
        <v>0.7</v>
      </c>
      <c r="F251" s="323">
        <v>0.7</v>
      </c>
      <c r="G251" s="323">
        <v>0</v>
      </c>
      <c r="H251" s="323">
        <v>0</v>
      </c>
      <c r="I251" s="323">
        <v>0</v>
      </c>
      <c r="J251" s="325" t="s">
        <v>12</v>
      </c>
      <c r="K251" s="323">
        <f t="shared" si="14"/>
        <v>0.7</v>
      </c>
      <c r="L251" s="326" t="s">
        <v>578</v>
      </c>
      <c r="M251" s="363"/>
      <c r="N251" s="328"/>
    </row>
    <row r="252" spans="1:15" s="317" customFormat="1" ht="20.149999999999999" hidden="1" customHeight="1" x14ac:dyDescent="0.35">
      <c r="B252" s="373"/>
      <c r="C252" s="374" t="s">
        <v>341</v>
      </c>
      <c r="D252" s="374"/>
      <c r="E252" s="375">
        <f>SUM(E241:E251)</f>
        <v>35.78</v>
      </c>
      <c r="F252" s="375">
        <f>SUM(F241:F251)</f>
        <v>19.315999999999999</v>
      </c>
      <c r="G252" s="375">
        <f>SUM(G241:G251)</f>
        <v>5.6</v>
      </c>
      <c r="H252" s="375">
        <f>SUM(H241:H251)</f>
        <v>0.91400000000000003</v>
      </c>
      <c r="I252" s="375">
        <f>SUM(I241:I251)</f>
        <v>9.9500000000000011</v>
      </c>
      <c r="J252" s="376"/>
      <c r="K252" s="375"/>
      <c r="L252" s="372"/>
      <c r="M252" s="453"/>
      <c r="N252" s="377"/>
      <c r="O252" s="320"/>
    </row>
    <row r="253" spans="1:15" ht="20.149999999999999" hidden="1" customHeight="1" x14ac:dyDescent="0.35">
      <c r="B253" s="321"/>
      <c r="C253" s="330"/>
      <c r="D253" s="330"/>
      <c r="E253" s="323"/>
      <c r="F253" s="323"/>
      <c r="G253" s="323"/>
      <c r="H253" s="323"/>
      <c r="I253" s="323"/>
      <c r="J253" s="325"/>
      <c r="K253" s="323"/>
      <c r="L253" s="326"/>
      <c r="M253" s="363"/>
      <c r="N253" s="328"/>
      <c r="O253" s="331"/>
    </row>
    <row r="254" spans="1:15" s="319" customFormat="1" ht="20.149999999999999" customHeight="1" x14ac:dyDescent="0.35">
      <c r="B254" s="390" t="s">
        <v>461</v>
      </c>
      <c r="C254" s="401"/>
      <c r="D254" s="401"/>
      <c r="E254" s="407"/>
      <c r="F254" s="408"/>
      <c r="G254" s="408"/>
      <c r="H254" s="408"/>
      <c r="I254" s="407"/>
      <c r="J254" s="372"/>
      <c r="K254" s="375"/>
      <c r="L254" s="400"/>
      <c r="M254" s="459"/>
      <c r="N254" s="409"/>
    </row>
    <row r="255" spans="1:15" ht="20.149999999999999" customHeight="1" x14ac:dyDescent="0.35">
      <c r="A255" s="329">
        <v>1</v>
      </c>
      <c r="B255" s="321">
        <v>89</v>
      </c>
      <c r="C255" s="336" t="s">
        <v>462</v>
      </c>
      <c r="D255" s="330">
        <v>0.63</v>
      </c>
      <c r="E255" s="323">
        <f>D255</f>
        <v>0.63</v>
      </c>
      <c r="F255" s="323">
        <v>0.28000000000000003</v>
      </c>
      <c r="G255" s="323">
        <v>0</v>
      </c>
      <c r="H255" s="323">
        <v>0</v>
      </c>
      <c r="I255" s="323">
        <f t="shared" ref="I255:I260" si="15">D255-F255</f>
        <v>0.35</v>
      </c>
      <c r="J255" s="326" t="s">
        <v>10</v>
      </c>
      <c r="K255" s="323">
        <f t="shared" ref="K255:K271" si="16">SUM(F255:I255)</f>
        <v>0.63</v>
      </c>
      <c r="L255" s="326" t="s">
        <v>360</v>
      </c>
      <c r="M255" s="363"/>
      <c r="N255" s="328"/>
    </row>
    <row r="256" spans="1:15" ht="20.149999999999999" customHeight="1" x14ac:dyDescent="0.35">
      <c r="A256" s="329">
        <v>2</v>
      </c>
      <c r="B256" s="321">
        <v>109</v>
      </c>
      <c r="C256" s="336" t="s">
        <v>285</v>
      </c>
      <c r="D256" s="336">
        <v>2.6</v>
      </c>
      <c r="E256" s="323">
        <f t="shared" ref="E256:E271" si="17">D256</f>
        <v>2.6</v>
      </c>
      <c r="F256" s="323">
        <v>0.22</v>
      </c>
      <c r="G256" s="323">
        <v>0</v>
      </c>
      <c r="H256" s="323">
        <v>0</v>
      </c>
      <c r="I256" s="323">
        <f t="shared" si="15"/>
        <v>2.38</v>
      </c>
      <c r="J256" s="326" t="s">
        <v>10</v>
      </c>
      <c r="K256" s="323">
        <f t="shared" si="16"/>
        <v>2.6</v>
      </c>
      <c r="L256" s="326" t="s">
        <v>463</v>
      </c>
      <c r="M256" s="363"/>
      <c r="N256" s="328"/>
    </row>
    <row r="257" spans="1:15" ht="20.149999999999999" customHeight="1" x14ac:dyDescent="0.35">
      <c r="A257" s="329">
        <v>3</v>
      </c>
      <c r="B257" s="321">
        <v>110</v>
      </c>
      <c r="C257" s="336" t="s">
        <v>65</v>
      </c>
      <c r="D257" s="336">
        <f>[27]CARRIAGEWAY!$D$13:$L$13</f>
        <v>7.04</v>
      </c>
      <c r="E257" s="323">
        <f t="shared" si="17"/>
        <v>7.04</v>
      </c>
      <c r="F257" s="323">
        <v>0.84</v>
      </c>
      <c r="G257" s="323">
        <v>0</v>
      </c>
      <c r="H257" s="323">
        <v>0</v>
      </c>
      <c r="I257" s="323">
        <f t="shared" si="15"/>
        <v>6.2</v>
      </c>
      <c r="J257" s="326" t="s">
        <v>12</v>
      </c>
      <c r="K257" s="323">
        <f t="shared" si="16"/>
        <v>7.04</v>
      </c>
      <c r="L257" s="326" t="s">
        <v>464</v>
      </c>
      <c r="M257" s="363"/>
      <c r="N257" s="328"/>
    </row>
    <row r="258" spans="1:15" ht="20.149999999999999" customHeight="1" x14ac:dyDescent="0.35">
      <c r="A258" s="329">
        <v>4</v>
      </c>
      <c r="B258" s="321">
        <v>111</v>
      </c>
      <c r="C258" s="336" t="s">
        <v>66</v>
      </c>
      <c r="D258" s="336">
        <f>[28]CARRIAGEWAY!$D$13:$L$13</f>
        <v>15.472</v>
      </c>
      <c r="E258" s="323">
        <f t="shared" si="17"/>
        <v>15.472</v>
      </c>
      <c r="F258" s="323">
        <v>1.0900000000000001</v>
      </c>
      <c r="G258" s="323">
        <v>0</v>
      </c>
      <c r="H258" s="323">
        <v>0</v>
      </c>
      <c r="I258" s="323">
        <f t="shared" si="15"/>
        <v>14.382</v>
      </c>
      <c r="J258" s="326" t="s">
        <v>12</v>
      </c>
      <c r="K258" s="323">
        <f t="shared" si="16"/>
        <v>15.472</v>
      </c>
      <c r="L258" s="326" t="s">
        <v>465</v>
      </c>
      <c r="M258" s="363"/>
      <c r="N258" s="328"/>
    </row>
    <row r="259" spans="1:15" ht="20.149999999999999" customHeight="1" x14ac:dyDescent="0.35">
      <c r="A259" s="329">
        <v>5</v>
      </c>
      <c r="B259" s="321">
        <v>112</v>
      </c>
      <c r="C259" s="336" t="s">
        <v>73</v>
      </c>
      <c r="D259" s="336">
        <f>[29]CARRIAGEWAY!$D$13:$L$13</f>
        <v>8.3879999999999999</v>
      </c>
      <c r="E259" s="323">
        <f t="shared" si="17"/>
        <v>8.3879999999999999</v>
      </c>
      <c r="F259" s="323">
        <v>0.21</v>
      </c>
      <c r="G259" s="323">
        <v>0</v>
      </c>
      <c r="H259" s="323">
        <v>0</v>
      </c>
      <c r="I259" s="323">
        <f t="shared" si="15"/>
        <v>8.177999999999999</v>
      </c>
      <c r="J259" s="326" t="s">
        <v>12</v>
      </c>
      <c r="K259" s="323">
        <f t="shared" si="16"/>
        <v>8.3879999999999999</v>
      </c>
      <c r="L259" s="326" t="s">
        <v>466</v>
      </c>
      <c r="M259" s="363"/>
      <c r="N259" s="328"/>
    </row>
    <row r="260" spans="1:15" ht="20.149999999999999" customHeight="1" x14ac:dyDescent="0.35">
      <c r="A260" s="329">
        <v>6</v>
      </c>
      <c r="B260" s="321">
        <v>113</v>
      </c>
      <c r="C260" s="336" t="s">
        <v>75</v>
      </c>
      <c r="D260" s="336">
        <f>[18]CARRIAGEWAY!$D$13:$L$13</f>
        <v>1.59</v>
      </c>
      <c r="E260" s="323">
        <f t="shared" si="17"/>
        <v>1.59</v>
      </c>
      <c r="F260" s="323">
        <v>0.1</v>
      </c>
      <c r="G260" s="323">
        <v>0</v>
      </c>
      <c r="H260" s="323">
        <v>0</v>
      </c>
      <c r="I260" s="323">
        <f t="shared" si="15"/>
        <v>1.49</v>
      </c>
      <c r="J260" s="326" t="s">
        <v>12</v>
      </c>
      <c r="K260" s="323">
        <f t="shared" si="16"/>
        <v>1.59</v>
      </c>
      <c r="L260" s="326" t="s">
        <v>467</v>
      </c>
      <c r="M260" s="363"/>
      <c r="N260" s="328"/>
    </row>
    <row r="261" spans="1:15" ht="20.149999999999999" customHeight="1" x14ac:dyDescent="0.35">
      <c r="A261" s="329">
        <v>7</v>
      </c>
      <c r="B261" s="321">
        <v>114</v>
      </c>
      <c r="C261" s="336" t="s">
        <v>468</v>
      </c>
      <c r="D261" s="336">
        <f>[30]CARRIAGEWAY!$D$13:$L$13</f>
        <v>9.5949999999999989</v>
      </c>
      <c r="E261" s="323">
        <f t="shared" si="17"/>
        <v>9.5949999999999989</v>
      </c>
      <c r="F261" s="323">
        <v>0</v>
      </c>
      <c r="G261" s="323">
        <v>0</v>
      </c>
      <c r="H261" s="323">
        <v>0</v>
      </c>
      <c r="I261" s="323">
        <f>D261</f>
        <v>9.5949999999999989</v>
      </c>
      <c r="J261" s="325" t="s">
        <v>12</v>
      </c>
      <c r="K261" s="323">
        <f t="shared" si="16"/>
        <v>9.5949999999999989</v>
      </c>
      <c r="L261" s="326" t="s">
        <v>469</v>
      </c>
      <c r="M261" s="363"/>
      <c r="N261" s="328"/>
    </row>
    <row r="262" spans="1:15" ht="20.149999999999999" customHeight="1" x14ac:dyDescent="0.35">
      <c r="A262" s="329">
        <v>8</v>
      </c>
      <c r="B262" s="321">
        <v>115</v>
      </c>
      <c r="C262" s="336" t="s">
        <v>77</v>
      </c>
      <c r="D262" s="336">
        <f>[31]CARRIAGEWAY!$D$13:$L$13</f>
        <v>11.143000000000001</v>
      </c>
      <c r="E262" s="323">
        <f t="shared" si="17"/>
        <v>11.143000000000001</v>
      </c>
      <c r="F262" s="323">
        <f>D262</f>
        <v>11.143000000000001</v>
      </c>
      <c r="G262" s="323">
        <v>0</v>
      </c>
      <c r="H262" s="323">
        <v>0</v>
      </c>
      <c r="I262" s="323">
        <v>0</v>
      </c>
      <c r="J262" s="326" t="s">
        <v>10</v>
      </c>
      <c r="K262" s="323">
        <f t="shared" si="16"/>
        <v>11.143000000000001</v>
      </c>
      <c r="L262" s="326" t="s">
        <v>470</v>
      </c>
      <c r="M262" s="363"/>
      <c r="N262" s="328"/>
    </row>
    <row r="263" spans="1:15" ht="20.149999999999999" customHeight="1" x14ac:dyDescent="0.35">
      <c r="A263" s="329">
        <v>9</v>
      </c>
      <c r="B263" s="321">
        <v>117</v>
      </c>
      <c r="C263" s="336" t="s">
        <v>79</v>
      </c>
      <c r="D263" s="336">
        <f>[32]CARRIAGEWAY!$D$13:$L$13</f>
        <v>8.0359999999999996</v>
      </c>
      <c r="E263" s="323">
        <f t="shared" si="17"/>
        <v>8.0359999999999996</v>
      </c>
      <c r="F263" s="323">
        <v>2.1800000000000002</v>
      </c>
      <c r="G263" s="323">
        <v>0</v>
      </c>
      <c r="H263" s="323">
        <v>0</v>
      </c>
      <c r="I263" s="323">
        <f>D263-F263</f>
        <v>5.8559999999999999</v>
      </c>
      <c r="J263" s="325" t="s">
        <v>12</v>
      </c>
      <c r="K263" s="323">
        <f t="shared" si="16"/>
        <v>8.0359999999999996</v>
      </c>
      <c r="L263" s="326" t="s">
        <v>471</v>
      </c>
      <c r="M263" s="363"/>
      <c r="N263" s="328"/>
    </row>
    <row r="264" spans="1:15" ht="20.149999999999999" customHeight="1" x14ac:dyDescent="0.35">
      <c r="A264" s="329">
        <v>10</v>
      </c>
      <c r="B264" s="321">
        <v>118</v>
      </c>
      <c r="C264" s="336" t="s">
        <v>83</v>
      </c>
      <c r="D264" s="336">
        <v>0.9</v>
      </c>
      <c r="E264" s="323">
        <f t="shared" si="17"/>
        <v>0.9</v>
      </c>
      <c r="F264" s="323">
        <v>0</v>
      </c>
      <c r="G264" s="323">
        <v>0</v>
      </c>
      <c r="H264" s="323">
        <v>0</v>
      </c>
      <c r="I264" s="323">
        <f>D264</f>
        <v>0.9</v>
      </c>
      <c r="J264" s="325" t="s">
        <v>41</v>
      </c>
      <c r="K264" s="323">
        <f t="shared" si="16"/>
        <v>0.9</v>
      </c>
      <c r="L264" s="326" t="s">
        <v>472</v>
      </c>
      <c r="M264" s="363" t="s">
        <v>848</v>
      </c>
      <c r="N264" s="328"/>
    </row>
    <row r="265" spans="1:15" ht="20.149999999999999" customHeight="1" x14ac:dyDescent="0.35">
      <c r="A265" s="329">
        <v>11</v>
      </c>
      <c r="B265" s="321">
        <v>132</v>
      </c>
      <c r="C265" s="336" t="s">
        <v>85</v>
      </c>
      <c r="D265" s="336">
        <f>[33]CARRIAGEWAY!$D$13:$L$13</f>
        <v>13.338000000000001</v>
      </c>
      <c r="E265" s="323">
        <f t="shared" si="17"/>
        <v>13.338000000000001</v>
      </c>
      <c r="F265" s="323">
        <v>9.7330000000000005</v>
      </c>
      <c r="G265" s="323">
        <v>0</v>
      </c>
      <c r="H265" s="323">
        <v>0</v>
      </c>
      <c r="I265" s="323">
        <f>D265-F265</f>
        <v>3.6050000000000004</v>
      </c>
      <c r="J265" s="325" t="s">
        <v>10</v>
      </c>
      <c r="K265" s="323">
        <f t="shared" si="16"/>
        <v>13.338000000000001</v>
      </c>
      <c r="L265" s="326" t="s">
        <v>473</v>
      </c>
      <c r="M265" s="363"/>
      <c r="N265" s="328">
        <f>1.895+2.42</f>
        <v>4.3149999999999995</v>
      </c>
    </row>
    <row r="266" spans="1:15" ht="20.149999999999999" customHeight="1" x14ac:dyDescent="0.35">
      <c r="A266" s="329">
        <v>12</v>
      </c>
      <c r="B266" s="321">
        <v>139</v>
      </c>
      <c r="C266" s="336" t="s">
        <v>474</v>
      </c>
      <c r="D266" s="336">
        <f>[34]CARRIAGEWAY!$D$13:$L$13</f>
        <v>9.1479999999999997</v>
      </c>
      <c r="E266" s="323">
        <f t="shared" si="17"/>
        <v>9.1479999999999997</v>
      </c>
      <c r="F266" s="323">
        <v>0</v>
      </c>
      <c r="G266" s="323">
        <v>0</v>
      </c>
      <c r="H266" s="323">
        <v>0</v>
      </c>
      <c r="I266" s="323">
        <f>D266</f>
        <v>9.1479999999999997</v>
      </c>
      <c r="J266" s="325" t="s">
        <v>12</v>
      </c>
      <c r="K266" s="323">
        <f t="shared" si="16"/>
        <v>9.1479999999999997</v>
      </c>
      <c r="L266" s="326" t="s">
        <v>475</v>
      </c>
      <c r="M266" s="363"/>
      <c r="N266" s="328"/>
    </row>
    <row r="267" spans="1:15" ht="20.149999999999999" customHeight="1" x14ac:dyDescent="0.35">
      <c r="A267" s="329">
        <v>13</v>
      </c>
      <c r="B267" s="321">
        <v>122</v>
      </c>
      <c r="C267" s="336" t="s">
        <v>476</v>
      </c>
      <c r="D267" s="336">
        <f>[35]CARRIAGEWAY!$D$13:$L$13</f>
        <v>3.8559999999999999</v>
      </c>
      <c r="E267" s="323">
        <f t="shared" si="17"/>
        <v>3.8559999999999999</v>
      </c>
      <c r="F267" s="323">
        <v>2.0139999999999998</v>
      </c>
      <c r="G267" s="323">
        <v>0</v>
      </c>
      <c r="H267" s="323">
        <v>0</v>
      </c>
      <c r="I267" s="323">
        <f>D267-F267</f>
        <v>1.8420000000000001</v>
      </c>
      <c r="J267" s="325" t="s">
        <v>12</v>
      </c>
      <c r="K267" s="323">
        <f t="shared" si="16"/>
        <v>3.8559999999999999</v>
      </c>
      <c r="L267" s="326" t="s">
        <v>477</v>
      </c>
      <c r="M267" s="350" t="s">
        <v>748</v>
      </c>
      <c r="N267" s="328">
        <v>2.0920000000000001</v>
      </c>
    </row>
    <row r="268" spans="1:15" ht="20.149999999999999" customHeight="1" x14ac:dyDescent="0.35">
      <c r="A268" s="329">
        <v>14</v>
      </c>
      <c r="B268" s="321">
        <v>216</v>
      </c>
      <c r="C268" s="336" t="s">
        <v>87</v>
      </c>
      <c r="D268" s="929">
        <f>[19]CARRIAGEWAY!$D$13:$L$13</f>
        <v>6.319</v>
      </c>
      <c r="E268" s="323">
        <f t="shared" si="17"/>
        <v>6.319</v>
      </c>
      <c r="F268" s="323">
        <v>0</v>
      </c>
      <c r="G268" s="323">
        <v>0</v>
      </c>
      <c r="H268" s="323">
        <v>0</v>
      </c>
      <c r="I268" s="323">
        <f>D268</f>
        <v>6.319</v>
      </c>
      <c r="J268" s="325" t="s">
        <v>12</v>
      </c>
      <c r="K268" s="323">
        <f t="shared" si="16"/>
        <v>6.319</v>
      </c>
      <c r="L268" s="326" t="s">
        <v>478</v>
      </c>
      <c r="M268" s="363"/>
      <c r="N268" s="328"/>
    </row>
    <row r="269" spans="1:15" ht="20.149999999999999" customHeight="1" x14ac:dyDescent="0.35">
      <c r="A269" s="329">
        <v>15</v>
      </c>
      <c r="B269" s="321">
        <v>133</v>
      </c>
      <c r="C269" s="336" t="s">
        <v>90</v>
      </c>
      <c r="D269" s="929">
        <f>[36]CARRIAGEWAY!$D$13:$L$13</f>
        <v>5.2159999999999993</v>
      </c>
      <c r="E269" s="323">
        <f t="shared" si="17"/>
        <v>5.2159999999999993</v>
      </c>
      <c r="F269" s="323">
        <v>0</v>
      </c>
      <c r="G269" s="323">
        <v>0</v>
      </c>
      <c r="H269" s="323">
        <v>0</v>
      </c>
      <c r="I269" s="323">
        <f>D269</f>
        <v>5.2159999999999993</v>
      </c>
      <c r="J269" s="325" t="s">
        <v>12</v>
      </c>
      <c r="K269" s="323">
        <f t="shared" si="16"/>
        <v>5.2159999999999993</v>
      </c>
      <c r="L269" s="326" t="s">
        <v>478</v>
      </c>
      <c r="M269" s="363"/>
      <c r="N269" s="328"/>
    </row>
    <row r="270" spans="1:15" ht="20.149999999999999" customHeight="1" x14ac:dyDescent="0.35">
      <c r="A270" s="329">
        <v>16</v>
      </c>
      <c r="B270" s="321">
        <v>123</v>
      </c>
      <c r="C270" s="336" t="s">
        <v>91</v>
      </c>
      <c r="D270" s="336">
        <f>[37]CARRIAGEWAY!$D$13:$L$13</f>
        <v>17.454000000000001</v>
      </c>
      <c r="E270" s="323">
        <f t="shared" si="17"/>
        <v>17.454000000000001</v>
      </c>
      <c r="F270" s="323">
        <v>9.9120000000000008</v>
      </c>
      <c r="G270" s="323">
        <v>0</v>
      </c>
      <c r="H270" s="323">
        <v>0</v>
      </c>
      <c r="I270" s="323">
        <f>D270-F270</f>
        <v>7.5419999999999998</v>
      </c>
      <c r="J270" s="325" t="s">
        <v>12</v>
      </c>
      <c r="K270" s="323">
        <f t="shared" si="16"/>
        <v>17.454000000000001</v>
      </c>
      <c r="L270" s="326" t="s">
        <v>475</v>
      </c>
      <c r="M270" s="363"/>
      <c r="N270" s="328">
        <v>12.19</v>
      </c>
    </row>
    <row r="271" spans="1:15" ht="20.149999999999999" customHeight="1" x14ac:dyDescent="0.35">
      <c r="A271" s="329">
        <v>17</v>
      </c>
      <c r="B271" s="321">
        <v>134</v>
      </c>
      <c r="C271" s="335" t="s">
        <v>284</v>
      </c>
      <c r="D271" s="928">
        <f>[20]CARRIAGEWAY!$D$13:$L$13</f>
        <v>8.4459999999999997</v>
      </c>
      <c r="E271" s="323">
        <f t="shared" si="17"/>
        <v>8.4459999999999997</v>
      </c>
      <c r="F271" s="323">
        <v>0</v>
      </c>
      <c r="G271" s="323">
        <v>0</v>
      </c>
      <c r="H271" s="323">
        <v>0</v>
      </c>
      <c r="I271" s="323">
        <f>D271</f>
        <v>8.4459999999999997</v>
      </c>
      <c r="J271" s="325" t="s">
        <v>12</v>
      </c>
      <c r="K271" s="323">
        <f t="shared" si="16"/>
        <v>8.4459999999999997</v>
      </c>
      <c r="L271" s="326"/>
      <c r="M271" s="363"/>
      <c r="N271" s="328"/>
    </row>
    <row r="272" spans="1:15" s="317" customFormat="1" ht="20.149999999999999" customHeight="1" x14ac:dyDescent="0.35">
      <c r="B272" s="373"/>
      <c r="C272" s="374" t="s">
        <v>341</v>
      </c>
      <c r="D272" s="374">
        <f t="shared" ref="D272:I272" si="18">SUM(D255:D271)</f>
        <v>129.17099999999999</v>
      </c>
      <c r="E272" s="375">
        <f t="shared" si="18"/>
        <v>129.17099999999999</v>
      </c>
      <c r="F272" s="375">
        <f t="shared" si="18"/>
        <v>37.722000000000001</v>
      </c>
      <c r="G272" s="375">
        <f t="shared" si="18"/>
        <v>0</v>
      </c>
      <c r="H272" s="375">
        <f t="shared" si="18"/>
        <v>0</v>
      </c>
      <c r="I272" s="375">
        <f t="shared" si="18"/>
        <v>91.448999999999984</v>
      </c>
      <c r="J272" s="376"/>
      <c r="K272" s="375"/>
      <c r="L272" s="372"/>
      <c r="M272" s="453">
        <f>F272+I272</f>
        <v>129.17099999999999</v>
      </c>
      <c r="N272" s="377"/>
      <c r="O272" s="320"/>
    </row>
    <row r="273" spans="1:15" ht="20.149999999999999" customHeight="1" x14ac:dyDescent="0.35">
      <c r="B273" s="321"/>
      <c r="C273" s="330"/>
      <c r="D273" s="330"/>
      <c r="E273" s="323"/>
      <c r="F273" s="323"/>
      <c r="G273" s="323"/>
      <c r="H273" s="323"/>
      <c r="I273" s="323"/>
      <c r="J273" s="325"/>
      <c r="K273" s="323"/>
      <c r="L273" s="326"/>
      <c r="M273" s="363"/>
      <c r="N273" s="328"/>
      <c r="O273" s="331"/>
    </row>
    <row r="274" spans="1:15" s="317" customFormat="1" ht="20.149999999999999" customHeight="1" x14ac:dyDescent="0.35">
      <c r="B274" s="389" t="s">
        <v>479</v>
      </c>
      <c r="C274" s="378"/>
      <c r="D274" s="378"/>
      <c r="E274" s="375"/>
      <c r="F274" s="375"/>
      <c r="G274" s="375"/>
      <c r="H274" s="375"/>
      <c r="I274" s="375"/>
      <c r="J274" s="376"/>
      <c r="K274" s="375"/>
      <c r="L274" s="400"/>
      <c r="M274" s="453"/>
      <c r="N274" s="377"/>
    </row>
    <row r="275" spans="1:15" ht="20.149999999999999" customHeight="1" x14ac:dyDescent="0.35">
      <c r="A275" s="329">
        <v>1</v>
      </c>
      <c r="B275" s="321">
        <v>136</v>
      </c>
      <c r="C275" s="336" t="s">
        <v>93</v>
      </c>
      <c r="D275" s="336">
        <f>[38]CARRIAGEWAY!$D$13:$L$13</f>
        <v>11.460999999999999</v>
      </c>
      <c r="E275" s="323">
        <f>D275</f>
        <v>11.460999999999999</v>
      </c>
      <c r="F275" s="323">
        <v>10.11</v>
      </c>
      <c r="G275" s="323">
        <v>0</v>
      </c>
      <c r="H275" s="323">
        <v>0</v>
      </c>
      <c r="I275" s="323">
        <f>D275-F275</f>
        <v>1.3509999999999991</v>
      </c>
      <c r="J275" s="326" t="s">
        <v>10</v>
      </c>
      <c r="K275" s="323">
        <f t="shared" ref="K275:K282" si="19">SUM(F275:I275)</f>
        <v>11.460999999999999</v>
      </c>
      <c r="L275" s="326" t="s">
        <v>480</v>
      </c>
      <c r="M275" s="363"/>
      <c r="N275" s="328"/>
    </row>
    <row r="276" spans="1:15" ht="20.149999999999999" customHeight="1" x14ac:dyDescent="0.35">
      <c r="A276" s="329">
        <v>2</v>
      </c>
      <c r="B276" s="321">
        <v>137</v>
      </c>
      <c r="C276" s="336" t="s">
        <v>95</v>
      </c>
      <c r="D276" s="336">
        <f>[39]CARRIAGEWAY!$D$13:$L$13</f>
        <v>14.598999999999998</v>
      </c>
      <c r="E276" s="323">
        <f t="shared" ref="E276:E282" si="20">D276</f>
        <v>14.598999999999998</v>
      </c>
      <c r="F276" s="323">
        <v>9.9</v>
      </c>
      <c r="G276" s="323">
        <v>0</v>
      </c>
      <c r="H276" s="323">
        <v>0</v>
      </c>
      <c r="I276" s="323">
        <f>D276-F276</f>
        <v>4.6989999999999981</v>
      </c>
      <c r="J276" s="326" t="s">
        <v>10</v>
      </c>
      <c r="K276" s="323">
        <f t="shared" si="19"/>
        <v>14.598999999999998</v>
      </c>
      <c r="L276" s="326" t="s">
        <v>481</v>
      </c>
      <c r="M276" s="363"/>
      <c r="N276" s="328"/>
    </row>
    <row r="277" spans="1:15" ht="20.149999999999999" customHeight="1" x14ac:dyDescent="0.35">
      <c r="A277" s="329">
        <v>3</v>
      </c>
      <c r="B277" s="321">
        <v>119</v>
      </c>
      <c r="C277" s="336" t="s">
        <v>97</v>
      </c>
      <c r="D277" s="336">
        <f>[40]CARRIAGEWAY!$D$13:$L$13</f>
        <v>5.5349999999999993</v>
      </c>
      <c r="E277" s="323">
        <f t="shared" si="20"/>
        <v>5.5349999999999993</v>
      </c>
      <c r="F277" s="323">
        <v>0</v>
      </c>
      <c r="G277" s="323">
        <v>0</v>
      </c>
      <c r="H277" s="323">
        <v>0</v>
      </c>
      <c r="I277" s="323">
        <f>D277</f>
        <v>5.5349999999999993</v>
      </c>
      <c r="J277" s="326" t="s">
        <v>33</v>
      </c>
      <c r="K277" s="323">
        <f t="shared" si="19"/>
        <v>5.5349999999999993</v>
      </c>
      <c r="L277" s="326" t="s">
        <v>482</v>
      </c>
      <c r="M277" s="363"/>
      <c r="N277" s="328"/>
    </row>
    <row r="278" spans="1:15" ht="20.149999999999999" customHeight="1" x14ac:dyDescent="0.35">
      <c r="A278" s="329">
        <v>4</v>
      </c>
      <c r="B278" s="321">
        <v>120</v>
      </c>
      <c r="C278" s="336" t="s">
        <v>99</v>
      </c>
      <c r="D278" s="336">
        <f>[22]CARRIAGEWAY!$D$13:$L$13</f>
        <v>10.984</v>
      </c>
      <c r="E278" s="323">
        <f t="shared" si="20"/>
        <v>10.984</v>
      </c>
      <c r="F278" s="323">
        <f>D278</f>
        <v>10.984</v>
      </c>
      <c r="G278" s="323">
        <v>0</v>
      </c>
      <c r="H278" s="323">
        <v>0</v>
      </c>
      <c r="I278" s="323">
        <v>0</v>
      </c>
      <c r="J278" s="326" t="s">
        <v>10</v>
      </c>
      <c r="K278" s="323">
        <f t="shared" si="19"/>
        <v>10.984</v>
      </c>
      <c r="L278" s="326" t="s">
        <v>483</v>
      </c>
      <c r="M278" s="363"/>
      <c r="N278" s="328"/>
    </row>
    <row r="279" spans="1:15" ht="20.149999999999999" customHeight="1" x14ac:dyDescent="0.35">
      <c r="A279" s="329">
        <v>5</v>
      </c>
      <c r="B279" s="321">
        <v>140</v>
      </c>
      <c r="C279" s="336" t="s">
        <v>101</v>
      </c>
      <c r="D279" s="336">
        <f>[41]CARRIAGEWAY!$D$13:$L$13</f>
        <v>20.084</v>
      </c>
      <c r="E279" s="323">
        <f t="shared" si="20"/>
        <v>20.084</v>
      </c>
      <c r="F279" s="323">
        <v>1.2909999999999999</v>
      </c>
      <c r="G279" s="323">
        <v>0</v>
      </c>
      <c r="H279" s="323">
        <v>0</v>
      </c>
      <c r="I279" s="323">
        <f>D279-F279</f>
        <v>18.792999999999999</v>
      </c>
      <c r="J279" s="326" t="s">
        <v>12</v>
      </c>
      <c r="K279" s="323">
        <f t="shared" si="19"/>
        <v>20.084</v>
      </c>
      <c r="L279" s="326"/>
      <c r="M279" s="363"/>
      <c r="N279" s="328"/>
    </row>
    <row r="280" spans="1:15" ht="20.149999999999999" customHeight="1" x14ac:dyDescent="0.35">
      <c r="A280" s="329">
        <v>6</v>
      </c>
      <c r="B280" s="321">
        <v>138</v>
      </c>
      <c r="C280" s="336" t="s">
        <v>103</v>
      </c>
      <c r="D280" s="336">
        <f>[42]CARRIAGEWAY!$D$13:$L$13</f>
        <v>5.6609999999999996</v>
      </c>
      <c r="E280" s="323">
        <f t="shared" si="20"/>
        <v>5.6609999999999996</v>
      </c>
      <c r="F280" s="323">
        <v>0</v>
      </c>
      <c r="G280" s="323">
        <v>0</v>
      </c>
      <c r="H280" s="323">
        <v>0</v>
      </c>
      <c r="I280" s="323">
        <f>D280</f>
        <v>5.6609999999999996</v>
      </c>
      <c r="J280" s="325" t="s">
        <v>12</v>
      </c>
      <c r="K280" s="323">
        <f t="shared" si="19"/>
        <v>5.6609999999999996</v>
      </c>
      <c r="L280" s="326" t="s">
        <v>484</v>
      </c>
      <c r="M280" s="363"/>
      <c r="N280" s="328"/>
    </row>
    <row r="281" spans="1:15" ht="20.149999999999999" customHeight="1" x14ac:dyDescent="0.35">
      <c r="A281" s="329">
        <v>7</v>
      </c>
      <c r="B281" s="321">
        <v>124</v>
      </c>
      <c r="C281" s="336" t="s">
        <v>485</v>
      </c>
      <c r="D281" s="336">
        <f>[43]CARRIAGEWAY!$D$13:$L$13</f>
        <v>17.052</v>
      </c>
      <c r="E281" s="323">
        <f t="shared" si="20"/>
        <v>17.052</v>
      </c>
      <c r="F281" s="323">
        <v>3.6110000000000002</v>
      </c>
      <c r="G281" s="323">
        <v>0</v>
      </c>
      <c r="H281" s="323">
        <v>0</v>
      </c>
      <c r="I281" s="323">
        <f>D281-F281</f>
        <v>13.440999999999999</v>
      </c>
      <c r="J281" s="325" t="s">
        <v>12</v>
      </c>
      <c r="K281" s="323">
        <f t="shared" si="19"/>
        <v>17.052</v>
      </c>
      <c r="L281" s="326"/>
      <c r="M281" s="363"/>
      <c r="N281" s="328"/>
    </row>
    <row r="282" spans="1:15" ht="20.149999999999999" customHeight="1" x14ac:dyDescent="0.35">
      <c r="A282" s="329">
        <v>8</v>
      </c>
      <c r="B282" s="321">
        <v>141</v>
      </c>
      <c r="C282" s="336" t="s">
        <v>486</v>
      </c>
      <c r="D282" s="336">
        <f>[44]CARRIAGEWAY!$D$13:$L$13</f>
        <v>1.925</v>
      </c>
      <c r="E282" s="323">
        <f t="shared" si="20"/>
        <v>1.925</v>
      </c>
      <c r="F282" s="323">
        <v>0</v>
      </c>
      <c r="G282" s="323">
        <v>0</v>
      </c>
      <c r="H282" s="323">
        <v>0</v>
      </c>
      <c r="I282" s="323">
        <f>D282</f>
        <v>1.925</v>
      </c>
      <c r="J282" s="325" t="s">
        <v>12</v>
      </c>
      <c r="K282" s="323">
        <f t="shared" si="19"/>
        <v>1.925</v>
      </c>
      <c r="L282" s="326" t="s">
        <v>487</v>
      </c>
      <c r="M282" s="363"/>
      <c r="N282" s="328"/>
    </row>
    <row r="283" spans="1:15" s="317" customFormat="1" ht="20.149999999999999" customHeight="1" x14ac:dyDescent="0.35">
      <c r="B283" s="373"/>
      <c r="C283" s="374" t="s">
        <v>341</v>
      </c>
      <c r="D283" s="374">
        <f t="shared" ref="D283:I283" si="21">SUM(D275:D282)</f>
        <v>87.301000000000002</v>
      </c>
      <c r="E283" s="375">
        <f t="shared" si="21"/>
        <v>87.301000000000002</v>
      </c>
      <c r="F283" s="375">
        <f t="shared" si="21"/>
        <v>35.895999999999994</v>
      </c>
      <c r="G283" s="375">
        <f t="shared" si="21"/>
        <v>0</v>
      </c>
      <c r="H283" s="375">
        <f t="shared" si="21"/>
        <v>0</v>
      </c>
      <c r="I283" s="375">
        <f t="shared" si="21"/>
        <v>51.404999999999987</v>
      </c>
      <c r="J283" s="376"/>
      <c r="K283" s="375"/>
      <c r="L283" s="372"/>
      <c r="M283" s="453">
        <f>F283+I283</f>
        <v>87.300999999999988</v>
      </c>
      <c r="N283" s="377"/>
      <c r="O283" s="320"/>
    </row>
    <row r="284" spans="1:15" ht="20.149999999999999" customHeight="1" x14ac:dyDescent="0.35">
      <c r="B284" s="321"/>
      <c r="C284" s="330"/>
      <c r="D284" s="330"/>
      <c r="E284" s="323"/>
      <c r="F284" s="323"/>
      <c r="G284" s="323"/>
      <c r="H284" s="323"/>
      <c r="I284" s="323"/>
      <c r="J284" s="325"/>
      <c r="K284" s="323"/>
      <c r="L284" s="326"/>
      <c r="M284" s="363"/>
      <c r="N284" s="328"/>
      <c r="O284" s="331"/>
    </row>
    <row r="285" spans="1:15" s="317" customFormat="1" ht="20.149999999999999" customHeight="1" x14ac:dyDescent="0.35">
      <c r="B285" s="390" t="s">
        <v>488</v>
      </c>
      <c r="C285" s="378"/>
      <c r="D285" s="378"/>
      <c r="E285" s="375"/>
      <c r="F285" s="375"/>
      <c r="G285" s="375"/>
      <c r="H285" s="375"/>
      <c r="I285" s="375"/>
      <c r="J285" s="376"/>
      <c r="K285" s="375"/>
      <c r="L285" s="400"/>
      <c r="M285" s="453"/>
      <c r="N285" s="377"/>
    </row>
    <row r="286" spans="1:15" ht="20.149999999999999" customHeight="1" x14ac:dyDescent="0.35">
      <c r="A286" s="329">
        <v>1</v>
      </c>
      <c r="B286" s="321">
        <v>142</v>
      </c>
      <c r="C286" s="336" t="s">
        <v>286</v>
      </c>
      <c r="D286" s="336"/>
      <c r="E286" s="323">
        <f>'[1]road inventory 2018'!C218</f>
        <v>19.299999999999997</v>
      </c>
      <c r="F286" s="323">
        <v>3</v>
      </c>
      <c r="G286" s="323">
        <v>0</v>
      </c>
      <c r="H286" s="323">
        <v>0</v>
      </c>
      <c r="I286" s="323">
        <v>16.3</v>
      </c>
      <c r="J286" s="325" t="s">
        <v>12</v>
      </c>
      <c r="K286" s="323">
        <f t="shared" ref="K286:K293" si="22">SUM(F286:I286)</f>
        <v>19.3</v>
      </c>
      <c r="L286" s="326" t="s">
        <v>489</v>
      </c>
      <c r="M286" s="363"/>
      <c r="N286" s="328">
        <v>3</v>
      </c>
    </row>
    <row r="287" spans="1:15" ht="20.149999999999999" customHeight="1" x14ac:dyDescent="0.35">
      <c r="A287" s="329">
        <v>2</v>
      </c>
      <c r="B287" s="321">
        <v>143</v>
      </c>
      <c r="C287" s="336" t="s">
        <v>287</v>
      </c>
      <c r="D287" s="336"/>
      <c r="E287" s="323">
        <f>'[1]road inventory 2018'!C219</f>
        <v>8.7999999999999989</v>
      </c>
      <c r="F287" s="323">
        <v>0.2</v>
      </c>
      <c r="G287" s="323">
        <v>0</v>
      </c>
      <c r="H287" s="323">
        <v>0</v>
      </c>
      <c r="I287" s="323">
        <v>8.6</v>
      </c>
      <c r="J287" s="325" t="s">
        <v>12</v>
      </c>
      <c r="K287" s="323">
        <f t="shared" si="22"/>
        <v>8.7999999999999989</v>
      </c>
      <c r="L287" s="326" t="s">
        <v>490</v>
      </c>
      <c r="M287" s="363"/>
      <c r="N287" s="328"/>
    </row>
    <row r="288" spans="1:15" ht="20.149999999999999" customHeight="1" x14ac:dyDescent="0.35">
      <c r="A288" s="329">
        <v>3</v>
      </c>
      <c r="B288" s="321">
        <v>144</v>
      </c>
      <c r="C288" s="336" t="s">
        <v>288</v>
      </c>
      <c r="D288" s="336"/>
      <c r="E288" s="323">
        <f>'[1]road inventory 2018'!C220</f>
        <v>7.8999999999999995</v>
      </c>
      <c r="F288" s="323">
        <v>1.75</v>
      </c>
      <c r="G288" s="323">
        <v>0</v>
      </c>
      <c r="H288" s="323">
        <v>0</v>
      </c>
      <c r="I288" s="323">
        <v>6.15</v>
      </c>
      <c r="J288" s="325" t="s">
        <v>12</v>
      </c>
      <c r="K288" s="323">
        <f t="shared" si="22"/>
        <v>7.9</v>
      </c>
      <c r="L288" s="326" t="s">
        <v>491</v>
      </c>
      <c r="M288" s="363"/>
      <c r="N288" s="328"/>
    </row>
    <row r="289" spans="1:14" ht="20.149999999999999" customHeight="1" x14ac:dyDescent="0.35">
      <c r="A289" s="329">
        <v>4</v>
      </c>
      <c r="B289" s="321">
        <v>121</v>
      </c>
      <c r="C289" s="336" t="s">
        <v>104</v>
      </c>
      <c r="D289" s="336"/>
      <c r="E289" s="323">
        <f>'[1]road inventory 2018'!C221</f>
        <v>23.2</v>
      </c>
      <c r="F289" s="323">
        <v>3.6030000000000002</v>
      </c>
      <c r="G289" s="323">
        <v>0</v>
      </c>
      <c r="H289" s="323">
        <v>1.72</v>
      </c>
      <c r="I289" s="323">
        <v>17.876999999999999</v>
      </c>
      <c r="J289" s="325" t="s">
        <v>12</v>
      </c>
      <c r="K289" s="323">
        <f t="shared" si="22"/>
        <v>23.2</v>
      </c>
      <c r="L289" s="326" t="s">
        <v>492</v>
      </c>
      <c r="M289" s="363"/>
      <c r="N289" s="328">
        <v>3.6030000000000002</v>
      </c>
    </row>
    <row r="290" spans="1:14" ht="20.149999999999999" customHeight="1" x14ac:dyDescent="0.35">
      <c r="A290" s="329">
        <v>5</v>
      </c>
      <c r="B290" s="321">
        <v>145</v>
      </c>
      <c r="C290" s="336" t="s">
        <v>109</v>
      </c>
      <c r="D290" s="336"/>
      <c r="E290" s="323">
        <f>'[1]road inventory 2018'!C222</f>
        <v>3.3</v>
      </c>
      <c r="F290" s="323">
        <v>0</v>
      </c>
      <c r="G290" s="323">
        <v>0</v>
      </c>
      <c r="H290" s="323">
        <v>0</v>
      </c>
      <c r="I290" s="323">
        <v>3.3</v>
      </c>
      <c r="J290" s="325" t="s">
        <v>41</v>
      </c>
      <c r="K290" s="323">
        <f t="shared" si="22"/>
        <v>3.3</v>
      </c>
      <c r="L290" s="326"/>
      <c r="M290" s="363"/>
      <c r="N290" s="328"/>
    </row>
    <row r="291" spans="1:14" ht="20.149999999999999" customHeight="1" x14ac:dyDescent="0.35">
      <c r="A291" s="329">
        <v>6</v>
      </c>
      <c r="B291" s="321">
        <v>126</v>
      </c>
      <c r="C291" s="336" t="s">
        <v>110</v>
      </c>
      <c r="D291" s="336"/>
      <c r="E291" s="323">
        <f>'[1]road inventory 2018'!C223</f>
        <v>9.6</v>
      </c>
      <c r="F291" s="323">
        <v>9.6</v>
      </c>
      <c r="G291" s="323">
        <v>0</v>
      </c>
      <c r="H291" s="323">
        <v>0</v>
      </c>
      <c r="I291" s="323">
        <v>0</v>
      </c>
      <c r="J291" s="325" t="s">
        <v>10</v>
      </c>
      <c r="K291" s="323">
        <f t="shared" si="22"/>
        <v>9.6</v>
      </c>
      <c r="L291" s="326" t="s">
        <v>493</v>
      </c>
      <c r="M291" s="363"/>
      <c r="N291" s="328">
        <v>9.9499999999999993</v>
      </c>
    </row>
    <row r="292" spans="1:14" ht="20.149999999999999" customHeight="1" x14ac:dyDescent="0.35">
      <c r="A292" s="329">
        <v>7</v>
      </c>
      <c r="B292" s="321">
        <v>146</v>
      </c>
      <c r="C292" s="336" t="s">
        <v>115</v>
      </c>
      <c r="D292" s="336"/>
      <c r="E292" s="323">
        <f>'[1]road inventory 2018'!C224</f>
        <v>8.3000000000000007</v>
      </c>
      <c r="F292" s="323">
        <v>0</v>
      </c>
      <c r="G292" s="323">
        <v>0</v>
      </c>
      <c r="H292" s="323">
        <v>0</v>
      </c>
      <c r="I292" s="323">
        <v>8.3000000000000007</v>
      </c>
      <c r="J292" s="325" t="s">
        <v>12</v>
      </c>
      <c r="K292" s="323">
        <f t="shared" si="22"/>
        <v>8.3000000000000007</v>
      </c>
      <c r="L292" s="326"/>
      <c r="M292" s="363"/>
      <c r="N292" s="328"/>
    </row>
    <row r="293" spans="1:14" ht="20.149999999999999" customHeight="1" x14ac:dyDescent="0.35">
      <c r="A293" s="329">
        <v>8</v>
      </c>
      <c r="B293" s="321">
        <v>147</v>
      </c>
      <c r="C293" s="336" t="s">
        <v>289</v>
      </c>
      <c r="D293" s="336"/>
      <c r="E293" s="323">
        <f>'[1]road inventory 2018'!C225</f>
        <v>4.2</v>
      </c>
      <c r="F293" s="323">
        <v>0.2</v>
      </c>
      <c r="G293" s="323">
        <v>0</v>
      </c>
      <c r="H293" s="323">
        <v>0</v>
      </c>
      <c r="I293" s="323">
        <v>4</v>
      </c>
      <c r="J293" s="325" t="s">
        <v>10</v>
      </c>
      <c r="K293" s="323">
        <f t="shared" si="22"/>
        <v>4.2</v>
      </c>
      <c r="L293" s="326"/>
      <c r="M293" s="363"/>
      <c r="N293" s="328"/>
    </row>
    <row r="294" spans="1:14" s="317" customFormat="1" ht="20.149999999999999" customHeight="1" x14ac:dyDescent="0.35">
      <c r="B294" s="373"/>
      <c r="C294" s="374" t="s">
        <v>341</v>
      </c>
      <c r="D294" s="374"/>
      <c r="E294" s="375">
        <f>SUM(E286:E293)</f>
        <v>84.59999999999998</v>
      </c>
      <c r="F294" s="375">
        <f>SUM(F286:F293)</f>
        <v>18.352999999999998</v>
      </c>
      <c r="G294" s="375">
        <f>SUM(G286:G293)</f>
        <v>0</v>
      </c>
      <c r="H294" s="375">
        <f>SUM(H286:H293)</f>
        <v>1.72</v>
      </c>
      <c r="I294" s="375">
        <f>SUM(I286:I293)</f>
        <v>64.526999999999987</v>
      </c>
      <c r="J294" s="376"/>
      <c r="K294" s="375"/>
      <c r="L294" s="372"/>
      <c r="M294" s="460"/>
      <c r="N294" s="410"/>
    </row>
    <row r="295" spans="1:14" s="317" customFormat="1" ht="20.149999999999999" customHeight="1" x14ac:dyDescent="0.35">
      <c r="B295" s="394"/>
      <c r="C295" s="395" t="s">
        <v>754</v>
      </c>
      <c r="D295" s="395">
        <f>D283+D272+D238+D230</f>
        <v>318.78599999999994</v>
      </c>
      <c r="E295" s="396">
        <f>E294+E283+E272+E252+E238+E230+E213+E202+E195+E179+E175+E164+E150+E145+E132+E128+E118+E88+E54+E37+E32</f>
        <v>1250.251</v>
      </c>
      <c r="F295" s="396"/>
      <c r="G295" s="396"/>
      <c r="H295" s="396"/>
      <c r="I295" s="396"/>
      <c r="J295" s="397"/>
      <c r="K295" s="396">
        <f>SUM(K6:K294)</f>
        <v>1229.5511999999994</v>
      </c>
      <c r="L295" s="393"/>
      <c r="M295" s="461"/>
      <c r="N295" s="398">
        <f>COUNT(N8:N292)</f>
        <v>26</v>
      </c>
    </row>
    <row r="296" spans="1:14" ht="18" customHeight="1" x14ac:dyDescent="0.35">
      <c r="E296" s="331"/>
      <c r="G296" s="331"/>
      <c r="K296" s="331"/>
      <c r="N296" s="327">
        <f>SUM(N6:N291)</f>
        <v>111.256</v>
      </c>
    </row>
    <row r="297" spans="1:14" ht="18" customHeight="1" x14ac:dyDescent="0.35"/>
    <row r="298" spans="1:14" ht="18" customHeight="1" x14ac:dyDescent="0.35">
      <c r="B298" s="329"/>
      <c r="C298" s="355" t="s">
        <v>755</v>
      </c>
      <c r="D298" s="355"/>
      <c r="G298" s="331" t="s">
        <v>757</v>
      </c>
      <c r="K298" s="331"/>
    </row>
    <row r="299" spans="1:14" ht="18" customHeight="1" x14ac:dyDescent="0.35">
      <c r="B299" s="329"/>
      <c r="C299" s="355"/>
      <c r="D299" s="355"/>
      <c r="G299" s="331"/>
      <c r="H299" s="331"/>
      <c r="I299" s="331"/>
      <c r="K299" s="331"/>
      <c r="L299" s="328"/>
      <c r="M299" s="363"/>
      <c r="N299" s="328"/>
    </row>
    <row r="300" spans="1:14" ht="18" customHeight="1" x14ac:dyDescent="0.35">
      <c r="B300" s="329"/>
      <c r="C300" s="355"/>
      <c r="D300" s="355"/>
      <c r="G300" s="331"/>
      <c r="I300" s="331"/>
      <c r="K300" s="331"/>
    </row>
    <row r="301" spans="1:14" ht="18" customHeight="1" x14ac:dyDescent="0.35">
      <c r="B301" s="329"/>
      <c r="C301" s="356" t="s">
        <v>150</v>
      </c>
      <c r="D301" s="356"/>
      <c r="G301" s="360" t="s">
        <v>153</v>
      </c>
    </row>
    <row r="302" spans="1:14" s="354" customFormat="1" ht="18" customHeight="1" x14ac:dyDescent="0.35">
      <c r="C302" s="355" t="s">
        <v>857</v>
      </c>
      <c r="D302" s="355"/>
      <c r="G302" s="350" t="s">
        <v>155</v>
      </c>
      <c r="H302" s="329"/>
      <c r="I302" s="329"/>
      <c r="J302" s="329"/>
      <c r="K302" s="331"/>
      <c r="L302" s="327"/>
      <c r="M302" s="452"/>
      <c r="N302" s="327"/>
    </row>
    <row r="303" spans="1:14" s="354" customFormat="1" ht="18" customHeight="1" x14ac:dyDescent="0.35">
      <c r="C303" s="355"/>
      <c r="D303" s="355"/>
      <c r="G303" s="332"/>
      <c r="H303" s="329"/>
      <c r="I303" s="329"/>
      <c r="J303" s="329"/>
      <c r="K303" s="329"/>
      <c r="L303" s="327"/>
      <c r="M303" s="452"/>
      <c r="N303" s="327"/>
    </row>
    <row r="304" spans="1:14" s="354" customFormat="1" ht="18" customHeight="1" x14ac:dyDescent="0.35">
      <c r="C304" s="355"/>
      <c r="D304" s="355"/>
      <c r="G304" s="332"/>
      <c r="H304" s="329"/>
      <c r="I304" s="329"/>
      <c r="J304" s="329"/>
      <c r="K304" s="329"/>
      <c r="L304" s="327"/>
      <c r="M304" s="452"/>
      <c r="N304" s="327"/>
    </row>
    <row r="305" spans="3:17" s="354" customFormat="1" ht="15" customHeight="1" x14ac:dyDescent="0.35">
      <c r="C305" s="355" t="s">
        <v>756</v>
      </c>
      <c r="D305" s="355"/>
      <c r="G305" s="350" t="s">
        <v>759</v>
      </c>
      <c r="H305" s="329"/>
      <c r="I305" s="329"/>
      <c r="J305" s="329"/>
      <c r="K305" s="329"/>
      <c r="L305" s="327"/>
      <c r="M305" s="452" t="s">
        <v>308</v>
      </c>
      <c r="N305" s="327" t="s">
        <v>309</v>
      </c>
      <c r="O305" s="354" t="s">
        <v>310</v>
      </c>
      <c r="P305" s="354" t="s">
        <v>311</v>
      </c>
    </row>
    <row r="306" spans="3:17" s="354" customFormat="1" ht="15" customHeight="1" x14ac:dyDescent="0.35">
      <c r="C306" s="355"/>
      <c r="D306" s="355"/>
      <c r="G306" s="332"/>
      <c r="H306" s="329"/>
      <c r="I306" s="329"/>
      <c r="J306" s="329"/>
      <c r="K306" s="329"/>
      <c r="L306" s="327"/>
      <c r="M306" s="363">
        <f>F32+F37+F54+F88+F118+F128+F132+F145+F150+F164+F175+F179+F195+F202+F213+F230+F238+F252+F272+F283+F294</f>
        <v>440.50819999999999</v>
      </c>
      <c r="N306" s="328">
        <f>G294+G283+G272+G252+G238+G230+G213+G202+G195+G179+G175+G164+G150+G145+G132+G128+G118+G88+G54+G37+G32</f>
        <v>10.742999999999999</v>
      </c>
      <c r="O306" s="755">
        <f>H294+H283+H272+H252+H238+H230+H213+H202+H195+H179+H175+H164+H150+H145+H132+H128+H118+H88+H54+H37+H32</f>
        <v>10.684000000000001</v>
      </c>
      <c r="P306" s="755">
        <f>I294+I283+I272+I252+I238+I230+I213+I202+I195+I179+I175+I164+I150+I145+I132+I128+I118+I88+I54+I37+I32</f>
        <v>767.61599999999999</v>
      </c>
      <c r="Q306" s="756">
        <f>SUM(M306:P306)</f>
        <v>1229.5511999999999</v>
      </c>
    </row>
    <row r="307" spans="3:17" s="354" customFormat="1" ht="15" customHeight="1" x14ac:dyDescent="0.35">
      <c r="C307" s="355"/>
      <c r="D307" s="355"/>
      <c r="G307" s="350"/>
      <c r="H307" s="329"/>
      <c r="I307" s="329"/>
      <c r="J307" s="329"/>
      <c r="K307" s="329"/>
      <c r="L307" s="327"/>
      <c r="M307" s="452"/>
      <c r="N307" s="327"/>
    </row>
    <row r="308" spans="3:17" s="354" customFormat="1" ht="15" customHeight="1" x14ac:dyDescent="0.35">
      <c r="C308" s="356" t="s">
        <v>147</v>
      </c>
      <c r="D308" s="356"/>
      <c r="G308" s="318" t="s">
        <v>852</v>
      </c>
      <c r="H308" s="329"/>
      <c r="I308" s="329"/>
      <c r="J308" s="329"/>
      <c r="K308" s="329"/>
      <c r="L308" s="327"/>
      <c r="M308" s="452"/>
      <c r="N308" s="327"/>
    </row>
    <row r="309" spans="3:17" s="354" customFormat="1" ht="15" customHeight="1" x14ac:dyDescent="0.35">
      <c r="C309" s="355" t="s">
        <v>149</v>
      </c>
      <c r="D309" s="355"/>
      <c r="G309" s="332" t="s">
        <v>853</v>
      </c>
      <c r="H309" s="329"/>
      <c r="I309" s="329"/>
      <c r="J309" s="329"/>
      <c r="K309" s="362"/>
      <c r="L309" s="327"/>
      <c r="M309" s="452"/>
      <c r="N309" s="327"/>
    </row>
    <row r="310" spans="3:17" s="354" customFormat="1" ht="15" customHeight="1" x14ac:dyDescent="0.35">
      <c r="C310" s="327"/>
      <c r="D310" s="327"/>
      <c r="G310" s="332" t="s">
        <v>858</v>
      </c>
      <c r="H310" s="329"/>
      <c r="I310" s="329"/>
      <c r="J310" s="329"/>
      <c r="K310" s="329"/>
      <c r="L310" s="327"/>
      <c r="M310" s="452"/>
      <c r="N310" s="327"/>
    </row>
    <row r="311" spans="3:17" s="354" customFormat="1" ht="15" customHeight="1" x14ac:dyDescent="0.35">
      <c r="C311" s="328"/>
      <c r="D311" s="328"/>
      <c r="E311" s="329"/>
      <c r="F311" s="329"/>
      <c r="G311" s="329"/>
      <c r="H311" s="329"/>
      <c r="I311" s="329"/>
      <c r="J311" s="329"/>
      <c r="K311" s="329"/>
      <c r="L311" s="327"/>
      <c r="M311" s="452"/>
      <c r="N311" s="327"/>
    </row>
    <row r="312" spans="3:17" s="354" customFormat="1" ht="15" customHeight="1" x14ac:dyDescent="0.35">
      <c r="C312" s="935" t="s">
        <v>152</v>
      </c>
      <c r="D312" s="328"/>
      <c r="F312" s="329"/>
      <c r="G312" s="329"/>
      <c r="H312" s="329"/>
      <c r="I312" s="329"/>
      <c r="J312" s="329"/>
      <c r="K312" s="329"/>
      <c r="L312" s="327"/>
      <c r="M312" s="452"/>
      <c r="N312" s="327"/>
    </row>
    <row r="313" spans="3:17" s="354" customFormat="1" ht="15" customHeight="1" x14ac:dyDescent="0.35">
      <c r="C313" s="327"/>
      <c r="D313" s="327"/>
      <c r="E313" s="329"/>
      <c r="F313" s="329"/>
      <c r="G313" s="329"/>
      <c r="H313" s="329"/>
      <c r="I313" s="329"/>
      <c r="J313" s="329"/>
      <c r="K313" s="329"/>
      <c r="L313" s="327"/>
      <c r="M313" s="452"/>
      <c r="N313" s="327"/>
    </row>
    <row r="314" spans="3:17" s="354" customFormat="1" ht="15" customHeight="1" x14ac:dyDescent="0.35">
      <c r="C314" s="327"/>
      <c r="D314" s="327"/>
      <c r="E314" s="329"/>
      <c r="F314" s="329"/>
      <c r="G314" s="329"/>
      <c r="H314" s="329"/>
      <c r="I314" s="329"/>
      <c r="J314" s="329"/>
      <c r="K314" s="329"/>
      <c r="L314" s="327"/>
      <c r="M314" s="452"/>
      <c r="N314" s="327"/>
    </row>
    <row r="315" spans="3:17" s="354" customFormat="1" ht="18" customHeight="1" x14ac:dyDescent="0.35">
      <c r="C315" s="327"/>
      <c r="D315" s="327"/>
      <c r="E315" s="318" t="s">
        <v>855</v>
      </c>
      <c r="F315" s="329"/>
      <c r="G315" s="329"/>
      <c r="H315" s="329"/>
      <c r="I315" s="329"/>
      <c r="J315" s="329"/>
      <c r="K315" s="329"/>
      <c r="L315" s="327"/>
      <c r="M315" s="452"/>
      <c r="N315" s="327"/>
    </row>
    <row r="316" spans="3:17" s="354" customFormat="1" ht="18" customHeight="1" x14ac:dyDescent="0.35">
      <c r="C316" s="327"/>
      <c r="D316" s="327"/>
      <c r="E316" s="1292" t="s">
        <v>763</v>
      </c>
      <c r="F316" s="1292"/>
      <c r="G316" s="329"/>
      <c r="H316" s="329"/>
      <c r="I316" s="329"/>
      <c r="J316" s="329"/>
      <c r="K316" s="329"/>
      <c r="L316" s="327"/>
      <c r="M316" s="452"/>
      <c r="N316" s="327"/>
    </row>
    <row r="324" spans="3:4" x14ac:dyDescent="0.35">
      <c r="C324" s="327" t="s">
        <v>849</v>
      </c>
      <c r="D324" s="328">
        <f>D283+D272+D238+D230</f>
        <v>318.78599999999994</v>
      </c>
    </row>
  </sheetData>
  <autoFilter ref="J1:J316" xr:uid="{00000000-0009-0000-0000-000013000000}"/>
  <mergeCells count="8">
    <mergeCell ref="E316:F316"/>
    <mergeCell ref="B1:J1"/>
    <mergeCell ref="B2:J2"/>
    <mergeCell ref="B3:J3"/>
    <mergeCell ref="D5:D6"/>
    <mergeCell ref="E5:E6"/>
    <mergeCell ref="F5:I5"/>
    <mergeCell ref="J5:J6"/>
  </mergeCells>
  <printOptions horizontalCentered="1"/>
  <pageMargins left="0" right="0" top="1" bottom="0.54" header="0.41" footer="0"/>
  <pageSetup paperSize="14" scale="64" fitToWidth="0" fitToHeight="0" orientation="portrait" useFirstPageNumber="1" horizontalDpi="300" verticalDpi="300" r:id="rId1"/>
  <headerFooter scaleWithDoc="0" alignWithMargins="0">
    <oddFooter>&amp;RPage &amp;P of &amp;N</oddFooter>
    <firstFooter>&amp;R&amp;P</firstFooter>
  </headerFooter>
  <rowBreaks count="2" manualBreakCount="2">
    <brk id="284" min="1" max="9" man="1"/>
    <brk id="295" min="1" max="9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4">
    <tabColor rgb="FFC00000"/>
  </sheetPr>
  <dimension ref="A1:S324"/>
  <sheetViews>
    <sheetView view="pageBreakPreview" topLeftCell="B1" zoomScale="90" zoomScaleNormal="70" zoomScaleSheetLayoutView="90" zoomScalePageLayoutView="30" workbookViewId="0">
      <pane ySplit="6" topLeftCell="A211" activePane="bottomLeft" state="frozen"/>
      <selection activeCell="W38" sqref="W38"/>
      <selection pane="bottomLeft" activeCell="W38" sqref="W38"/>
    </sheetView>
  </sheetViews>
  <sheetFormatPr defaultRowHeight="18" x14ac:dyDescent="0.35"/>
  <cols>
    <col min="1" max="1" width="9.1796875" style="329"/>
    <col min="2" max="2" width="20.7265625" style="354" customWidth="1"/>
    <col min="3" max="3" width="50.7265625" style="327" customWidth="1"/>
    <col min="4" max="4" width="17.7265625" style="327" customWidth="1"/>
    <col min="5" max="5" width="12.81640625" style="329" customWidth="1"/>
    <col min="6" max="6" width="14.81640625" style="329" customWidth="1"/>
    <col min="7" max="7" width="12" style="329" customWidth="1"/>
    <col min="8" max="8" width="9.54296875" style="329" customWidth="1"/>
    <col min="9" max="9" width="12.54296875" style="329" customWidth="1"/>
    <col min="10" max="10" width="14.453125" style="329" customWidth="1"/>
    <col min="11" max="11" width="12.81640625" style="329" customWidth="1"/>
    <col min="12" max="12" width="23.7265625" style="327" customWidth="1"/>
    <col min="13" max="13" width="21.26953125" style="452" customWidth="1"/>
    <col min="14" max="14" width="22.54296875" style="327" customWidth="1"/>
    <col min="15" max="15" width="20" style="329" customWidth="1"/>
    <col min="16" max="16" width="15.54296875" style="329" customWidth="1"/>
    <col min="17" max="17" width="16.26953125" style="329" customWidth="1"/>
    <col min="18" max="18" width="9.1796875" style="329" customWidth="1"/>
    <col min="19" max="19" width="9.7265625" style="329" customWidth="1"/>
    <col min="20" max="21" width="9.1796875" style="329" customWidth="1"/>
    <col min="22" max="257" width="9.1796875" style="329"/>
    <col min="258" max="258" width="13.26953125" style="329" customWidth="1"/>
    <col min="259" max="259" width="27.453125" style="329" customWidth="1"/>
    <col min="260" max="261" width="9.54296875" style="329" customWidth="1"/>
    <col min="262" max="262" width="9.7265625" style="329" customWidth="1"/>
    <col min="263" max="263" width="9.54296875" style="329" customWidth="1"/>
    <col min="264" max="264" width="12.54296875" style="329" customWidth="1"/>
    <col min="265" max="265" width="10" style="329" customWidth="1"/>
    <col min="266" max="266" width="9.7265625" style="329" customWidth="1"/>
    <col min="267" max="269" width="9.1796875" style="329" customWidth="1"/>
    <col min="270" max="513" width="9.1796875" style="329"/>
    <col min="514" max="514" width="13.26953125" style="329" customWidth="1"/>
    <col min="515" max="515" width="27.453125" style="329" customWidth="1"/>
    <col min="516" max="517" width="9.54296875" style="329" customWidth="1"/>
    <col min="518" max="518" width="9.7265625" style="329" customWidth="1"/>
    <col min="519" max="519" width="9.54296875" style="329" customWidth="1"/>
    <col min="520" max="520" width="12.54296875" style="329" customWidth="1"/>
    <col min="521" max="521" width="10" style="329" customWidth="1"/>
    <col min="522" max="522" width="9.7265625" style="329" customWidth="1"/>
    <col min="523" max="525" width="9.1796875" style="329" customWidth="1"/>
    <col min="526" max="769" width="9.1796875" style="329"/>
    <col min="770" max="770" width="13.26953125" style="329" customWidth="1"/>
    <col min="771" max="771" width="27.453125" style="329" customWidth="1"/>
    <col min="772" max="773" width="9.54296875" style="329" customWidth="1"/>
    <col min="774" max="774" width="9.7265625" style="329" customWidth="1"/>
    <col min="775" max="775" width="9.54296875" style="329" customWidth="1"/>
    <col min="776" max="776" width="12.54296875" style="329" customWidth="1"/>
    <col min="777" max="777" width="10" style="329" customWidth="1"/>
    <col min="778" max="778" width="9.7265625" style="329" customWidth="1"/>
    <col min="779" max="781" width="9.1796875" style="329" customWidth="1"/>
    <col min="782" max="1025" width="9.1796875" style="329"/>
    <col min="1026" max="1026" width="13.26953125" style="329" customWidth="1"/>
    <col min="1027" max="1027" width="27.453125" style="329" customWidth="1"/>
    <col min="1028" max="1029" width="9.54296875" style="329" customWidth="1"/>
    <col min="1030" max="1030" width="9.7265625" style="329" customWidth="1"/>
    <col min="1031" max="1031" width="9.54296875" style="329" customWidth="1"/>
    <col min="1032" max="1032" width="12.54296875" style="329" customWidth="1"/>
    <col min="1033" max="1033" width="10" style="329" customWidth="1"/>
    <col min="1034" max="1034" width="9.7265625" style="329" customWidth="1"/>
    <col min="1035" max="1037" width="9.1796875" style="329" customWidth="1"/>
    <col min="1038" max="1281" width="9.1796875" style="329"/>
    <col min="1282" max="1282" width="13.26953125" style="329" customWidth="1"/>
    <col min="1283" max="1283" width="27.453125" style="329" customWidth="1"/>
    <col min="1284" max="1285" width="9.54296875" style="329" customWidth="1"/>
    <col min="1286" max="1286" width="9.7265625" style="329" customWidth="1"/>
    <col min="1287" max="1287" width="9.54296875" style="329" customWidth="1"/>
    <col min="1288" max="1288" width="12.54296875" style="329" customWidth="1"/>
    <col min="1289" max="1289" width="10" style="329" customWidth="1"/>
    <col min="1290" max="1290" width="9.7265625" style="329" customWidth="1"/>
    <col min="1291" max="1293" width="9.1796875" style="329" customWidth="1"/>
    <col min="1294" max="1537" width="9.1796875" style="329"/>
    <col min="1538" max="1538" width="13.26953125" style="329" customWidth="1"/>
    <col min="1539" max="1539" width="27.453125" style="329" customWidth="1"/>
    <col min="1540" max="1541" width="9.54296875" style="329" customWidth="1"/>
    <col min="1542" max="1542" width="9.7265625" style="329" customWidth="1"/>
    <col min="1543" max="1543" width="9.54296875" style="329" customWidth="1"/>
    <col min="1544" max="1544" width="12.54296875" style="329" customWidth="1"/>
    <col min="1545" max="1545" width="10" style="329" customWidth="1"/>
    <col min="1546" max="1546" width="9.7265625" style="329" customWidth="1"/>
    <col min="1547" max="1549" width="9.1796875" style="329" customWidth="1"/>
    <col min="1550" max="1793" width="9.1796875" style="329"/>
    <col min="1794" max="1794" width="13.26953125" style="329" customWidth="1"/>
    <col min="1795" max="1795" width="27.453125" style="329" customWidth="1"/>
    <col min="1796" max="1797" width="9.54296875" style="329" customWidth="1"/>
    <col min="1798" max="1798" width="9.7265625" style="329" customWidth="1"/>
    <col min="1799" max="1799" width="9.54296875" style="329" customWidth="1"/>
    <col min="1800" max="1800" width="12.54296875" style="329" customWidth="1"/>
    <col min="1801" max="1801" width="10" style="329" customWidth="1"/>
    <col min="1802" max="1802" width="9.7265625" style="329" customWidth="1"/>
    <col min="1803" max="1805" width="9.1796875" style="329" customWidth="1"/>
    <col min="1806" max="2049" width="9.1796875" style="329"/>
    <col min="2050" max="2050" width="13.26953125" style="329" customWidth="1"/>
    <col min="2051" max="2051" width="27.453125" style="329" customWidth="1"/>
    <col min="2052" max="2053" width="9.54296875" style="329" customWidth="1"/>
    <col min="2054" max="2054" width="9.7265625" style="329" customWidth="1"/>
    <col min="2055" max="2055" width="9.54296875" style="329" customWidth="1"/>
    <col min="2056" max="2056" width="12.54296875" style="329" customWidth="1"/>
    <col min="2057" max="2057" width="10" style="329" customWidth="1"/>
    <col min="2058" max="2058" width="9.7265625" style="329" customWidth="1"/>
    <col min="2059" max="2061" width="9.1796875" style="329" customWidth="1"/>
    <col min="2062" max="2305" width="9.1796875" style="329"/>
    <col min="2306" max="2306" width="13.26953125" style="329" customWidth="1"/>
    <col min="2307" max="2307" width="27.453125" style="329" customWidth="1"/>
    <col min="2308" max="2309" width="9.54296875" style="329" customWidth="1"/>
    <col min="2310" max="2310" width="9.7265625" style="329" customWidth="1"/>
    <col min="2311" max="2311" width="9.54296875" style="329" customWidth="1"/>
    <col min="2312" max="2312" width="12.54296875" style="329" customWidth="1"/>
    <col min="2313" max="2313" width="10" style="329" customWidth="1"/>
    <col min="2314" max="2314" width="9.7265625" style="329" customWidth="1"/>
    <col min="2315" max="2317" width="9.1796875" style="329" customWidth="1"/>
    <col min="2318" max="2561" width="9.1796875" style="329"/>
    <col min="2562" max="2562" width="13.26953125" style="329" customWidth="1"/>
    <col min="2563" max="2563" width="27.453125" style="329" customWidth="1"/>
    <col min="2564" max="2565" width="9.54296875" style="329" customWidth="1"/>
    <col min="2566" max="2566" width="9.7265625" style="329" customWidth="1"/>
    <col min="2567" max="2567" width="9.54296875" style="329" customWidth="1"/>
    <col min="2568" max="2568" width="12.54296875" style="329" customWidth="1"/>
    <col min="2569" max="2569" width="10" style="329" customWidth="1"/>
    <col min="2570" max="2570" width="9.7265625" style="329" customWidth="1"/>
    <col min="2571" max="2573" width="9.1796875" style="329" customWidth="1"/>
    <col min="2574" max="2817" width="9.1796875" style="329"/>
    <col min="2818" max="2818" width="13.26953125" style="329" customWidth="1"/>
    <col min="2819" max="2819" width="27.453125" style="329" customWidth="1"/>
    <col min="2820" max="2821" width="9.54296875" style="329" customWidth="1"/>
    <col min="2822" max="2822" width="9.7265625" style="329" customWidth="1"/>
    <col min="2823" max="2823" width="9.54296875" style="329" customWidth="1"/>
    <col min="2824" max="2824" width="12.54296875" style="329" customWidth="1"/>
    <col min="2825" max="2825" width="10" style="329" customWidth="1"/>
    <col min="2826" max="2826" width="9.7265625" style="329" customWidth="1"/>
    <col min="2827" max="2829" width="9.1796875" style="329" customWidth="1"/>
    <col min="2830" max="3073" width="9.1796875" style="329"/>
    <col min="3074" max="3074" width="13.26953125" style="329" customWidth="1"/>
    <col min="3075" max="3075" width="27.453125" style="329" customWidth="1"/>
    <col min="3076" max="3077" width="9.54296875" style="329" customWidth="1"/>
    <col min="3078" max="3078" width="9.7265625" style="329" customWidth="1"/>
    <col min="3079" max="3079" width="9.54296875" style="329" customWidth="1"/>
    <col min="3080" max="3080" width="12.54296875" style="329" customWidth="1"/>
    <col min="3081" max="3081" width="10" style="329" customWidth="1"/>
    <col min="3082" max="3082" width="9.7265625" style="329" customWidth="1"/>
    <col min="3083" max="3085" width="9.1796875" style="329" customWidth="1"/>
    <col min="3086" max="3329" width="9.1796875" style="329"/>
    <col min="3330" max="3330" width="13.26953125" style="329" customWidth="1"/>
    <col min="3331" max="3331" width="27.453125" style="329" customWidth="1"/>
    <col min="3332" max="3333" width="9.54296875" style="329" customWidth="1"/>
    <col min="3334" max="3334" width="9.7265625" style="329" customWidth="1"/>
    <col min="3335" max="3335" width="9.54296875" style="329" customWidth="1"/>
    <col min="3336" max="3336" width="12.54296875" style="329" customWidth="1"/>
    <col min="3337" max="3337" width="10" style="329" customWidth="1"/>
    <col min="3338" max="3338" width="9.7265625" style="329" customWidth="1"/>
    <col min="3339" max="3341" width="9.1796875" style="329" customWidth="1"/>
    <col min="3342" max="3585" width="9.1796875" style="329"/>
    <col min="3586" max="3586" width="13.26953125" style="329" customWidth="1"/>
    <col min="3587" max="3587" width="27.453125" style="329" customWidth="1"/>
    <col min="3588" max="3589" width="9.54296875" style="329" customWidth="1"/>
    <col min="3590" max="3590" width="9.7265625" style="329" customWidth="1"/>
    <col min="3591" max="3591" width="9.54296875" style="329" customWidth="1"/>
    <col min="3592" max="3592" width="12.54296875" style="329" customWidth="1"/>
    <col min="3593" max="3593" width="10" style="329" customWidth="1"/>
    <col min="3594" max="3594" width="9.7265625" style="329" customWidth="1"/>
    <col min="3595" max="3597" width="9.1796875" style="329" customWidth="1"/>
    <col min="3598" max="3841" width="9.1796875" style="329"/>
    <col min="3842" max="3842" width="13.26953125" style="329" customWidth="1"/>
    <col min="3843" max="3843" width="27.453125" style="329" customWidth="1"/>
    <col min="3844" max="3845" width="9.54296875" style="329" customWidth="1"/>
    <col min="3846" max="3846" width="9.7265625" style="329" customWidth="1"/>
    <col min="3847" max="3847" width="9.54296875" style="329" customWidth="1"/>
    <col min="3848" max="3848" width="12.54296875" style="329" customWidth="1"/>
    <col min="3849" max="3849" width="10" style="329" customWidth="1"/>
    <col min="3850" max="3850" width="9.7265625" style="329" customWidth="1"/>
    <col min="3851" max="3853" width="9.1796875" style="329" customWidth="1"/>
    <col min="3854" max="4097" width="9.1796875" style="329"/>
    <col min="4098" max="4098" width="13.26953125" style="329" customWidth="1"/>
    <col min="4099" max="4099" width="27.453125" style="329" customWidth="1"/>
    <col min="4100" max="4101" width="9.54296875" style="329" customWidth="1"/>
    <col min="4102" max="4102" width="9.7265625" style="329" customWidth="1"/>
    <col min="4103" max="4103" width="9.54296875" style="329" customWidth="1"/>
    <col min="4104" max="4104" width="12.54296875" style="329" customWidth="1"/>
    <col min="4105" max="4105" width="10" style="329" customWidth="1"/>
    <col min="4106" max="4106" width="9.7265625" style="329" customWidth="1"/>
    <col min="4107" max="4109" width="9.1796875" style="329" customWidth="1"/>
    <col min="4110" max="4353" width="9.1796875" style="329"/>
    <col min="4354" max="4354" width="13.26953125" style="329" customWidth="1"/>
    <col min="4355" max="4355" width="27.453125" style="329" customWidth="1"/>
    <col min="4356" max="4357" width="9.54296875" style="329" customWidth="1"/>
    <col min="4358" max="4358" width="9.7265625" style="329" customWidth="1"/>
    <col min="4359" max="4359" width="9.54296875" style="329" customWidth="1"/>
    <col min="4360" max="4360" width="12.54296875" style="329" customWidth="1"/>
    <col min="4361" max="4361" width="10" style="329" customWidth="1"/>
    <col min="4362" max="4362" width="9.7265625" style="329" customWidth="1"/>
    <col min="4363" max="4365" width="9.1796875" style="329" customWidth="1"/>
    <col min="4366" max="4609" width="9.1796875" style="329"/>
    <col min="4610" max="4610" width="13.26953125" style="329" customWidth="1"/>
    <col min="4611" max="4611" width="27.453125" style="329" customWidth="1"/>
    <col min="4612" max="4613" width="9.54296875" style="329" customWidth="1"/>
    <col min="4614" max="4614" width="9.7265625" style="329" customWidth="1"/>
    <col min="4615" max="4615" width="9.54296875" style="329" customWidth="1"/>
    <col min="4616" max="4616" width="12.54296875" style="329" customWidth="1"/>
    <col min="4617" max="4617" width="10" style="329" customWidth="1"/>
    <col min="4618" max="4618" width="9.7265625" style="329" customWidth="1"/>
    <col min="4619" max="4621" width="9.1796875" style="329" customWidth="1"/>
    <col min="4622" max="4865" width="9.1796875" style="329"/>
    <col min="4866" max="4866" width="13.26953125" style="329" customWidth="1"/>
    <col min="4867" max="4867" width="27.453125" style="329" customWidth="1"/>
    <col min="4868" max="4869" width="9.54296875" style="329" customWidth="1"/>
    <col min="4870" max="4870" width="9.7265625" style="329" customWidth="1"/>
    <col min="4871" max="4871" width="9.54296875" style="329" customWidth="1"/>
    <col min="4872" max="4872" width="12.54296875" style="329" customWidth="1"/>
    <col min="4873" max="4873" width="10" style="329" customWidth="1"/>
    <col min="4874" max="4874" width="9.7265625" style="329" customWidth="1"/>
    <col min="4875" max="4877" width="9.1796875" style="329" customWidth="1"/>
    <col min="4878" max="5121" width="9.1796875" style="329"/>
    <col min="5122" max="5122" width="13.26953125" style="329" customWidth="1"/>
    <col min="5123" max="5123" width="27.453125" style="329" customWidth="1"/>
    <col min="5124" max="5125" width="9.54296875" style="329" customWidth="1"/>
    <col min="5126" max="5126" width="9.7265625" style="329" customWidth="1"/>
    <col min="5127" max="5127" width="9.54296875" style="329" customWidth="1"/>
    <col min="5128" max="5128" width="12.54296875" style="329" customWidth="1"/>
    <col min="5129" max="5129" width="10" style="329" customWidth="1"/>
    <col min="5130" max="5130" width="9.7265625" style="329" customWidth="1"/>
    <col min="5131" max="5133" width="9.1796875" style="329" customWidth="1"/>
    <col min="5134" max="5377" width="9.1796875" style="329"/>
    <col min="5378" max="5378" width="13.26953125" style="329" customWidth="1"/>
    <col min="5379" max="5379" width="27.453125" style="329" customWidth="1"/>
    <col min="5380" max="5381" width="9.54296875" style="329" customWidth="1"/>
    <col min="5382" max="5382" width="9.7265625" style="329" customWidth="1"/>
    <col min="5383" max="5383" width="9.54296875" style="329" customWidth="1"/>
    <col min="5384" max="5384" width="12.54296875" style="329" customWidth="1"/>
    <col min="5385" max="5385" width="10" style="329" customWidth="1"/>
    <col min="5386" max="5386" width="9.7265625" style="329" customWidth="1"/>
    <col min="5387" max="5389" width="9.1796875" style="329" customWidth="1"/>
    <col min="5390" max="5633" width="9.1796875" style="329"/>
    <col min="5634" max="5634" width="13.26953125" style="329" customWidth="1"/>
    <col min="5635" max="5635" width="27.453125" style="329" customWidth="1"/>
    <col min="5636" max="5637" width="9.54296875" style="329" customWidth="1"/>
    <col min="5638" max="5638" width="9.7265625" style="329" customWidth="1"/>
    <col min="5639" max="5639" width="9.54296875" style="329" customWidth="1"/>
    <col min="5640" max="5640" width="12.54296875" style="329" customWidth="1"/>
    <col min="5641" max="5641" width="10" style="329" customWidth="1"/>
    <col min="5642" max="5642" width="9.7265625" style="329" customWidth="1"/>
    <col min="5643" max="5645" width="9.1796875" style="329" customWidth="1"/>
    <col min="5646" max="5889" width="9.1796875" style="329"/>
    <col min="5890" max="5890" width="13.26953125" style="329" customWidth="1"/>
    <col min="5891" max="5891" width="27.453125" style="329" customWidth="1"/>
    <col min="5892" max="5893" width="9.54296875" style="329" customWidth="1"/>
    <col min="5894" max="5894" width="9.7265625" style="329" customWidth="1"/>
    <col min="5895" max="5895" width="9.54296875" style="329" customWidth="1"/>
    <col min="5896" max="5896" width="12.54296875" style="329" customWidth="1"/>
    <col min="5897" max="5897" width="10" style="329" customWidth="1"/>
    <col min="5898" max="5898" width="9.7265625" style="329" customWidth="1"/>
    <col min="5899" max="5901" width="9.1796875" style="329" customWidth="1"/>
    <col min="5902" max="6145" width="9.1796875" style="329"/>
    <col min="6146" max="6146" width="13.26953125" style="329" customWidth="1"/>
    <col min="6147" max="6147" width="27.453125" style="329" customWidth="1"/>
    <col min="6148" max="6149" width="9.54296875" style="329" customWidth="1"/>
    <col min="6150" max="6150" width="9.7265625" style="329" customWidth="1"/>
    <col min="6151" max="6151" width="9.54296875" style="329" customWidth="1"/>
    <col min="6152" max="6152" width="12.54296875" style="329" customWidth="1"/>
    <col min="6153" max="6153" width="10" style="329" customWidth="1"/>
    <col min="6154" max="6154" width="9.7265625" style="329" customWidth="1"/>
    <col min="6155" max="6157" width="9.1796875" style="329" customWidth="1"/>
    <col min="6158" max="6401" width="9.1796875" style="329"/>
    <col min="6402" max="6402" width="13.26953125" style="329" customWidth="1"/>
    <col min="6403" max="6403" width="27.453125" style="329" customWidth="1"/>
    <col min="6404" max="6405" width="9.54296875" style="329" customWidth="1"/>
    <col min="6406" max="6406" width="9.7265625" style="329" customWidth="1"/>
    <col min="6407" max="6407" width="9.54296875" style="329" customWidth="1"/>
    <col min="6408" max="6408" width="12.54296875" style="329" customWidth="1"/>
    <col min="6409" max="6409" width="10" style="329" customWidth="1"/>
    <col min="6410" max="6410" width="9.7265625" style="329" customWidth="1"/>
    <col min="6411" max="6413" width="9.1796875" style="329" customWidth="1"/>
    <col min="6414" max="6657" width="9.1796875" style="329"/>
    <col min="6658" max="6658" width="13.26953125" style="329" customWidth="1"/>
    <col min="6659" max="6659" width="27.453125" style="329" customWidth="1"/>
    <col min="6660" max="6661" width="9.54296875" style="329" customWidth="1"/>
    <col min="6662" max="6662" width="9.7265625" style="329" customWidth="1"/>
    <col min="6663" max="6663" width="9.54296875" style="329" customWidth="1"/>
    <col min="6664" max="6664" width="12.54296875" style="329" customWidth="1"/>
    <col min="6665" max="6665" width="10" style="329" customWidth="1"/>
    <col min="6666" max="6666" width="9.7265625" style="329" customWidth="1"/>
    <col min="6667" max="6669" width="9.1796875" style="329" customWidth="1"/>
    <col min="6670" max="6913" width="9.1796875" style="329"/>
    <col min="6914" max="6914" width="13.26953125" style="329" customWidth="1"/>
    <col min="6915" max="6915" width="27.453125" style="329" customWidth="1"/>
    <col min="6916" max="6917" width="9.54296875" style="329" customWidth="1"/>
    <col min="6918" max="6918" width="9.7265625" style="329" customWidth="1"/>
    <col min="6919" max="6919" width="9.54296875" style="329" customWidth="1"/>
    <col min="6920" max="6920" width="12.54296875" style="329" customWidth="1"/>
    <col min="6921" max="6921" width="10" style="329" customWidth="1"/>
    <col min="6922" max="6922" width="9.7265625" style="329" customWidth="1"/>
    <col min="6923" max="6925" width="9.1796875" style="329" customWidth="1"/>
    <col min="6926" max="7169" width="9.1796875" style="329"/>
    <col min="7170" max="7170" width="13.26953125" style="329" customWidth="1"/>
    <col min="7171" max="7171" width="27.453125" style="329" customWidth="1"/>
    <col min="7172" max="7173" width="9.54296875" style="329" customWidth="1"/>
    <col min="7174" max="7174" width="9.7265625" style="329" customWidth="1"/>
    <col min="7175" max="7175" width="9.54296875" style="329" customWidth="1"/>
    <col min="7176" max="7176" width="12.54296875" style="329" customWidth="1"/>
    <col min="7177" max="7177" width="10" style="329" customWidth="1"/>
    <col min="7178" max="7178" width="9.7265625" style="329" customWidth="1"/>
    <col min="7179" max="7181" width="9.1796875" style="329" customWidth="1"/>
    <col min="7182" max="7425" width="9.1796875" style="329"/>
    <col min="7426" max="7426" width="13.26953125" style="329" customWidth="1"/>
    <col min="7427" max="7427" width="27.453125" style="329" customWidth="1"/>
    <col min="7428" max="7429" width="9.54296875" style="329" customWidth="1"/>
    <col min="7430" max="7430" width="9.7265625" style="329" customWidth="1"/>
    <col min="7431" max="7431" width="9.54296875" style="329" customWidth="1"/>
    <col min="7432" max="7432" width="12.54296875" style="329" customWidth="1"/>
    <col min="7433" max="7433" width="10" style="329" customWidth="1"/>
    <col min="7434" max="7434" width="9.7265625" style="329" customWidth="1"/>
    <col min="7435" max="7437" width="9.1796875" style="329" customWidth="1"/>
    <col min="7438" max="7681" width="9.1796875" style="329"/>
    <col min="7682" max="7682" width="13.26953125" style="329" customWidth="1"/>
    <col min="7683" max="7683" width="27.453125" style="329" customWidth="1"/>
    <col min="7684" max="7685" width="9.54296875" style="329" customWidth="1"/>
    <col min="7686" max="7686" width="9.7265625" style="329" customWidth="1"/>
    <col min="7687" max="7687" width="9.54296875" style="329" customWidth="1"/>
    <col min="7688" max="7688" width="12.54296875" style="329" customWidth="1"/>
    <col min="7689" max="7689" width="10" style="329" customWidth="1"/>
    <col min="7690" max="7690" width="9.7265625" style="329" customWidth="1"/>
    <col min="7691" max="7693" width="9.1796875" style="329" customWidth="1"/>
    <col min="7694" max="7937" width="9.1796875" style="329"/>
    <col min="7938" max="7938" width="13.26953125" style="329" customWidth="1"/>
    <col min="7939" max="7939" width="27.453125" style="329" customWidth="1"/>
    <col min="7940" max="7941" width="9.54296875" style="329" customWidth="1"/>
    <col min="7942" max="7942" width="9.7265625" style="329" customWidth="1"/>
    <col min="7943" max="7943" width="9.54296875" style="329" customWidth="1"/>
    <col min="7944" max="7944" width="12.54296875" style="329" customWidth="1"/>
    <col min="7945" max="7945" width="10" style="329" customWidth="1"/>
    <col min="7946" max="7946" width="9.7265625" style="329" customWidth="1"/>
    <col min="7947" max="7949" width="9.1796875" style="329" customWidth="1"/>
    <col min="7950" max="8193" width="9.1796875" style="329"/>
    <col min="8194" max="8194" width="13.26953125" style="329" customWidth="1"/>
    <col min="8195" max="8195" width="27.453125" style="329" customWidth="1"/>
    <col min="8196" max="8197" width="9.54296875" style="329" customWidth="1"/>
    <col min="8198" max="8198" width="9.7265625" style="329" customWidth="1"/>
    <col min="8199" max="8199" width="9.54296875" style="329" customWidth="1"/>
    <col min="8200" max="8200" width="12.54296875" style="329" customWidth="1"/>
    <col min="8201" max="8201" width="10" style="329" customWidth="1"/>
    <col min="8202" max="8202" width="9.7265625" style="329" customWidth="1"/>
    <col min="8203" max="8205" width="9.1796875" style="329" customWidth="1"/>
    <col min="8206" max="8449" width="9.1796875" style="329"/>
    <col min="8450" max="8450" width="13.26953125" style="329" customWidth="1"/>
    <col min="8451" max="8451" width="27.453125" style="329" customWidth="1"/>
    <col min="8452" max="8453" width="9.54296875" style="329" customWidth="1"/>
    <col min="8454" max="8454" width="9.7265625" style="329" customWidth="1"/>
    <col min="8455" max="8455" width="9.54296875" style="329" customWidth="1"/>
    <col min="8456" max="8456" width="12.54296875" style="329" customWidth="1"/>
    <col min="8457" max="8457" width="10" style="329" customWidth="1"/>
    <col min="8458" max="8458" width="9.7265625" style="329" customWidth="1"/>
    <col min="8459" max="8461" width="9.1796875" style="329" customWidth="1"/>
    <col min="8462" max="8705" width="9.1796875" style="329"/>
    <col min="8706" max="8706" width="13.26953125" style="329" customWidth="1"/>
    <col min="8707" max="8707" width="27.453125" style="329" customWidth="1"/>
    <col min="8708" max="8709" width="9.54296875" style="329" customWidth="1"/>
    <col min="8710" max="8710" width="9.7265625" style="329" customWidth="1"/>
    <col min="8711" max="8711" width="9.54296875" style="329" customWidth="1"/>
    <col min="8712" max="8712" width="12.54296875" style="329" customWidth="1"/>
    <col min="8713" max="8713" width="10" style="329" customWidth="1"/>
    <col min="8714" max="8714" width="9.7265625" style="329" customWidth="1"/>
    <col min="8715" max="8717" width="9.1796875" style="329" customWidth="1"/>
    <col min="8718" max="8961" width="9.1796875" style="329"/>
    <col min="8962" max="8962" width="13.26953125" style="329" customWidth="1"/>
    <col min="8963" max="8963" width="27.453125" style="329" customWidth="1"/>
    <col min="8964" max="8965" width="9.54296875" style="329" customWidth="1"/>
    <col min="8966" max="8966" width="9.7265625" style="329" customWidth="1"/>
    <col min="8967" max="8967" width="9.54296875" style="329" customWidth="1"/>
    <col min="8968" max="8968" width="12.54296875" style="329" customWidth="1"/>
    <col min="8969" max="8969" width="10" style="329" customWidth="1"/>
    <col min="8970" max="8970" width="9.7265625" style="329" customWidth="1"/>
    <col min="8971" max="8973" width="9.1796875" style="329" customWidth="1"/>
    <col min="8974" max="9217" width="9.1796875" style="329"/>
    <col min="9218" max="9218" width="13.26953125" style="329" customWidth="1"/>
    <col min="9219" max="9219" width="27.453125" style="329" customWidth="1"/>
    <col min="9220" max="9221" width="9.54296875" style="329" customWidth="1"/>
    <col min="9222" max="9222" width="9.7265625" style="329" customWidth="1"/>
    <col min="9223" max="9223" width="9.54296875" style="329" customWidth="1"/>
    <col min="9224" max="9224" width="12.54296875" style="329" customWidth="1"/>
    <col min="9225" max="9225" width="10" style="329" customWidth="1"/>
    <col min="9226" max="9226" width="9.7265625" style="329" customWidth="1"/>
    <col min="9227" max="9229" width="9.1796875" style="329" customWidth="1"/>
    <col min="9230" max="9473" width="9.1796875" style="329"/>
    <col min="9474" max="9474" width="13.26953125" style="329" customWidth="1"/>
    <col min="9475" max="9475" width="27.453125" style="329" customWidth="1"/>
    <col min="9476" max="9477" width="9.54296875" style="329" customWidth="1"/>
    <col min="9478" max="9478" width="9.7265625" style="329" customWidth="1"/>
    <col min="9479" max="9479" width="9.54296875" style="329" customWidth="1"/>
    <col min="9480" max="9480" width="12.54296875" style="329" customWidth="1"/>
    <col min="9481" max="9481" width="10" style="329" customWidth="1"/>
    <col min="9482" max="9482" width="9.7265625" style="329" customWidth="1"/>
    <col min="9483" max="9485" width="9.1796875" style="329" customWidth="1"/>
    <col min="9486" max="9729" width="9.1796875" style="329"/>
    <col min="9730" max="9730" width="13.26953125" style="329" customWidth="1"/>
    <col min="9731" max="9731" width="27.453125" style="329" customWidth="1"/>
    <col min="9732" max="9733" width="9.54296875" style="329" customWidth="1"/>
    <col min="9734" max="9734" width="9.7265625" style="329" customWidth="1"/>
    <col min="9735" max="9735" width="9.54296875" style="329" customWidth="1"/>
    <col min="9736" max="9736" width="12.54296875" style="329" customWidth="1"/>
    <col min="9737" max="9737" width="10" style="329" customWidth="1"/>
    <col min="9738" max="9738" width="9.7265625" style="329" customWidth="1"/>
    <col min="9739" max="9741" width="9.1796875" style="329" customWidth="1"/>
    <col min="9742" max="9985" width="9.1796875" style="329"/>
    <col min="9986" max="9986" width="13.26953125" style="329" customWidth="1"/>
    <col min="9987" max="9987" width="27.453125" style="329" customWidth="1"/>
    <col min="9988" max="9989" width="9.54296875" style="329" customWidth="1"/>
    <col min="9990" max="9990" width="9.7265625" style="329" customWidth="1"/>
    <col min="9991" max="9991" width="9.54296875" style="329" customWidth="1"/>
    <col min="9992" max="9992" width="12.54296875" style="329" customWidth="1"/>
    <col min="9993" max="9993" width="10" style="329" customWidth="1"/>
    <col min="9994" max="9994" width="9.7265625" style="329" customWidth="1"/>
    <col min="9995" max="9997" width="9.1796875" style="329" customWidth="1"/>
    <col min="9998" max="10241" width="9.1796875" style="329"/>
    <col min="10242" max="10242" width="13.26953125" style="329" customWidth="1"/>
    <col min="10243" max="10243" width="27.453125" style="329" customWidth="1"/>
    <col min="10244" max="10245" width="9.54296875" style="329" customWidth="1"/>
    <col min="10246" max="10246" width="9.7265625" style="329" customWidth="1"/>
    <col min="10247" max="10247" width="9.54296875" style="329" customWidth="1"/>
    <col min="10248" max="10248" width="12.54296875" style="329" customWidth="1"/>
    <col min="10249" max="10249" width="10" style="329" customWidth="1"/>
    <col min="10250" max="10250" width="9.7265625" style="329" customWidth="1"/>
    <col min="10251" max="10253" width="9.1796875" style="329" customWidth="1"/>
    <col min="10254" max="10497" width="9.1796875" style="329"/>
    <col min="10498" max="10498" width="13.26953125" style="329" customWidth="1"/>
    <col min="10499" max="10499" width="27.453125" style="329" customWidth="1"/>
    <col min="10500" max="10501" width="9.54296875" style="329" customWidth="1"/>
    <col min="10502" max="10502" width="9.7265625" style="329" customWidth="1"/>
    <col min="10503" max="10503" width="9.54296875" style="329" customWidth="1"/>
    <col min="10504" max="10504" width="12.54296875" style="329" customWidth="1"/>
    <col min="10505" max="10505" width="10" style="329" customWidth="1"/>
    <col min="10506" max="10506" width="9.7265625" style="329" customWidth="1"/>
    <col min="10507" max="10509" width="9.1796875" style="329" customWidth="1"/>
    <col min="10510" max="10753" width="9.1796875" style="329"/>
    <col min="10754" max="10754" width="13.26953125" style="329" customWidth="1"/>
    <col min="10755" max="10755" width="27.453125" style="329" customWidth="1"/>
    <col min="10756" max="10757" width="9.54296875" style="329" customWidth="1"/>
    <col min="10758" max="10758" width="9.7265625" style="329" customWidth="1"/>
    <col min="10759" max="10759" width="9.54296875" style="329" customWidth="1"/>
    <col min="10760" max="10760" width="12.54296875" style="329" customWidth="1"/>
    <col min="10761" max="10761" width="10" style="329" customWidth="1"/>
    <col min="10762" max="10762" width="9.7265625" style="329" customWidth="1"/>
    <col min="10763" max="10765" width="9.1796875" style="329" customWidth="1"/>
    <col min="10766" max="11009" width="9.1796875" style="329"/>
    <col min="11010" max="11010" width="13.26953125" style="329" customWidth="1"/>
    <col min="11011" max="11011" width="27.453125" style="329" customWidth="1"/>
    <col min="11012" max="11013" width="9.54296875" style="329" customWidth="1"/>
    <col min="11014" max="11014" width="9.7265625" style="329" customWidth="1"/>
    <col min="11015" max="11015" width="9.54296875" style="329" customWidth="1"/>
    <col min="11016" max="11016" width="12.54296875" style="329" customWidth="1"/>
    <col min="11017" max="11017" width="10" style="329" customWidth="1"/>
    <col min="11018" max="11018" width="9.7265625" style="329" customWidth="1"/>
    <col min="11019" max="11021" width="9.1796875" style="329" customWidth="1"/>
    <col min="11022" max="11265" width="9.1796875" style="329"/>
    <col min="11266" max="11266" width="13.26953125" style="329" customWidth="1"/>
    <col min="11267" max="11267" width="27.453125" style="329" customWidth="1"/>
    <col min="11268" max="11269" width="9.54296875" style="329" customWidth="1"/>
    <col min="11270" max="11270" width="9.7265625" style="329" customWidth="1"/>
    <col min="11271" max="11271" width="9.54296875" style="329" customWidth="1"/>
    <col min="11272" max="11272" width="12.54296875" style="329" customWidth="1"/>
    <col min="11273" max="11273" width="10" style="329" customWidth="1"/>
    <col min="11274" max="11274" width="9.7265625" style="329" customWidth="1"/>
    <col min="11275" max="11277" width="9.1796875" style="329" customWidth="1"/>
    <col min="11278" max="11521" width="9.1796875" style="329"/>
    <col min="11522" max="11522" width="13.26953125" style="329" customWidth="1"/>
    <col min="11523" max="11523" width="27.453125" style="329" customWidth="1"/>
    <col min="11524" max="11525" width="9.54296875" style="329" customWidth="1"/>
    <col min="11526" max="11526" width="9.7265625" style="329" customWidth="1"/>
    <col min="11527" max="11527" width="9.54296875" style="329" customWidth="1"/>
    <col min="11528" max="11528" width="12.54296875" style="329" customWidth="1"/>
    <col min="11529" max="11529" width="10" style="329" customWidth="1"/>
    <col min="11530" max="11530" width="9.7265625" style="329" customWidth="1"/>
    <col min="11531" max="11533" width="9.1796875" style="329" customWidth="1"/>
    <col min="11534" max="11777" width="9.1796875" style="329"/>
    <col min="11778" max="11778" width="13.26953125" style="329" customWidth="1"/>
    <col min="11779" max="11779" width="27.453125" style="329" customWidth="1"/>
    <col min="11780" max="11781" width="9.54296875" style="329" customWidth="1"/>
    <col min="11782" max="11782" width="9.7265625" style="329" customWidth="1"/>
    <col min="11783" max="11783" width="9.54296875" style="329" customWidth="1"/>
    <col min="11784" max="11784" width="12.54296875" style="329" customWidth="1"/>
    <col min="11785" max="11785" width="10" style="329" customWidth="1"/>
    <col min="11786" max="11786" width="9.7265625" style="329" customWidth="1"/>
    <col min="11787" max="11789" width="9.1796875" style="329" customWidth="1"/>
    <col min="11790" max="12033" width="9.1796875" style="329"/>
    <col min="12034" max="12034" width="13.26953125" style="329" customWidth="1"/>
    <col min="12035" max="12035" width="27.453125" style="329" customWidth="1"/>
    <col min="12036" max="12037" width="9.54296875" style="329" customWidth="1"/>
    <col min="12038" max="12038" width="9.7265625" style="329" customWidth="1"/>
    <col min="12039" max="12039" width="9.54296875" style="329" customWidth="1"/>
    <col min="12040" max="12040" width="12.54296875" style="329" customWidth="1"/>
    <col min="12041" max="12041" width="10" style="329" customWidth="1"/>
    <col min="12042" max="12042" width="9.7265625" style="329" customWidth="1"/>
    <col min="12043" max="12045" width="9.1796875" style="329" customWidth="1"/>
    <col min="12046" max="12289" width="9.1796875" style="329"/>
    <col min="12290" max="12290" width="13.26953125" style="329" customWidth="1"/>
    <col min="12291" max="12291" width="27.453125" style="329" customWidth="1"/>
    <col min="12292" max="12293" width="9.54296875" style="329" customWidth="1"/>
    <col min="12294" max="12294" width="9.7265625" style="329" customWidth="1"/>
    <col min="12295" max="12295" width="9.54296875" style="329" customWidth="1"/>
    <col min="12296" max="12296" width="12.54296875" style="329" customWidth="1"/>
    <col min="12297" max="12297" width="10" style="329" customWidth="1"/>
    <col min="12298" max="12298" width="9.7265625" style="329" customWidth="1"/>
    <col min="12299" max="12301" width="9.1796875" style="329" customWidth="1"/>
    <col min="12302" max="12545" width="9.1796875" style="329"/>
    <col min="12546" max="12546" width="13.26953125" style="329" customWidth="1"/>
    <col min="12547" max="12547" width="27.453125" style="329" customWidth="1"/>
    <col min="12548" max="12549" width="9.54296875" style="329" customWidth="1"/>
    <col min="12550" max="12550" width="9.7265625" style="329" customWidth="1"/>
    <col min="12551" max="12551" width="9.54296875" style="329" customWidth="1"/>
    <col min="12552" max="12552" width="12.54296875" style="329" customWidth="1"/>
    <col min="12553" max="12553" width="10" style="329" customWidth="1"/>
    <col min="12554" max="12554" width="9.7265625" style="329" customWidth="1"/>
    <col min="12555" max="12557" width="9.1796875" style="329" customWidth="1"/>
    <col min="12558" max="12801" width="9.1796875" style="329"/>
    <col min="12802" max="12802" width="13.26953125" style="329" customWidth="1"/>
    <col min="12803" max="12803" width="27.453125" style="329" customWidth="1"/>
    <col min="12804" max="12805" width="9.54296875" style="329" customWidth="1"/>
    <col min="12806" max="12806" width="9.7265625" style="329" customWidth="1"/>
    <col min="12807" max="12807" width="9.54296875" style="329" customWidth="1"/>
    <col min="12808" max="12808" width="12.54296875" style="329" customWidth="1"/>
    <col min="12809" max="12809" width="10" style="329" customWidth="1"/>
    <col min="12810" max="12810" width="9.7265625" style="329" customWidth="1"/>
    <col min="12811" max="12813" width="9.1796875" style="329" customWidth="1"/>
    <col min="12814" max="13057" width="9.1796875" style="329"/>
    <col min="13058" max="13058" width="13.26953125" style="329" customWidth="1"/>
    <col min="13059" max="13059" width="27.453125" style="329" customWidth="1"/>
    <col min="13060" max="13061" width="9.54296875" style="329" customWidth="1"/>
    <col min="13062" max="13062" width="9.7265625" style="329" customWidth="1"/>
    <col min="13063" max="13063" width="9.54296875" style="329" customWidth="1"/>
    <col min="13064" max="13064" width="12.54296875" style="329" customWidth="1"/>
    <col min="13065" max="13065" width="10" style="329" customWidth="1"/>
    <col min="13066" max="13066" width="9.7265625" style="329" customWidth="1"/>
    <col min="13067" max="13069" width="9.1796875" style="329" customWidth="1"/>
    <col min="13070" max="13313" width="9.1796875" style="329"/>
    <col min="13314" max="13314" width="13.26953125" style="329" customWidth="1"/>
    <col min="13315" max="13315" width="27.453125" style="329" customWidth="1"/>
    <col min="13316" max="13317" width="9.54296875" style="329" customWidth="1"/>
    <col min="13318" max="13318" width="9.7265625" style="329" customWidth="1"/>
    <col min="13319" max="13319" width="9.54296875" style="329" customWidth="1"/>
    <col min="13320" max="13320" width="12.54296875" style="329" customWidth="1"/>
    <col min="13321" max="13321" width="10" style="329" customWidth="1"/>
    <col min="13322" max="13322" width="9.7265625" style="329" customWidth="1"/>
    <col min="13323" max="13325" width="9.1796875" style="329" customWidth="1"/>
    <col min="13326" max="13569" width="9.1796875" style="329"/>
    <col min="13570" max="13570" width="13.26953125" style="329" customWidth="1"/>
    <col min="13571" max="13571" width="27.453125" style="329" customWidth="1"/>
    <col min="13572" max="13573" width="9.54296875" style="329" customWidth="1"/>
    <col min="13574" max="13574" width="9.7265625" style="329" customWidth="1"/>
    <col min="13575" max="13575" width="9.54296875" style="329" customWidth="1"/>
    <col min="13576" max="13576" width="12.54296875" style="329" customWidth="1"/>
    <col min="13577" max="13577" width="10" style="329" customWidth="1"/>
    <col min="13578" max="13578" width="9.7265625" style="329" customWidth="1"/>
    <col min="13579" max="13581" width="9.1796875" style="329" customWidth="1"/>
    <col min="13582" max="13825" width="9.1796875" style="329"/>
    <col min="13826" max="13826" width="13.26953125" style="329" customWidth="1"/>
    <col min="13827" max="13827" width="27.453125" style="329" customWidth="1"/>
    <col min="13828" max="13829" width="9.54296875" style="329" customWidth="1"/>
    <col min="13830" max="13830" width="9.7265625" style="329" customWidth="1"/>
    <col min="13831" max="13831" width="9.54296875" style="329" customWidth="1"/>
    <col min="13832" max="13832" width="12.54296875" style="329" customWidth="1"/>
    <col min="13833" max="13833" width="10" style="329" customWidth="1"/>
    <col min="13834" max="13834" width="9.7265625" style="329" customWidth="1"/>
    <col min="13835" max="13837" width="9.1796875" style="329" customWidth="1"/>
    <col min="13838" max="14081" width="9.1796875" style="329"/>
    <col min="14082" max="14082" width="13.26953125" style="329" customWidth="1"/>
    <col min="14083" max="14083" width="27.453125" style="329" customWidth="1"/>
    <col min="14084" max="14085" width="9.54296875" style="329" customWidth="1"/>
    <col min="14086" max="14086" width="9.7265625" style="329" customWidth="1"/>
    <col min="14087" max="14087" width="9.54296875" style="329" customWidth="1"/>
    <col min="14088" max="14088" width="12.54296875" style="329" customWidth="1"/>
    <col min="14089" max="14089" width="10" style="329" customWidth="1"/>
    <col min="14090" max="14090" width="9.7265625" style="329" customWidth="1"/>
    <col min="14091" max="14093" width="9.1796875" style="329" customWidth="1"/>
    <col min="14094" max="14337" width="9.1796875" style="329"/>
    <col min="14338" max="14338" width="13.26953125" style="329" customWidth="1"/>
    <col min="14339" max="14339" width="27.453125" style="329" customWidth="1"/>
    <col min="14340" max="14341" width="9.54296875" style="329" customWidth="1"/>
    <col min="14342" max="14342" width="9.7265625" style="329" customWidth="1"/>
    <col min="14343" max="14343" width="9.54296875" style="329" customWidth="1"/>
    <col min="14344" max="14344" width="12.54296875" style="329" customWidth="1"/>
    <col min="14345" max="14345" width="10" style="329" customWidth="1"/>
    <col min="14346" max="14346" width="9.7265625" style="329" customWidth="1"/>
    <col min="14347" max="14349" width="9.1796875" style="329" customWidth="1"/>
    <col min="14350" max="14593" width="9.1796875" style="329"/>
    <col min="14594" max="14594" width="13.26953125" style="329" customWidth="1"/>
    <col min="14595" max="14595" width="27.453125" style="329" customWidth="1"/>
    <col min="14596" max="14597" width="9.54296875" style="329" customWidth="1"/>
    <col min="14598" max="14598" width="9.7265625" style="329" customWidth="1"/>
    <col min="14599" max="14599" width="9.54296875" style="329" customWidth="1"/>
    <col min="14600" max="14600" width="12.54296875" style="329" customWidth="1"/>
    <col min="14601" max="14601" width="10" style="329" customWidth="1"/>
    <col min="14602" max="14602" width="9.7265625" style="329" customWidth="1"/>
    <col min="14603" max="14605" width="9.1796875" style="329" customWidth="1"/>
    <col min="14606" max="14849" width="9.1796875" style="329"/>
    <col min="14850" max="14850" width="13.26953125" style="329" customWidth="1"/>
    <col min="14851" max="14851" width="27.453125" style="329" customWidth="1"/>
    <col min="14852" max="14853" width="9.54296875" style="329" customWidth="1"/>
    <col min="14854" max="14854" width="9.7265625" style="329" customWidth="1"/>
    <col min="14855" max="14855" width="9.54296875" style="329" customWidth="1"/>
    <col min="14856" max="14856" width="12.54296875" style="329" customWidth="1"/>
    <col min="14857" max="14857" width="10" style="329" customWidth="1"/>
    <col min="14858" max="14858" width="9.7265625" style="329" customWidth="1"/>
    <col min="14859" max="14861" width="9.1796875" style="329" customWidth="1"/>
    <col min="14862" max="15105" width="9.1796875" style="329"/>
    <col min="15106" max="15106" width="13.26953125" style="329" customWidth="1"/>
    <col min="15107" max="15107" width="27.453125" style="329" customWidth="1"/>
    <col min="15108" max="15109" width="9.54296875" style="329" customWidth="1"/>
    <col min="15110" max="15110" width="9.7265625" style="329" customWidth="1"/>
    <col min="15111" max="15111" width="9.54296875" style="329" customWidth="1"/>
    <col min="15112" max="15112" width="12.54296875" style="329" customWidth="1"/>
    <col min="15113" max="15113" width="10" style="329" customWidth="1"/>
    <col min="15114" max="15114" width="9.7265625" style="329" customWidth="1"/>
    <col min="15115" max="15117" width="9.1796875" style="329" customWidth="1"/>
    <col min="15118" max="15361" width="9.1796875" style="329"/>
    <col min="15362" max="15362" width="13.26953125" style="329" customWidth="1"/>
    <col min="15363" max="15363" width="27.453125" style="329" customWidth="1"/>
    <col min="15364" max="15365" width="9.54296875" style="329" customWidth="1"/>
    <col min="15366" max="15366" width="9.7265625" style="329" customWidth="1"/>
    <col min="15367" max="15367" width="9.54296875" style="329" customWidth="1"/>
    <col min="15368" max="15368" width="12.54296875" style="329" customWidth="1"/>
    <col min="15369" max="15369" width="10" style="329" customWidth="1"/>
    <col min="15370" max="15370" width="9.7265625" style="329" customWidth="1"/>
    <col min="15371" max="15373" width="9.1796875" style="329" customWidth="1"/>
    <col min="15374" max="15617" width="9.1796875" style="329"/>
    <col min="15618" max="15618" width="13.26953125" style="329" customWidth="1"/>
    <col min="15619" max="15619" width="27.453125" style="329" customWidth="1"/>
    <col min="15620" max="15621" width="9.54296875" style="329" customWidth="1"/>
    <col min="15622" max="15622" width="9.7265625" style="329" customWidth="1"/>
    <col min="15623" max="15623" width="9.54296875" style="329" customWidth="1"/>
    <col min="15624" max="15624" width="12.54296875" style="329" customWidth="1"/>
    <col min="15625" max="15625" width="10" style="329" customWidth="1"/>
    <col min="15626" max="15626" width="9.7265625" style="329" customWidth="1"/>
    <col min="15627" max="15629" width="9.1796875" style="329" customWidth="1"/>
    <col min="15630" max="15873" width="9.1796875" style="329"/>
    <col min="15874" max="15874" width="13.26953125" style="329" customWidth="1"/>
    <col min="15875" max="15875" width="27.453125" style="329" customWidth="1"/>
    <col min="15876" max="15877" width="9.54296875" style="329" customWidth="1"/>
    <col min="15878" max="15878" width="9.7265625" style="329" customWidth="1"/>
    <col min="15879" max="15879" width="9.54296875" style="329" customWidth="1"/>
    <col min="15880" max="15880" width="12.54296875" style="329" customWidth="1"/>
    <col min="15881" max="15881" width="10" style="329" customWidth="1"/>
    <col min="15882" max="15882" width="9.7265625" style="329" customWidth="1"/>
    <col min="15883" max="15885" width="9.1796875" style="329" customWidth="1"/>
    <col min="15886" max="16129" width="9.1796875" style="329"/>
    <col min="16130" max="16130" width="13.26953125" style="329" customWidth="1"/>
    <col min="16131" max="16131" width="27.453125" style="329" customWidth="1"/>
    <col min="16132" max="16133" width="9.54296875" style="329" customWidth="1"/>
    <col min="16134" max="16134" width="9.7265625" style="329" customWidth="1"/>
    <col min="16135" max="16135" width="9.54296875" style="329" customWidth="1"/>
    <col min="16136" max="16136" width="12.54296875" style="329" customWidth="1"/>
    <col min="16137" max="16137" width="10" style="329" customWidth="1"/>
    <col min="16138" max="16138" width="9.7265625" style="329" customWidth="1"/>
    <col min="16139" max="16141" width="9.1796875" style="329" customWidth="1"/>
    <col min="16142" max="16384" width="9.1796875" style="329"/>
  </cols>
  <sheetData>
    <row r="1" spans="1:19" x14ac:dyDescent="0.35">
      <c r="B1" s="1120" t="s">
        <v>0</v>
      </c>
      <c r="C1" s="1120"/>
      <c r="D1" s="1120"/>
      <c r="E1" s="1120"/>
      <c r="F1" s="1120"/>
      <c r="G1" s="1120"/>
      <c r="H1" s="1120"/>
      <c r="I1" s="1120"/>
      <c r="J1" s="1120"/>
      <c r="K1" s="361"/>
      <c r="L1" s="329"/>
      <c r="M1" s="355"/>
      <c r="N1" s="354"/>
    </row>
    <row r="2" spans="1:19" x14ac:dyDescent="0.35">
      <c r="B2" s="1120" t="s">
        <v>297</v>
      </c>
      <c r="C2" s="1120"/>
      <c r="D2" s="1120"/>
      <c r="E2" s="1120"/>
      <c r="F2" s="1120"/>
      <c r="G2" s="1120"/>
      <c r="H2" s="1120"/>
      <c r="I2" s="1120"/>
      <c r="J2" s="1120"/>
      <c r="K2" s="361"/>
      <c r="L2" s="329"/>
      <c r="M2" s="355"/>
      <c r="N2" s="354"/>
    </row>
    <row r="3" spans="1:19" x14ac:dyDescent="0.35">
      <c r="B3" s="1119" t="s">
        <v>866</v>
      </c>
      <c r="C3" s="1119"/>
      <c r="D3" s="1119"/>
      <c r="E3" s="1119"/>
      <c r="F3" s="1119"/>
      <c r="G3" s="1119"/>
      <c r="H3" s="1119"/>
      <c r="I3" s="1119"/>
      <c r="J3" s="1119"/>
      <c r="K3" s="361"/>
      <c r="L3" s="329"/>
      <c r="M3" s="355"/>
      <c r="N3" s="354"/>
    </row>
    <row r="4" spans="1:19" x14ac:dyDescent="0.35">
      <c r="B4" s="371"/>
      <c r="C4" s="371"/>
      <c r="D4" s="371"/>
      <c r="E4" s="371"/>
      <c r="F4" s="371"/>
      <c r="G4" s="371"/>
      <c r="H4" s="371"/>
      <c r="I4" s="371"/>
      <c r="J4" s="371"/>
      <c r="K4" s="361"/>
      <c r="L4" s="371"/>
      <c r="M4" s="355"/>
      <c r="N4" s="354"/>
    </row>
    <row r="5" spans="1:19" s="317" customFormat="1" ht="20.149999999999999" customHeight="1" x14ac:dyDescent="0.35">
      <c r="B5" s="366" t="s">
        <v>302</v>
      </c>
      <c r="C5" s="365" t="s">
        <v>28</v>
      </c>
      <c r="D5" s="1255" t="s">
        <v>847</v>
      </c>
      <c r="E5" s="1252" t="s">
        <v>729</v>
      </c>
      <c r="F5" s="1253" t="s">
        <v>728</v>
      </c>
      <c r="G5" s="1253"/>
      <c r="H5" s="1253"/>
      <c r="I5" s="1253"/>
      <c r="J5" s="1254" t="s">
        <v>29</v>
      </c>
      <c r="K5" s="364" t="s">
        <v>303</v>
      </c>
      <c r="L5" s="365" t="s">
        <v>306</v>
      </c>
      <c r="M5" s="451"/>
      <c r="N5" s="319"/>
    </row>
    <row r="6" spans="1:19" s="317" customFormat="1" ht="19.5" customHeight="1" x14ac:dyDescent="0.35">
      <c r="B6" s="368"/>
      <c r="C6" s="369"/>
      <c r="D6" s="1256"/>
      <c r="E6" s="1252"/>
      <c r="F6" s="370" t="s">
        <v>308</v>
      </c>
      <c r="G6" s="370" t="s">
        <v>309</v>
      </c>
      <c r="H6" s="370" t="s">
        <v>310</v>
      </c>
      <c r="I6" s="370" t="s">
        <v>311</v>
      </c>
      <c r="J6" s="1254"/>
      <c r="K6" s="364"/>
      <c r="L6" s="367"/>
      <c r="M6" s="451"/>
      <c r="N6" s="319"/>
      <c r="O6" s="320"/>
      <c r="Q6" s="320"/>
    </row>
    <row r="7" spans="1:19" ht="18.75" customHeight="1" x14ac:dyDescent="0.35">
      <c r="B7" s="384" t="s">
        <v>3</v>
      </c>
      <c r="C7" s="382"/>
      <c r="D7" s="382"/>
      <c r="E7" s="382"/>
      <c r="F7" s="382"/>
      <c r="G7" s="382"/>
      <c r="H7" s="382"/>
      <c r="I7" s="382"/>
      <c r="J7" s="383"/>
      <c r="L7" s="329"/>
    </row>
    <row r="8" spans="1:19" ht="20.149999999999999" customHeight="1" x14ac:dyDescent="0.35">
      <c r="A8" s="329">
        <v>1</v>
      </c>
      <c r="B8" s="321">
        <v>219</v>
      </c>
      <c r="C8" s="330" t="s">
        <v>214</v>
      </c>
      <c r="D8" s="330"/>
      <c r="E8" s="323">
        <f>'[1]road inventory 2018'!C10</f>
        <v>0.65</v>
      </c>
      <c r="F8" s="323">
        <v>0.25</v>
      </c>
      <c r="G8" s="323">
        <v>0</v>
      </c>
      <c r="H8" s="323">
        <v>0</v>
      </c>
      <c r="I8" s="323">
        <v>0.4</v>
      </c>
      <c r="J8" s="325" t="s">
        <v>12</v>
      </c>
      <c r="K8" s="323">
        <f t="shared" ref="K8:K31" si="0">SUM(F8:I8)</f>
        <v>0.65</v>
      </c>
      <c r="L8" s="326" t="s">
        <v>313</v>
      </c>
      <c r="M8" s="363"/>
      <c r="N8" s="328"/>
    </row>
    <row r="9" spans="1:19" ht="20.149999999999999" customHeight="1" x14ac:dyDescent="0.35">
      <c r="A9" s="329">
        <v>2</v>
      </c>
      <c r="B9" s="321">
        <v>1</v>
      </c>
      <c r="C9" s="330" t="s">
        <v>314</v>
      </c>
      <c r="D9" s="330"/>
      <c r="E9" s="323">
        <f>'[1]road inventory 2018'!C11</f>
        <v>5.5</v>
      </c>
      <c r="F9" s="323">
        <v>4.88</v>
      </c>
      <c r="G9" s="323">
        <v>0</v>
      </c>
      <c r="H9" s="323">
        <v>0</v>
      </c>
      <c r="I9" s="323">
        <v>0.62</v>
      </c>
      <c r="J9" s="326" t="s">
        <v>10</v>
      </c>
      <c r="K9" s="323">
        <f t="shared" si="0"/>
        <v>5.5</v>
      </c>
      <c r="L9" s="326" t="s">
        <v>315</v>
      </c>
      <c r="M9" s="363"/>
      <c r="N9" s="328"/>
      <c r="O9" s="331"/>
      <c r="Q9" s="331"/>
      <c r="S9" s="331"/>
    </row>
    <row r="10" spans="1:19" ht="20.149999999999999" customHeight="1" x14ac:dyDescent="0.35">
      <c r="A10" s="329">
        <v>3</v>
      </c>
      <c r="B10" s="321">
        <v>2</v>
      </c>
      <c r="C10" s="330" t="s">
        <v>212</v>
      </c>
      <c r="D10" s="330"/>
      <c r="E10" s="323">
        <f>'[1]road inventory 2018'!C12</f>
        <v>0.8</v>
      </c>
      <c r="F10" s="323">
        <v>7.0000000000000007E-2</v>
      </c>
      <c r="G10" s="323">
        <v>0</v>
      </c>
      <c r="H10" s="323">
        <v>0</v>
      </c>
      <c r="I10" s="323">
        <v>0.73</v>
      </c>
      <c r="J10" s="326" t="s">
        <v>12</v>
      </c>
      <c r="K10" s="323">
        <f t="shared" si="0"/>
        <v>0.8</v>
      </c>
      <c r="L10" s="326" t="s">
        <v>316</v>
      </c>
      <c r="M10" s="363"/>
      <c r="N10" s="328"/>
    </row>
    <row r="11" spans="1:19" ht="20.149999999999999" customHeight="1" x14ac:dyDescent="0.35">
      <c r="A11" s="329">
        <v>4</v>
      </c>
      <c r="B11" s="321">
        <v>3</v>
      </c>
      <c r="C11" s="330" t="s">
        <v>217</v>
      </c>
      <c r="D11" s="330"/>
      <c r="E11" s="323">
        <f>'[1]road inventory 2018'!C13</f>
        <v>4.9000000000000004</v>
      </c>
      <c r="F11" s="323">
        <v>0</v>
      </c>
      <c r="G11" s="323">
        <v>0</v>
      </c>
      <c r="H11" s="323">
        <v>0</v>
      </c>
      <c r="I11" s="323">
        <v>4.9000000000000004</v>
      </c>
      <c r="J11" s="325" t="s">
        <v>12</v>
      </c>
      <c r="K11" s="323">
        <f t="shared" si="0"/>
        <v>4.9000000000000004</v>
      </c>
      <c r="L11" s="326" t="s">
        <v>318</v>
      </c>
      <c r="M11" s="363"/>
      <c r="N11" s="328"/>
      <c r="O11" s="331"/>
    </row>
    <row r="12" spans="1:19" ht="20.149999999999999" customHeight="1" x14ac:dyDescent="0.35">
      <c r="A12" s="329">
        <v>5</v>
      </c>
      <c r="B12" s="321">
        <v>4</v>
      </c>
      <c r="C12" s="330" t="s">
        <v>211</v>
      </c>
      <c r="D12" s="330"/>
      <c r="E12" s="323">
        <f>'[1]road inventory 2018'!C14</f>
        <v>2.7</v>
      </c>
      <c r="F12" s="323">
        <v>0</v>
      </c>
      <c r="G12" s="323">
        <v>0</v>
      </c>
      <c r="H12" s="323">
        <v>0</v>
      </c>
      <c r="I12" s="323">
        <v>2.7</v>
      </c>
      <c r="J12" s="325" t="s">
        <v>12</v>
      </c>
      <c r="K12" s="323">
        <f t="shared" si="0"/>
        <v>2.7</v>
      </c>
      <c r="L12" s="326" t="s">
        <v>320</v>
      </c>
      <c r="M12" s="363"/>
      <c r="N12" s="328"/>
    </row>
    <row r="13" spans="1:19" ht="20.149999999999999" customHeight="1" x14ac:dyDescent="0.35">
      <c r="A13" s="329">
        <v>6</v>
      </c>
      <c r="B13" s="321">
        <v>93</v>
      </c>
      <c r="C13" s="330" t="s">
        <v>13</v>
      </c>
      <c r="D13" s="330"/>
      <c r="E13" s="323">
        <f>'[1]road inventory 2018'!C15</f>
        <v>3.9</v>
      </c>
      <c r="F13" s="323">
        <v>3.79</v>
      </c>
      <c r="G13" s="323">
        <v>0</v>
      </c>
      <c r="H13" s="323">
        <v>0</v>
      </c>
      <c r="I13" s="323">
        <v>0.11</v>
      </c>
      <c r="J13" s="325" t="s">
        <v>12</v>
      </c>
      <c r="K13" s="323">
        <f t="shared" si="0"/>
        <v>3.9</v>
      </c>
      <c r="L13" s="326" t="s">
        <v>320</v>
      </c>
      <c r="M13" s="363"/>
      <c r="N13" s="328"/>
      <c r="O13" s="331"/>
      <c r="Q13" s="331"/>
    </row>
    <row r="14" spans="1:19" ht="20.149999999999999" customHeight="1" x14ac:dyDescent="0.35">
      <c r="A14" s="329">
        <v>7</v>
      </c>
      <c r="B14" s="321">
        <v>218</v>
      </c>
      <c r="C14" s="330" t="s">
        <v>213</v>
      </c>
      <c r="D14" s="330"/>
      <c r="E14" s="323">
        <f>'[1]road inventory 2018'!C16</f>
        <v>5.8</v>
      </c>
      <c r="F14" s="323">
        <v>0</v>
      </c>
      <c r="G14" s="323">
        <v>0</v>
      </c>
      <c r="H14" s="323">
        <v>0</v>
      </c>
      <c r="I14" s="323">
        <v>5.8</v>
      </c>
      <c r="J14" s="325" t="s">
        <v>12</v>
      </c>
      <c r="K14" s="323">
        <f t="shared" si="0"/>
        <v>5.8</v>
      </c>
      <c r="L14" s="326" t="s">
        <v>316</v>
      </c>
      <c r="M14" s="363"/>
      <c r="N14" s="328"/>
      <c r="P14" s="329" t="s">
        <v>299</v>
      </c>
      <c r="Q14" s="327" t="s">
        <v>846</v>
      </c>
    </row>
    <row r="15" spans="1:19" ht="20.149999999999999" customHeight="1" x14ac:dyDescent="0.35">
      <c r="A15" s="329">
        <v>8</v>
      </c>
      <c r="B15" s="321">
        <v>5</v>
      </c>
      <c r="C15" s="330" t="s">
        <v>16</v>
      </c>
      <c r="D15" s="330"/>
      <c r="E15" s="323">
        <f>'[1]road inventory 2018'!C17</f>
        <v>2.8</v>
      </c>
      <c r="F15" s="323">
        <v>2.8</v>
      </c>
      <c r="G15" s="323">
        <v>0</v>
      </c>
      <c r="H15" s="323">
        <v>0</v>
      </c>
      <c r="I15" s="323">
        <v>0</v>
      </c>
      <c r="J15" s="325" t="s">
        <v>12</v>
      </c>
      <c r="K15" s="323">
        <f t="shared" si="0"/>
        <v>2.8</v>
      </c>
      <c r="L15" s="326" t="s">
        <v>320</v>
      </c>
      <c r="M15" s="363"/>
      <c r="N15" s="328"/>
      <c r="O15" s="331"/>
      <c r="P15" s="320">
        <f>E32+E37+E54+E88+E118+E128+E132+E145</f>
        <v>476.35</v>
      </c>
      <c r="Q15" s="331">
        <f>P15+O232</f>
        <v>900.43599999999992</v>
      </c>
    </row>
    <row r="16" spans="1:19" ht="20.149999999999999" customHeight="1" x14ac:dyDescent="0.35">
      <c r="A16" s="329">
        <v>9</v>
      </c>
      <c r="B16" s="321">
        <v>6</v>
      </c>
      <c r="C16" s="330" t="s">
        <v>220</v>
      </c>
      <c r="D16" s="330"/>
      <c r="E16" s="323">
        <f>'[1]road inventory 2018'!C18</f>
        <v>3.9</v>
      </c>
      <c r="F16" s="323">
        <f>2.6+0.9</f>
        <v>3.5</v>
      </c>
      <c r="G16" s="323">
        <v>0</v>
      </c>
      <c r="H16" s="323">
        <v>0</v>
      </c>
      <c r="I16" s="323">
        <v>0.4</v>
      </c>
      <c r="J16" s="325" t="s">
        <v>10</v>
      </c>
      <c r="K16" s="323">
        <f t="shared" si="0"/>
        <v>3.9</v>
      </c>
      <c r="L16" s="326" t="s">
        <v>315</v>
      </c>
      <c r="M16" s="363"/>
      <c r="N16" s="328"/>
      <c r="Q16" s="331">
        <f>Q15+P204</f>
        <v>1250.251</v>
      </c>
    </row>
    <row r="17" spans="1:17" ht="20.149999999999999" customHeight="1" x14ac:dyDescent="0.35">
      <c r="A17" s="329">
        <v>10</v>
      </c>
      <c r="B17" s="321">
        <v>7</v>
      </c>
      <c r="C17" s="330" t="s">
        <v>205</v>
      </c>
      <c r="D17" s="330"/>
      <c r="E17" s="323">
        <f>'[1]road inventory 2018'!C19</f>
        <v>1.1000000000000001</v>
      </c>
      <c r="F17" s="323">
        <v>1.1000000000000001</v>
      </c>
      <c r="G17" s="323">
        <v>0</v>
      </c>
      <c r="H17" s="323">
        <v>0</v>
      </c>
      <c r="I17" s="323">
        <v>0</v>
      </c>
      <c r="J17" s="325" t="s">
        <v>12</v>
      </c>
      <c r="K17" s="323">
        <f t="shared" si="0"/>
        <v>1.1000000000000001</v>
      </c>
      <c r="L17" s="326" t="s">
        <v>321</v>
      </c>
      <c r="M17" s="363"/>
      <c r="N17" s="328"/>
    </row>
    <row r="18" spans="1:17" ht="20.149999999999999" customHeight="1" x14ac:dyDescent="0.35">
      <c r="A18" s="329">
        <v>11</v>
      </c>
      <c r="B18" s="321">
        <v>8</v>
      </c>
      <c r="C18" s="330" t="s">
        <v>324</v>
      </c>
      <c r="D18" s="330"/>
      <c r="E18" s="323">
        <f>'[1]road inventory 2018'!C20</f>
        <v>0.6</v>
      </c>
      <c r="F18" s="323">
        <v>0.6</v>
      </c>
      <c r="G18" s="323">
        <v>0</v>
      </c>
      <c r="H18" s="323">
        <v>0</v>
      </c>
      <c r="I18" s="323">
        <v>0</v>
      </c>
      <c r="J18" s="325" t="s">
        <v>12</v>
      </c>
      <c r="K18" s="323">
        <f t="shared" si="0"/>
        <v>0.6</v>
      </c>
      <c r="L18" s="326" t="s">
        <v>325</v>
      </c>
      <c r="M18" s="363"/>
      <c r="N18" s="328"/>
      <c r="O18" s="331"/>
      <c r="Q18" s="331"/>
    </row>
    <row r="19" spans="1:17" ht="20.149999999999999" customHeight="1" x14ac:dyDescent="0.35">
      <c r="A19" s="329">
        <v>12</v>
      </c>
      <c r="B19" s="321">
        <v>9</v>
      </c>
      <c r="C19" s="330" t="s">
        <v>19</v>
      </c>
      <c r="D19" s="330"/>
      <c r="E19" s="323">
        <f>'[1]road inventory 2018'!C21</f>
        <v>9</v>
      </c>
      <c r="F19" s="323">
        <v>8.6460000000000008</v>
      </c>
      <c r="G19" s="323">
        <v>0</v>
      </c>
      <c r="H19" s="323">
        <v>0</v>
      </c>
      <c r="I19" s="323">
        <v>0.35399999999999998</v>
      </c>
      <c r="J19" s="325" t="s">
        <v>10</v>
      </c>
      <c r="K19" s="323">
        <f t="shared" si="0"/>
        <v>9</v>
      </c>
      <c r="L19" s="326" t="s">
        <v>326</v>
      </c>
      <c r="M19" s="363"/>
      <c r="N19" s="328">
        <v>8.6460000000000008</v>
      </c>
      <c r="O19" s="331"/>
      <c r="Q19" s="331"/>
    </row>
    <row r="20" spans="1:17" ht="20.149999999999999" customHeight="1" x14ac:dyDescent="0.35">
      <c r="A20" s="329">
        <v>13</v>
      </c>
      <c r="B20" s="321">
        <v>10</v>
      </c>
      <c r="C20" s="330" t="s">
        <v>23</v>
      </c>
      <c r="D20" s="330"/>
      <c r="E20" s="323">
        <f>'[1]road inventory 2018'!C22</f>
        <v>13.6</v>
      </c>
      <c r="F20" s="323">
        <f>8.47+1.31+0.34</f>
        <v>10.120000000000001</v>
      </c>
      <c r="G20" s="323">
        <v>0</v>
      </c>
      <c r="H20" s="323">
        <v>0</v>
      </c>
      <c r="I20" s="323">
        <v>3.48</v>
      </c>
      <c r="J20" s="325" t="s">
        <v>10</v>
      </c>
      <c r="K20" s="323">
        <f t="shared" si="0"/>
        <v>13.600000000000001</v>
      </c>
      <c r="L20" s="326" t="s">
        <v>327</v>
      </c>
      <c r="M20" s="363"/>
      <c r="N20" s="328"/>
      <c r="O20" s="331"/>
      <c r="Q20" s="331"/>
    </row>
    <row r="21" spans="1:17" ht="20.149999999999999" customHeight="1" x14ac:dyDescent="0.35">
      <c r="A21" s="329">
        <v>14</v>
      </c>
      <c r="B21" s="321">
        <v>11</v>
      </c>
      <c r="C21" s="330" t="s">
        <v>223</v>
      </c>
      <c r="D21" s="330"/>
      <c r="E21" s="323">
        <f>'[1]road inventory 2018'!C23</f>
        <v>2.2000000000000002</v>
      </c>
      <c r="F21" s="323">
        <v>1.3</v>
      </c>
      <c r="G21" s="323">
        <v>0</v>
      </c>
      <c r="H21" s="323">
        <v>0</v>
      </c>
      <c r="I21" s="323">
        <v>0.9</v>
      </c>
      <c r="J21" s="325" t="s">
        <v>12</v>
      </c>
      <c r="K21" s="323">
        <f t="shared" si="0"/>
        <v>2.2000000000000002</v>
      </c>
      <c r="L21" s="326" t="s">
        <v>328</v>
      </c>
      <c r="M21" s="363"/>
      <c r="N21" s="328"/>
      <c r="O21" s="333"/>
      <c r="Q21" s="333"/>
    </row>
    <row r="22" spans="1:17" ht="20.149999999999999" customHeight="1" x14ac:dyDescent="0.35">
      <c r="A22" s="329">
        <v>15</v>
      </c>
      <c r="B22" s="321">
        <v>13</v>
      </c>
      <c r="C22" s="330" t="s">
        <v>218</v>
      </c>
      <c r="D22" s="330"/>
      <c r="E22" s="323">
        <f>'[1]road inventory 2018'!C24</f>
        <v>1.7</v>
      </c>
      <c r="F22" s="323">
        <v>0</v>
      </c>
      <c r="G22" s="323">
        <v>0</v>
      </c>
      <c r="H22" s="323">
        <v>0</v>
      </c>
      <c r="I22" s="323">
        <v>1.7</v>
      </c>
      <c r="J22" s="325" t="s">
        <v>33</v>
      </c>
      <c r="K22" s="323">
        <f t="shared" si="0"/>
        <v>1.7</v>
      </c>
      <c r="L22" s="326" t="s">
        <v>329</v>
      </c>
      <c r="M22" s="363"/>
      <c r="N22" s="328"/>
      <c r="O22" s="331"/>
      <c r="Q22" s="331"/>
    </row>
    <row r="23" spans="1:17" ht="20.149999999999999" customHeight="1" x14ac:dyDescent="0.35">
      <c r="A23" s="329">
        <v>16</v>
      </c>
      <c r="B23" s="321">
        <v>12</v>
      </c>
      <c r="C23" s="330" t="s">
        <v>222</v>
      </c>
      <c r="D23" s="330"/>
      <c r="E23" s="323">
        <f>'[1]road inventory 2018'!C25</f>
        <v>1.6</v>
      </c>
      <c r="F23" s="323">
        <v>0</v>
      </c>
      <c r="G23" s="323">
        <v>0</v>
      </c>
      <c r="H23" s="323">
        <v>0</v>
      </c>
      <c r="I23" s="323">
        <v>1.6</v>
      </c>
      <c r="J23" s="325" t="s">
        <v>33</v>
      </c>
      <c r="K23" s="323">
        <f t="shared" si="0"/>
        <v>1.6</v>
      </c>
      <c r="L23" s="326" t="s">
        <v>331</v>
      </c>
      <c r="M23" s="363"/>
      <c r="N23" s="328"/>
      <c r="O23" s="331"/>
      <c r="Q23" s="331"/>
    </row>
    <row r="24" spans="1:17" ht="20.149999999999999" customHeight="1" x14ac:dyDescent="0.35">
      <c r="A24" s="329">
        <v>17</v>
      </c>
      <c r="B24" s="321">
        <v>220</v>
      </c>
      <c r="C24" s="330" t="s">
        <v>221</v>
      </c>
      <c r="D24" s="330"/>
      <c r="E24" s="323">
        <f>'[1]road inventory 2018'!C26</f>
        <v>2.2999999999999998</v>
      </c>
      <c r="F24" s="323">
        <v>0</v>
      </c>
      <c r="G24" s="323">
        <v>0</v>
      </c>
      <c r="H24" s="323">
        <v>0</v>
      </c>
      <c r="I24" s="323">
        <v>2.2999999999999998</v>
      </c>
      <c r="J24" s="325" t="s">
        <v>33</v>
      </c>
      <c r="K24" s="323">
        <f t="shared" si="0"/>
        <v>2.2999999999999998</v>
      </c>
      <c r="L24" s="326" t="s">
        <v>333</v>
      </c>
      <c r="M24" s="363"/>
      <c r="N24" s="328"/>
      <c r="O24" s="331"/>
      <c r="Q24" s="331"/>
    </row>
    <row r="25" spans="1:17" ht="20.149999999999999" customHeight="1" x14ac:dyDescent="0.35">
      <c r="A25" s="329">
        <v>18</v>
      </c>
      <c r="B25" s="321">
        <v>14</v>
      </c>
      <c r="C25" s="330" t="s">
        <v>215</v>
      </c>
      <c r="D25" s="330"/>
      <c r="E25" s="323">
        <f>'[1]road inventory 2018'!C27</f>
        <v>4</v>
      </c>
      <c r="F25" s="323">
        <v>4</v>
      </c>
      <c r="G25" s="323">
        <v>0</v>
      </c>
      <c r="H25" s="323">
        <v>0</v>
      </c>
      <c r="I25" s="323">
        <v>0</v>
      </c>
      <c r="J25" s="325" t="s">
        <v>12</v>
      </c>
      <c r="K25" s="323">
        <f t="shared" si="0"/>
        <v>4</v>
      </c>
      <c r="L25" s="326" t="s">
        <v>327</v>
      </c>
      <c r="M25" s="363"/>
      <c r="N25" s="328"/>
      <c r="O25" s="331"/>
      <c r="Q25" s="331"/>
    </row>
    <row r="26" spans="1:17" ht="20.149999999999999" customHeight="1" x14ac:dyDescent="0.35">
      <c r="A26" s="329">
        <v>19</v>
      </c>
      <c r="B26" s="321">
        <v>15</v>
      </c>
      <c r="C26" s="330" t="s">
        <v>334</v>
      </c>
      <c r="D26" s="330"/>
      <c r="E26" s="323">
        <v>3.2</v>
      </c>
      <c r="F26" s="323">
        <v>0</v>
      </c>
      <c r="G26" s="323">
        <v>0</v>
      </c>
      <c r="H26" s="323">
        <v>0</v>
      </c>
      <c r="I26" s="323">
        <v>3.2</v>
      </c>
      <c r="J26" s="325" t="s">
        <v>33</v>
      </c>
      <c r="K26" s="323">
        <f t="shared" si="0"/>
        <v>3.2</v>
      </c>
      <c r="L26" s="326" t="s">
        <v>335</v>
      </c>
      <c r="M26" s="336" t="s">
        <v>336</v>
      </c>
      <c r="N26" s="328"/>
      <c r="O26" s="331"/>
      <c r="Q26" s="331"/>
    </row>
    <row r="27" spans="1:17" ht="20.149999999999999" customHeight="1" x14ac:dyDescent="0.35">
      <c r="A27" s="329">
        <v>20</v>
      </c>
      <c r="B27" s="321">
        <v>16</v>
      </c>
      <c r="C27" s="330" t="s">
        <v>25</v>
      </c>
      <c r="D27" s="330"/>
      <c r="E27" s="323">
        <f>'[1]road inventory 2018'!C29</f>
        <v>1</v>
      </c>
      <c r="F27" s="323">
        <v>0</v>
      </c>
      <c r="G27" s="323">
        <v>0</v>
      </c>
      <c r="H27" s="323">
        <v>0</v>
      </c>
      <c r="I27" s="323">
        <v>1</v>
      </c>
      <c r="J27" s="325" t="s">
        <v>12</v>
      </c>
      <c r="K27" s="323">
        <f t="shared" si="0"/>
        <v>1</v>
      </c>
      <c r="L27" s="326" t="s">
        <v>337</v>
      </c>
      <c r="M27" s="363"/>
      <c r="N27" s="328"/>
      <c r="O27" s="331"/>
      <c r="Q27" s="331"/>
    </row>
    <row r="28" spans="1:17" ht="20.149999999999999" customHeight="1" x14ac:dyDescent="0.35">
      <c r="A28" s="329">
        <v>21</v>
      </c>
      <c r="B28" s="321">
        <v>17</v>
      </c>
      <c r="C28" s="330" t="s">
        <v>216</v>
      </c>
      <c r="D28" s="330"/>
      <c r="E28" s="323">
        <f>'[1]road inventory 2018'!C30</f>
        <v>4</v>
      </c>
      <c r="F28" s="323">
        <v>1.4219999999999999</v>
      </c>
      <c r="G28" s="323">
        <v>0</v>
      </c>
      <c r="H28" s="323">
        <v>0</v>
      </c>
      <c r="I28" s="323">
        <v>2.5779999999999998</v>
      </c>
      <c r="J28" s="325" t="s">
        <v>10</v>
      </c>
      <c r="K28" s="323">
        <f t="shared" si="0"/>
        <v>4</v>
      </c>
      <c r="L28" s="326" t="s">
        <v>339</v>
      </c>
      <c r="M28" s="363"/>
      <c r="N28" s="328">
        <v>1.4219999999999999</v>
      </c>
      <c r="O28" s="331"/>
      <c r="Q28" s="331"/>
    </row>
    <row r="29" spans="1:17" ht="20.149999999999999" customHeight="1" x14ac:dyDescent="0.35">
      <c r="A29" s="329">
        <v>22</v>
      </c>
      <c r="B29" s="321">
        <v>18</v>
      </c>
      <c r="C29" s="330" t="s">
        <v>27</v>
      </c>
      <c r="D29" s="330"/>
      <c r="E29" s="323">
        <f>'[1]road inventory 2018'!C31</f>
        <v>10.5</v>
      </c>
      <c r="F29" s="323">
        <v>10.5</v>
      </c>
      <c r="G29" s="323">
        <v>0</v>
      </c>
      <c r="H29" s="323">
        <v>0</v>
      </c>
      <c r="I29" s="323">
        <v>0</v>
      </c>
      <c r="J29" s="325" t="s">
        <v>12</v>
      </c>
      <c r="K29" s="323">
        <f t="shared" si="0"/>
        <v>10.5</v>
      </c>
      <c r="L29" s="326" t="s">
        <v>335</v>
      </c>
      <c r="M29" s="363" t="s">
        <v>749</v>
      </c>
      <c r="N29" s="328">
        <v>2</v>
      </c>
      <c r="O29" s="331"/>
      <c r="Q29" s="331"/>
    </row>
    <row r="30" spans="1:17" ht="20.149999999999999" customHeight="1" x14ac:dyDescent="0.35">
      <c r="A30" s="329">
        <v>23</v>
      </c>
      <c r="B30" s="321">
        <v>221</v>
      </c>
      <c r="C30" s="330" t="s">
        <v>219</v>
      </c>
      <c r="D30" s="330"/>
      <c r="E30" s="323">
        <f>'[1]road inventory 2018'!C32</f>
        <v>5.2</v>
      </c>
      <c r="F30" s="323">
        <v>1.17</v>
      </c>
      <c r="G30" s="323">
        <v>0</v>
      </c>
      <c r="H30" s="323">
        <v>0</v>
      </c>
      <c r="I30" s="323">
        <v>4.03</v>
      </c>
      <c r="J30" s="325" t="s">
        <v>12</v>
      </c>
      <c r="K30" s="323">
        <f t="shared" si="0"/>
        <v>5.2</v>
      </c>
      <c r="L30" s="326" t="s">
        <v>340</v>
      </c>
      <c r="M30" s="363"/>
      <c r="N30" s="328"/>
      <c r="O30" s="331"/>
      <c r="Q30" s="331"/>
    </row>
    <row r="31" spans="1:17" ht="20.149999999999999" customHeight="1" x14ac:dyDescent="0.35">
      <c r="A31" s="329">
        <v>24</v>
      </c>
      <c r="B31" s="321">
        <v>20</v>
      </c>
      <c r="C31" s="330" t="s">
        <v>208</v>
      </c>
      <c r="D31" s="330"/>
      <c r="E31" s="323">
        <f>'[1]road inventory 2018'!C33</f>
        <v>7.6</v>
      </c>
      <c r="F31" s="323">
        <v>1.9</v>
      </c>
      <c r="G31" s="323">
        <v>0</v>
      </c>
      <c r="H31" s="323">
        <v>4.53</v>
      </c>
      <c r="I31" s="323">
        <v>1.17</v>
      </c>
      <c r="J31" s="325" t="s">
        <v>41</v>
      </c>
      <c r="K31" s="323">
        <f t="shared" si="0"/>
        <v>7.6</v>
      </c>
      <c r="L31" s="326"/>
      <c r="M31" s="363"/>
      <c r="N31" s="328"/>
      <c r="O31" s="331"/>
    </row>
    <row r="32" spans="1:17" s="317" customFormat="1" ht="20.149999999999999" customHeight="1" x14ac:dyDescent="0.35">
      <c r="B32" s="373"/>
      <c r="C32" s="374" t="s">
        <v>341</v>
      </c>
      <c r="D32" s="374"/>
      <c r="E32" s="375">
        <f>SUM(E8:E31)</f>
        <v>98.550000000000011</v>
      </c>
      <c r="F32" s="375">
        <f>SUM(F8:F31)</f>
        <v>56.047999999999995</v>
      </c>
      <c r="G32" s="375">
        <f>SUM(G8:G31)</f>
        <v>0</v>
      </c>
      <c r="H32" s="375">
        <f>SUM(H8:H31)</f>
        <v>4.53</v>
      </c>
      <c r="I32" s="375">
        <f>SUM(I8:I31)</f>
        <v>37.972000000000008</v>
      </c>
      <c r="J32" s="376"/>
      <c r="K32" s="375"/>
      <c r="L32" s="372"/>
      <c r="M32" s="453"/>
      <c r="N32" s="377"/>
      <c r="O32" s="320"/>
    </row>
    <row r="33" spans="1:15" ht="20.149999999999999" customHeight="1" x14ac:dyDescent="0.35">
      <c r="B33" s="321"/>
      <c r="C33" s="330"/>
      <c r="D33" s="330"/>
      <c r="E33" s="323"/>
      <c r="F33" s="323"/>
      <c r="G33" s="323"/>
      <c r="H33" s="323"/>
      <c r="I33" s="323"/>
      <c r="J33" s="325"/>
      <c r="K33" s="323"/>
      <c r="L33" s="326"/>
      <c r="M33" s="363"/>
      <c r="N33" s="328"/>
      <c r="O33" s="331"/>
    </row>
    <row r="34" spans="1:15" ht="20.149999999999999" customHeight="1" x14ac:dyDescent="0.35">
      <c r="B34" s="381" t="s">
        <v>455</v>
      </c>
      <c r="C34" s="379"/>
      <c r="D34" s="379"/>
      <c r="E34" s="379"/>
      <c r="F34" s="379"/>
      <c r="G34" s="379"/>
      <c r="H34" s="379"/>
      <c r="I34" s="379"/>
      <c r="J34" s="380"/>
      <c r="K34" s="323"/>
      <c r="L34" s="329"/>
      <c r="M34" s="363"/>
      <c r="N34" s="328"/>
    </row>
    <row r="35" spans="1:15" ht="20.149999999999999" customHeight="1" x14ac:dyDescent="0.35">
      <c r="A35" s="329">
        <v>1</v>
      </c>
      <c r="B35" s="321">
        <v>91</v>
      </c>
      <c r="C35" s="335" t="s">
        <v>62</v>
      </c>
      <c r="D35" s="335"/>
      <c r="E35" s="323">
        <f>'[1]road inventory 2018'!C169</f>
        <v>12.9</v>
      </c>
      <c r="F35" s="323">
        <f>0.04+0.29+0.12+1.23+1+3+1+1.23+0.77+1+0.77+0.86 +0.9</f>
        <v>12.209999999999999</v>
      </c>
      <c r="G35" s="323">
        <v>0</v>
      </c>
      <c r="H35" s="323">
        <v>0</v>
      </c>
      <c r="I35" s="323">
        <f>0.06+0.26+0.36+0.01</f>
        <v>0.69</v>
      </c>
      <c r="J35" s="325" t="s">
        <v>10</v>
      </c>
      <c r="K35" s="323">
        <f>SUM(F35:I35)</f>
        <v>12.899999999999999</v>
      </c>
      <c r="L35" s="326" t="s">
        <v>726</v>
      </c>
      <c r="M35" s="363"/>
      <c r="N35" s="328"/>
    </row>
    <row r="36" spans="1:15" ht="20.149999999999999" customHeight="1" x14ac:dyDescent="0.35">
      <c r="A36" s="329">
        <v>2</v>
      </c>
      <c r="B36" s="321">
        <v>92</v>
      </c>
      <c r="C36" s="335" t="s">
        <v>457</v>
      </c>
      <c r="D36" s="335"/>
      <c r="E36" s="323">
        <f>'[1]road inventory 2018'!C170</f>
        <v>5.6</v>
      </c>
      <c r="F36" s="323">
        <v>5.6</v>
      </c>
      <c r="G36" s="323">
        <v>0</v>
      </c>
      <c r="H36" s="323">
        <v>0</v>
      </c>
      <c r="I36" s="323">
        <v>0</v>
      </c>
      <c r="J36" s="325" t="s">
        <v>12</v>
      </c>
      <c r="K36" s="323">
        <f>SUM(F36:I36)</f>
        <v>5.6</v>
      </c>
      <c r="L36" s="325" t="s">
        <v>727</v>
      </c>
      <c r="M36" s="363"/>
      <c r="N36" s="328"/>
    </row>
    <row r="37" spans="1:15" s="317" customFormat="1" ht="20.149999999999999" customHeight="1" x14ac:dyDescent="0.35">
      <c r="B37" s="373"/>
      <c r="C37" s="374" t="s">
        <v>341</v>
      </c>
      <c r="D37" s="374"/>
      <c r="E37" s="375">
        <f>SUM(E35:E36)</f>
        <v>18.5</v>
      </c>
      <c r="F37" s="375">
        <f>SUM(F35:F36)</f>
        <v>17.809999999999999</v>
      </c>
      <c r="G37" s="375">
        <f>SUM(G35:G36)</f>
        <v>0</v>
      </c>
      <c r="H37" s="375">
        <f>SUM(H35:H36)</f>
        <v>0</v>
      </c>
      <c r="I37" s="375">
        <f>SUM(I35:I36)</f>
        <v>0.69</v>
      </c>
      <c r="J37" s="376"/>
      <c r="K37" s="375"/>
      <c r="L37" s="372"/>
      <c r="M37" s="453"/>
      <c r="N37" s="377"/>
      <c r="O37" s="320"/>
    </row>
    <row r="38" spans="1:15" ht="20.149999999999999" customHeight="1" x14ac:dyDescent="0.35">
      <c r="B38" s="321"/>
      <c r="C38" s="330"/>
      <c r="D38" s="330"/>
      <c r="E38" s="323"/>
      <c r="F38" s="323"/>
      <c r="G38" s="323"/>
      <c r="H38" s="323"/>
      <c r="I38" s="323"/>
      <c r="J38" s="325"/>
      <c r="K38" s="323"/>
      <c r="L38" s="326"/>
      <c r="M38" s="363"/>
      <c r="N38" s="328"/>
      <c r="O38" s="331"/>
    </row>
    <row r="39" spans="1:15" ht="20.149999999999999" customHeight="1" x14ac:dyDescent="0.35">
      <c r="B39" s="389" t="s">
        <v>441</v>
      </c>
      <c r="C39" s="388"/>
      <c r="D39" s="388"/>
      <c r="E39" s="385"/>
      <c r="F39" s="385"/>
      <c r="G39" s="385"/>
      <c r="H39" s="385"/>
      <c r="I39" s="385"/>
      <c r="J39" s="386"/>
      <c r="K39" s="385"/>
      <c r="L39" s="388"/>
      <c r="M39" s="454"/>
      <c r="N39" s="387"/>
    </row>
    <row r="40" spans="1:15" ht="20.149999999999999" customHeight="1" x14ac:dyDescent="0.35">
      <c r="A40" s="329">
        <v>1</v>
      </c>
      <c r="B40" s="321">
        <v>95</v>
      </c>
      <c r="C40" s="335" t="s">
        <v>276</v>
      </c>
      <c r="D40" s="335"/>
      <c r="E40" s="323">
        <f>'[1]road inventory 2018'!C149</f>
        <v>3</v>
      </c>
      <c r="F40" s="323">
        <v>1.02</v>
      </c>
      <c r="G40" s="323">
        <v>0</v>
      </c>
      <c r="H40" s="323">
        <v>0</v>
      </c>
      <c r="I40" s="323">
        <v>1.98</v>
      </c>
      <c r="J40" s="325" t="s">
        <v>33</v>
      </c>
      <c r="K40" s="323">
        <f t="shared" ref="K40:K53" si="1">SUM(F40:I40)</f>
        <v>3</v>
      </c>
      <c r="L40" s="326" t="s">
        <v>442</v>
      </c>
      <c r="M40" s="363"/>
      <c r="N40" s="328"/>
    </row>
    <row r="41" spans="1:15" ht="20.149999999999999" customHeight="1" x14ac:dyDescent="0.35">
      <c r="A41" s="329">
        <v>2</v>
      </c>
      <c r="B41" s="321">
        <v>77</v>
      </c>
      <c r="C41" s="335" t="s">
        <v>271</v>
      </c>
      <c r="D41" s="335"/>
      <c r="E41" s="323">
        <f>'[1]road inventory 2018'!C150</f>
        <v>0.7</v>
      </c>
      <c r="F41" s="323">
        <v>0</v>
      </c>
      <c r="G41" s="323">
        <v>0</v>
      </c>
      <c r="H41" s="323">
        <v>0</v>
      </c>
      <c r="I41" s="323">
        <v>0.7</v>
      </c>
      <c r="J41" s="325" t="s">
        <v>10</v>
      </c>
      <c r="K41" s="323">
        <f t="shared" si="1"/>
        <v>0.7</v>
      </c>
      <c r="L41" s="326" t="s">
        <v>443</v>
      </c>
      <c r="M41" s="363"/>
      <c r="N41" s="328"/>
    </row>
    <row r="42" spans="1:15" ht="20.149999999999999" customHeight="1" x14ac:dyDescent="0.35">
      <c r="A42" s="329">
        <v>3</v>
      </c>
      <c r="B42" s="321">
        <v>94</v>
      </c>
      <c r="C42" s="335" t="s">
        <v>278</v>
      </c>
      <c r="D42" s="335"/>
      <c r="E42" s="323">
        <f>'[1]road inventory 2018'!C151</f>
        <v>0.6</v>
      </c>
      <c r="F42" s="323">
        <v>0</v>
      </c>
      <c r="G42" s="323">
        <v>0</v>
      </c>
      <c r="H42" s="323">
        <v>0</v>
      </c>
      <c r="I42" s="323">
        <v>0.6</v>
      </c>
      <c r="J42" s="325" t="s">
        <v>10</v>
      </c>
      <c r="K42" s="323">
        <f t="shared" si="1"/>
        <v>0.6</v>
      </c>
      <c r="L42" s="326" t="s">
        <v>444</v>
      </c>
      <c r="M42" s="363">
        <f>E40+E41+E42+E45+E48+E49+E50+E51+E52+E53</f>
        <v>34.4</v>
      </c>
      <c r="N42" s="328"/>
    </row>
    <row r="43" spans="1:15" ht="20.149999999999999" customHeight="1" x14ac:dyDescent="0.35">
      <c r="A43" s="329">
        <v>4</v>
      </c>
      <c r="B43" s="937">
        <v>78</v>
      </c>
      <c r="C43" s="936" t="s">
        <v>277</v>
      </c>
      <c r="D43" s="335"/>
      <c r="E43" s="323">
        <f>'[1]road inventory 2018'!C152</f>
        <v>3.8</v>
      </c>
      <c r="F43" s="323">
        <v>0.69</v>
      </c>
      <c r="G43" s="323">
        <v>0</v>
      </c>
      <c r="H43" s="323">
        <v>0</v>
      </c>
      <c r="I43" s="323">
        <v>3.11</v>
      </c>
      <c r="J43" s="325" t="s">
        <v>33</v>
      </c>
      <c r="K43" s="323">
        <f t="shared" si="1"/>
        <v>3.8</v>
      </c>
      <c r="L43" s="326" t="s">
        <v>445</v>
      </c>
      <c r="M43" s="363"/>
      <c r="N43" s="328"/>
    </row>
    <row r="44" spans="1:15" ht="20.149999999999999" customHeight="1" x14ac:dyDescent="0.35">
      <c r="A44" s="329">
        <v>5</v>
      </c>
      <c r="B44" s="937">
        <v>79</v>
      </c>
      <c r="C44" s="936" t="s">
        <v>272</v>
      </c>
      <c r="D44" s="335"/>
      <c r="E44" s="323">
        <f>'[1]road inventory 2018'!C153</f>
        <v>1.9000000000000001</v>
      </c>
      <c r="F44" s="323">
        <v>0.12</v>
      </c>
      <c r="G44" s="323">
        <v>0</v>
      </c>
      <c r="H44" s="323">
        <v>0</v>
      </c>
      <c r="I44" s="323">
        <v>1.78</v>
      </c>
      <c r="J44" s="325" t="s">
        <v>41</v>
      </c>
      <c r="K44" s="323">
        <f t="shared" si="1"/>
        <v>1.9</v>
      </c>
      <c r="L44" s="326" t="s">
        <v>446</v>
      </c>
      <c r="M44" s="363"/>
      <c r="N44" s="328"/>
    </row>
    <row r="45" spans="1:15" ht="20.149999999999999" customHeight="1" x14ac:dyDescent="0.35">
      <c r="A45" s="329">
        <v>6</v>
      </c>
      <c r="B45" s="321">
        <v>80</v>
      </c>
      <c r="C45" s="335" t="s">
        <v>282</v>
      </c>
      <c r="D45" s="335"/>
      <c r="E45" s="323">
        <f>'[1]road inventory 2018'!C154</f>
        <v>15.7</v>
      </c>
      <c r="F45" s="323">
        <f>0.25+0.26+0.19</f>
        <v>0.7</v>
      </c>
      <c r="G45" s="323">
        <v>0</v>
      </c>
      <c r="H45" s="323">
        <v>0</v>
      </c>
      <c r="I45" s="323">
        <v>15</v>
      </c>
      <c r="J45" s="325" t="s">
        <v>41</v>
      </c>
      <c r="K45" s="323">
        <f t="shared" si="1"/>
        <v>15.7</v>
      </c>
      <c r="L45" s="326" t="s">
        <v>447</v>
      </c>
      <c r="M45" s="363"/>
      <c r="N45" s="328"/>
    </row>
    <row r="46" spans="1:15" ht="20.149999999999999" customHeight="1" x14ac:dyDescent="0.35">
      <c r="A46" s="329">
        <v>7</v>
      </c>
      <c r="B46" s="937">
        <v>81</v>
      </c>
      <c r="C46" s="936" t="s">
        <v>279</v>
      </c>
      <c r="D46" s="335"/>
      <c r="E46" s="323">
        <f>'[1]road inventory 2018'!C155</f>
        <v>3.8</v>
      </c>
      <c r="F46" s="323">
        <f>0.2+0.27</f>
        <v>0.47000000000000003</v>
      </c>
      <c r="G46" s="323">
        <v>0</v>
      </c>
      <c r="H46" s="323">
        <v>0</v>
      </c>
      <c r="I46" s="323">
        <v>3.33</v>
      </c>
      <c r="J46" s="325" t="s">
        <v>12</v>
      </c>
      <c r="K46" s="323">
        <f t="shared" si="1"/>
        <v>3.8000000000000003</v>
      </c>
      <c r="L46" s="326" t="s">
        <v>448</v>
      </c>
      <c r="M46" s="363"/>
      <c r="N46" s="328"/>
    </row>
    <row r="47" spans="1:15" ht="20.149999999999999" customHeight="1" x14ac:dyDescent="0.35">
      <c r="A47" s="329">
        <v>8</v>
      </c>
      <c r="B47" s="937">
        <v>82</v>
      </c>
      <c r="C47" s="936" t="s">
        <v>283</v>
      </c>
      <c r="D47" s="335"/>
      <c r="E47" s="323">
        <f>'[1]road inventory 2018'!C156</f>
        <v>5.4</v>
      </c>
      <c r="F47" s="323">
        <f>0.42+0.8</f>
        <v>1.22</v>
      </c>
      <c r="G47" s="323">
        <v>0</v>
      </c>
      <c r="H47" s="323">
        <v>0</v>
      </c>
      <c r="I47" s="323">
        <v>4.18</v>
      </c>
      <c r="J47" s="325" t="s">
        <v>33</v>
      </c>
      <c r="K47" s="323">
        <f t="shared" si="1"/>
        <v>5.3999999999999995</v>
      </c>
      <c r="L47" s="326" t="s">
        <v>449</v>
      </c>
      <c r="M47" s="363"/>
      <c r="N47" s="328"/>
    </row>
    <row r="48" spans="1:15" ht="20.149999999999999" customHeight="1" x14ac:dyDescent="0.35">
      <c r="A48" s="329">
        <v>9</v>
      </c>
      <c r="B48" s="321">
        <v>83</v>
      </c>
      <c r="C48" s="335" t="s">
        <v>58</v>
      </c>
      <c r="D48" s="335"/>
      <c r="E48" s="323">
        <f>'[1]road inventory 2018'!C157</f>
        <v>4.2</v>
      </c>
      <c r="F48" s="323">
        <f>0.12+0.22</f>
        <v>0.33999999999999997</v>
      </c>
      <c r="G48" s="323">
        <v>0</v>
      </c>
      <c r="H48" s="323">
        <v>0</v>
      </c>
      <c r="I48" s="323">
        <v>3.86</v>
      </c>
      <c r="J48" s="325" t="s">
        <v>12</v>
      </c>
      <c r="K48" s="323">
        <f t="shared" si="1"/>
        <v>4.2</v>
      </c>
      <c r="L48" s="326" t="s">
        <v>447</v>
      </c>
      <c r="M48" s="363"/>
      <c r="N48" s="328"/>
    </row>
    <row r="49" spans="1:15" ht="20.149999999999999" customHeight="1" x14ac:dyDescent="0.35">
      <c r="A49" s="329">
        <v>10</v>
      </c>
      <c r="B49" s="321">
        <v>84</v>
      </c>
      <c r="C49" s="335" t="s">
        <v>274</v>
      </c>
      <c r="D49" s="335"/>
      <c r="E49" s="323">
        <f>'[1]road inventory 2018'!C158</f>
        <v>1.2</v>
      </c>
      <c r="F49" s="323">
        <v>0</v>
      </c>
      <c r="G49" s="323">
        <v>0</v>
      </c>
      <c r="H49" s="323">
        <v>0</v>
      </c>
      <c r="I49" s="323">
        <v>1.2</v>
      </c>
      <c r="J49" s="325" t="s">
        <v>41</v>
      </c>
      <c r="K49" s="323">
        <f t="shared" si="1"/>
        <v>1.2</v>
      </c>
      <c r="L49" s="326" t="s">
        <v>450</v>
      </c>
      <c r="M49" s="363"/>
      <c r="N49" s="328"/>
    </row>
    <row r="50" spans="1:15" ht="20.149999999999999" customHeight="1" x14ac:dyDescent="0.35">
      <c r="A50" s="329">
        <v>11</v>
      </c>
      <c r="B50" s="321">
        <v>85</v>
      </c>
      <c r="C50" s="335" t="s">
        <v>281</v>
      </c>
      <c r="D50" s="335"/>
      <c r="E50" s="323">
        <f>'[1]road inventory 2018'!C159</f>
        <v>2.8</v>
      </c>
      <c r="F50" s="323">
        <v>0</v>
      </c>
      <c r="G50" s="323">
        <v>0</v>
      </c>
      <c r="H50" s="323">
        <v>0</v>
      </c>
      <c r="I50" s="323">
        <v>2.8</v>
      </c>
      <c r="J50" s="325" t="s">
        <v>12</v>
      </c>
      <c r="K50" s="323">
        <f t="shared" si="1"/>
        <v>2.8</v>
      </c>
      <c r="L50" s="326" t="s">
        <v>451</v>
      </c>
      <c r="M50" s="363"/>
      <c r="N50" s="328"/>
    </row>
    <row r="51" spans="1:15" ht="20.149999999999999" customHeight="1" x14ac:dyDescent="0.35">
      <c r="A51" s="329">
        <v>12</v>
      </c>
      <c r="B51" s="321">
        <v>86</v>
      </c>
      <c r="C51" s="335" t="s">
        <v>275</v>
      </c>
      <c r="D51" s="335"/>
      <c r="E51" s="323">
        <f>'[1]road inventory 2018'!C160</f>
        <v>2.5</v>
      </c>
      <c r="F51" s="323">
        <v>0</v>
      </c>
      <c r="G51" s="323">
        <v>0</v>
      </c>
      <c r="H51" s="323">
        <v>0</v>
      </c>
      <c r="I51" s="323">
        <f>2.5</f>
        <v>2.5</v>
      </c>
      <c r="J51" s="325" t="s">
        <v>41</v>
      </c>
      <c r="K51" s="323">
        <f t="shared" si="1"/>
        <v>2.5</v>
      </c>
      <c r="L51" s="326" t="s">
        <v>452</v>
      </c>
      <c r="M51" s="363"/>
      <c r="N51" s="328"/>
    </row>
    <row r="52" spans="1:15" ht="20.149999999999999" customHeight="1" x14ac:dyDescent="0.35">
      <c r="A52" s="329">
        <v>13</v>
      </c>
      <c r="B52" s="321">
        <v>87</v>
      </c>
      <c r="C52" s="335" t="s">
        <v>273</v>
      </c>
      <c r="D52" s="335"/>
      <c r="E52" s="323">
        <f>'[1]road inventory 2018'!C161</f>
        <v>0.5</v>
      </c>
      <c r="F52" s="323">
        <v>0</v>
      </c>
      <c r="G52" s="323">
        <v>0</v>
      </c>
      <c r="H52" s="323">
        <v>0</v>
      </c>
      <c r="I52" s="323">
        <v>0.5</v>
      </c>
      <c r="J52" s="325" t="s">
        <v>12</v>
      </c>
      <c r="K52" s="323">
        <f t="shared" si="1"/>
        <v>0.5</v>
      </c>
      <c r="L52" s="326" t="s">
        <v>450</v>
      </c>
      <c r="M52" s="363"/>
      <c r="N52" s="328"/>
    </row>
    <row r="53" spans="1:15" ht="20.149999999999999" customHeight="1" x14ac:dyDescent="0.35">
      <c r="A53" s="329">
        <v>14</v>
      </c>
      <c r="B53" s="321">
        <v>88</v>
      </c>
      <c r="C53" s="335" t="s">
        <v>280</v>
      </c>
      <c r="D53" s="335"/>
      <c r="E53" s="323">
        <f>'[1]road inventory 2018'!C162</f>
        <v>3.2</v>
      </c>
      <c r="F53" s="323">
        <v>0</v>
      </c>
      <c r="G53" s="323">
        <v>0</v>
      </c>
      <c r="H53" s="323">
        <v>0</v>
      </c>
      <c r="I53" s="323">
        <v>3.2</v>
      </c>
      <c r="J53" s="325" t="s">
        <v>41</v>
      </c>
      <c r="K53" s="323">
        <f t="shared" si="1"/>
        <v>3.2</v>
      </c>
      <c r="L53" s="326" t="s">
        <v>454</v>
      </c>
      <c r="M53" s="363"/>
      <c r="N53" s="328"/>
    </row>
    <row r="54" spans="1:15" s="317" customFormat="1" ht="20.149999999999999" customHeight="1" x14ac:dyDescent="0.35">
      <c r="B54" s="373"/>
      <c r="C54" s="374" t="s">
        <v>341</v>
      </c>
      <c r="D54" s="374"/>
      <c r="E54" s="375">
        <f>SUM(E40:E53)</f>
        <v>49.300000000000004</v>
      </c>
      <c r="F54" s="375">
        <f>SUM(F40:F53)</f>
        <v>4.5600000000000005</v>
      </c>
      <c r="G54" s="375">
        <f>SUM(G40:G53)</f>
        <v>0</v>
      </c>
      <c r="H54" s="375">
        <f>SUM(H40:H53)</f>
        <v>0</v>
      </c>
      <c r="I54" s="375">
        <f>SUM(I40:I53)</f>
        <v>44.74</v>
      </c>
      <c r="J54" s="376"/>
      <c r="K54" s="375"/>
      <c r="L54" s="372"/>
      <c r="M54" s="453"/>
      <c r="N54" s="377"/>
      <c r="O54" s="320"/>
    </row>
    <row r="55" spans="1:15" ht="20.149999999999999" customHeight="1" x14ac:dyDescent="0.35">
      <c r="B55" s="389" t="s">
        <v>411</v>
      </c>
      <c r="C55" s="388"/>
      <c r="D55" s="388"/>
      <c r="E55" s="385"/>
      <c r="F55" s="385"/>
      <c r="G55" s="385"/>
      <c r="H55" s="385"/>
      <c r="I55" s="385"/>
      <c r="J55" s="386"/>
      <c r="K55" s="385"/>
      <c r="L55" s="388"/>
      <c r="M55" s="454"/>
      <c r="N55" s="387"/>
    </row>
    <row r="56" spans="1:15" ht="20.149999999999999" customHeight="1" x14ac:dyDescent="0.35">
      <c r="A56" s="329">
        <v>1</v>
      </c>
      <c r="B56" s="321">
        <v>48</v>
      </c>
      <c r="C56" s="335" t="s">
        <v>254</v>
      </c>
      <c r="D56" s="335"/>
      <c r="E56" s="323">
        <f>'[1]road inventory 2018'!C109</f>
        <v>2.1</v>
      </c>
      <c r="F56" s="323">
        <v>0</v>
      </c>
      <c r="G56" s="323">
        <v>0</v>
      </c>
      <c r="H56" s="323">
        <v>0</v>
      </c>
      <c r="I56" s="323">
        <v>2.1</v>
      </c>
      <c r="J56" s="325" t="s">
        <v>33</v>
      </c>
      <c r="K56" s="323">
        <f t="shared" ref="K56:K87" si="2">SUM(F56:I56)</f>
        <v>2.1</v>
      </c>
      <c r="L56" s="326" t="s">
        <v>412</v>
      </c>
      <c r="M56" s="363"/>
      <c r="N56" s="328"/>
    </row>
    <row r="57" spans="1:15" ht="20.149999999999999" customHeight="1" x14ac:dyDescent="0.35">
      <c r="A57" s="329">
        <v>2</v>
      </c>
      <c r="B57" s="321">
        <v>50</v>
      </c>
      <c r="C57" s="335" t="s">
        <v>255</v>
      </c>
      <c r="D57" s="335"/>
      <c r="E57" s="323">
        <f>'[1]road inventory 2018'!C110</f>
        <v>7.6</v>
      </c>
      <c r="F57" s="323">
        <v>2</v>
      </c>
      <c r="G57" s="323">
        <v>0</v>
      </c>
      <c r="H57" s="323">
        <v>0</v>
      </c>
      <c r="I57" s="323">
        <v>5.6</v>
      </c>
      <c r="J57" s="325" t="s">
        <v>12</v>
      </c>
      <c r="K57" s="323">
        <f t="shared" si="2"/>
        <v>7.6</v>
      </c>
      <c r="L57" s="326" t="s">
        <v>413</v>
      </c>
      <c r="M57" s="363"/>
      <c r="N57" s="328"/>
    </row>
    <row r="58" spans="1:15" ht="20.149999999999999" customHeight="1" x14ac:dyDescent="0.35">
      <c r="A58" s="329">
        <v>3</v>
      </c>
      <c r="B58" s="321">
        <v>51</v>
      </c>
      <c r="C58" s="335" t="s">
        <v>248</v>
      </c>
      <c r="D58" s="335"/>
      <c r="E58" s="323">
        <f>'[1]road inventory 2018'!C111</f>
        <v>3</v>
      </c>
      <c r="F58" s="323">
        <v>0</v>
      </c>
      <c r="G58" s="323">
        <v>0</v>
      </c>
      <c r="H58" s="323">
        <v>0</v>
      </c>
      <c r="I58" s="323">
        <v>3</v>
      </c>
      <c r="J58" s="325" t="s">
        <v>33</v>
      </c>
      <c r="K58" s="323">
        <f t="shared" si="2"/>
        <v>3</v>
      </c>
      <c r="L58" s="326" t="s">
        <v>414</v>
      </c>
      <c r="M58" s="363"/>
      <c r="N58" s="328"/>
    </row>
    <row r="59" spans="1:15" ht="20.149999999999999" customHeight="1" x14ac:dyDescent="0.35">
      <c r="A59" s="329">
        <v>4</v>
      </c>
      <c r="B59" s="321">
        <v>52</v>
      </c>
      <c r="C59" s="335" t="s">
        <v>251</v>
      </c>
      <c r="D59" s="335"/>
      <c r="E59" s="323">
        <f>'[1]road inventory 2018'!C112</f>
        <v>6.5</v>
      </c>
      <c r="F59" s="323">
        <v>0</v>
      </c>
      <c r="G59" s="323">
        <v>0</v>
      </c>
      <c r="H59" s="323">
        <v>0</v>
      </c>
      <c r="I59" s="323">
        <v>6.5</v>
      </c>
      <c r="J59" s="325" t="s">
        <v>12</v>
      </c>
      <c r="K59" s="323">
        <f t="shared" si="2"/>
        <v>6.5</v>
      </c>
      <c r="L59" s="326" t="s">
        <v>415</v>
      </c>
      <c r="M59" s="363"/>
      <c r="N59" s="328"/>
    </row>
    <row r="60" spans="1:15" ht="20.149999999999999" customHeight="1" x14ac:dyDescent="0.35">
      <c r="A60" s="329">
        <v>5</v>
      </c>
      <c r="B60" s="321">
        <v>53</v>
      </c>
      <c r="C60" s="335" t="s">
        <v>249</v>
      </c>
      <c r="D60" s="335"/>
      <c r="E60" s="323">
        <f>'[1]road inventory 2018'!C113</f>
        <v>6.4</v>
      </c>
      <c r="F60" s="323">
        <v>5.64</v>
      </c>
      <c r="G60" s="323">
        <v>0</v>
      </c>
      <c r="H60" s="323">
        <v>0</v>
      </c>
      <c r="I60" s="323">
        <v>0.76</v>
      </c>
      <c r="J60" s="325" t="s">
        <v>12</v>
      </c>
      <c r="K60" s="323">
        <f t="shared" si="2"/>
        <v>6.3999999999999995</v>
      </c>
      <c r="L60" s="326" t="s">
        <v>416</v>
      </c>
      <c r="M60" s="363"/>
      <c r="N60" s="328">
        <v>5.64</v>
      </c>
    </row>
    <row r="61" spans="1:15" ht="20.149999999999999" customHeight="1" x14ac:dyDescent="0.35">
      <c r="A61" s="329">
        <v>6</v>
      </c>
      <c r="B61" s="321">
        <v>54</v>
      </c>
      <c r="C61" s="335" t="s">
        <v>252</v>
      </c>
      <c r="D61" s="335"/>
      <c r="E61" s="323">
        <f>'[1]road inventory 2018'!C114</f>
        <v>1.6</v>
      </c>
      <c r="F61" s="323">
        <v>1.18</v>
      </c>
      <c r="G61" s="323">
        <v>0</v>
      </c>
      <c r="H61" s="323">
        <v>0</v>
      </c>
      <c r="I61" s="323">
        <v>0.42</v>
      </c>
      <c r="J61" s="325" t="s">
        <v>10</v>
      </c>
      <c r="K61" s="323">
        <f t="shared" si="2"/>
        <v>1.5999999999999999</v>
      </c>
      <c r="L61" s="326" t="s">
        <v>417</v>
      </c>
      <c r="M61" s="363"/>
      <c r="N61" s="328"/>
    </row>
    <row r="62" spans="1:15" ht="20.149999999999999" customHeight="1" x14ac:dyDescent="0.35">
      <c r="A62" s="329">
        <v>7</v>
      </c>
      <c r="B62" s="321">
        <v>103</v>
      </c>
      <c r="C62" s="335" t="s">
        <v>245</v>
      </c>
      <c r="D62" s="335"/>
      <c r="E62" s="323">
        <f>'[1]road inventory 2018'!C115</f>
        <v>1.2</v>
      </c>
      <c r="F62" s="323">
        <v>0.19</v>
      </c>
      <c r="G62" s="323">
        <v>0</v>
      </c>
      <c r="H62" s="323">
        <v>0</v>
      </c>
      <c r="I62" s="323">
        <v>1.01</v>
      </c>
      <c r="J62" s="325" t="s">
        <v>12</v>
      </c>
      <c r="K62" s="323">
        <f t="shared" si="2"/>
        <v>1.2</v>
      </c>
      <c r="L62" s="326" t="s">
        <v>418</v>
      </c>
      <c r="M62" s="363"/>
      <c r="N62" s="328"/>
    </row>
    <row r="63" spans="1:15" ht="20.149999999999999" customHeight="1" x14ac:dyDescent="0.35">
      <c r="A63" s="329">
        <v>8</v>
      </c>
      <c r="B63" s="321">
        <v>55</v>
      </c>
      <c r="C63" s="335" t="s">
        <v>244</v>
      </c>
      <c r="D63" s="335"/>
      <c r="E63" s="323">
        <f>'[1]road inventory 2018'!C116</f>
        <v>4.0999999999999996</v>
      </c>
      <c r="F63" s="323">
        <v>0</v>
      </c>
      <c r="G63" s="323">
        <v>0</v>
      </c>
      <c r="H63" s="323">
        <v>0</v>
      </c>
      <c r="I63" s="323">
        <v>4.0999999999999996</v>
      </c>
      <c r="J63" s="325" t="s">
        <v>33</v>
      </c>
      <c r="K63" s="323">
        <f t="shared" si="2"/>
        <v>4.0999999999999996</v>
      </c>
      <c r="L63" s="326" t="s">
        <v>419</v>
      </c>
      <c r="M63" s="363"/>
      <c r="N63" s="328"/>
    </row>
    <row r="64" spans="1:15" ht="20.149999999999999" customHeight="1" x14ac:dyDescent="0.35">
      <c r="A64" s="329">
        <v>9</v>
      </c>
      <c r="B64" s="321">
        <v>57</v>
      </c>
      <c r="C64" s="335" t="s">
        <v>268</v>
      </c>
      <c r="D64" s="335"/>
      <c r="E64" s="323">
        <f>'[1]road inventory 2018'!C117</f>
        <v>1.3</v>
      </c>
      <c r="F64" s="323">
        <v>0.3</v>
      </c>
      <c r="G64" s="323">
        <v>0</v>
      </c>
      <c r="H64" s="323">
        <v>0</v>
      </c>
      <c r="I64" s="323">
        <v>1</v>
      </c>
      <c r="J64" s="325" t="s">
        <v>12</v>
      </c>
      <c r="K64" s="323">
        <f t="shared" si="2"/>
        <v>1.3</v>
      </c>
      <c r="L64" s="326" t="s">
        <v>420</v>
      </c>
      <c r="M64" s="363"/>
      <c r="N64" s="328"/>
    </row>
    <row r="65" spans="1:14" ht="20.149999999999999" customHeight="1" x14ac:dyDescent="0.35">
      <c r="A65" s="329">
        <v>10</v>
      </c>
      <c r="B65" s="321">
        <v>58</v>
      </c>
      <c r="C65" s="335" t="s">
        <v>421</v>
      </c>
      <c r="D65" s="335"/>
      <c r="E65" s="323">
        <f>'[1]road inventory 2018'!C118</f>
        <v>0.3</v>
      </c>
      <c r="F65" s="323">
        <v>0</v>
      </c>
      <c r="G65" s="323">
        <v>0</v>
      </c>
      <c r="H65" s="323">
        <v>0</v>
      </c>
      <c r="I65" s="323">
        <v>0.3</v>
      </c>
      <c r="J65" s="325" t="s">
        <v>12</v>
      </c>
      <c r="K65" s="323">
        <f t="shared" si="2"/>
        <v>0.3</v>
      </c>
      <c r="L65" s="326" t="s">
        <v>422</v>
      </c>
      <c r="M65" s="363"/>
      <c r="N65" s="328"/>
    </row>
    <row r="66" spans="1:14" ht="20.149999999999999" customHeight="1" x14ac:dyDescent="0.35">
      <c r="A66" s="329">
        <v>11</v>
      </c>
      <c r="B66" s="321">
        <v>59</v>
      </c>
      <c r="C66" s="335" t="s">
        <v>262</v>
      </c>
      <c r="D66" s="335"/>
      <c r="E66" s="323">
        <f>'[1]road inventory 2018'!C119</f>
        <v>0.8</v>
      </c>
      <c r="F66" s="323">
        <v>0</v>
      </c>
      <c r="G66" s="323">
        <v>0</v>
      </c>
      <c r="H66" s="323">
        <v>0</v>
      </c>
      <c r="I66" s="323">
        <v>0.8</v>
      </c>
      <c r="J66" s="325" t="s">
        <v>12</v>
      </c>
      <c r="K66" s="323">
        <f t="shared" si="2"/>
        <v>0.8</v>
      </c>
      <c r="L66" s="326" t="s">
        <v>422</v>
      </c>
      <c r="M66" s="363"/>
      <c r="N66" s="328"/>
    </row>
    <row r="67" spans="1:14" ht="20.149999999999999" customHeight="1" x14ac:dyDescent="0.35">
      <c r="A67" s="329">
        <v>12</v>
      </c>
      <c r="B67" s="321">
        <v>97</v>
      </c>
      <c r="C67" s="335" t="s">
        <v>51</v>
      </c>
      <c r="D67" s="335"/>
      <c r="E67" s="323">
        <f>'[1]road inventory 2018'!C120</f>
        <v>8.3000000000000007</v>
      </c>
      <c r="F67" s="323">
        <v>8.3000000000000007</v>
      </c>
      <c r="G67" s="323">
        <v>0</v>
      </c>
      <c r="H67" s="323">
        <v>0</v>
      </c>
      <c r="I67" s="323">
        <v>0</v>
      </c>
      <c r="J67" s="325" t="s">
        <v>12</v>
      </c>
      <c r="K67" s="323">
        <f t="shared" si="2"/>
        <v>8.3000000000000007</v>
      </c>
      <c r="L67" s="326" t="s">
        <v>423</v>
      </c>
      <c r="M67" s="363"/>
      <c r="N67" s="328"/>
    </row>
    <row r="68" spans="1:14" ht="20.149999999999999" customHeight="1" x14ac:dyDescent="0.35">
      <c r="A68" s="329">
        <v>13</v>
      </c>
      <c r="B68" s="321">
        <v>56</v>
      </c>
      <c r="C68" s="335" t="s">
        <v>250</v>
      </c>
      <c r="D68" s="335"/>
      <c r="E68" s="323">
        <f>'[1]road inventory 2018'!C121</f>
        <v>5.7</v>
      </c>
      <c r="F68" s="323">
        <f>1.73-0.01</f>
        <v>1.72</v>
      </c>
      <c r="G68" s="323">
        <v>0</v>
      </c>
      <c r="H68" s="323">
        <v>0</v>
      </c>
      <c r="I68" s="323">
        <v>3.98</v>
      </c>
      <c r="J68" s="325" t="s">
        <v>12</v>
      </c>
      <c r="K68" s="323">
        <f t="shared" si="2"/>
        <v>5.7</v>
      </c>
      <c r="L68" s="326" t="s">
        <v>414</v>
      </c>
      <c r="M68" s="363"/>
      <c r="N68" s="328"/>
    </row>
    <row r="69" spans="1:14" ht="20.149999999999999" customHeight="1" x14ac:dyDescent="0.35">
      <c r="A69" s="329">
        <v>14</v>
      </c>
      <c r="B69" s="321">
        <v>60</v>
      </c>
      <c r="C69" s="335" t="s">
        <v>253</v>
      </c>
      <c r="D69" s="335"/>
      <c r="E69" s="323">
        <f>'[1]road inventory 2018'!C122</f>
        <v>9.1999999999999993</v>
      </c>
      <c r="F69" s="323">
        <v>7.1</v>
      </c>
      <c r="G69" s="323">
        <v>0</v>
      </c>
      <c r="H69" s="323">
        <v>0</v>
      </c>
      <c r="I69" s="323">
        <v>2.1</v>
      </c>
      <c r="J69" s="325" t="s">
        <v>10</v>
      </c>
      <c r="K69" s="323">
        <f t="shared" si="2"/>
        <v>9.1999999999999993</v>
      </c>
      <c r="L69" s="326" t="s">
        <v>424</v>
      </c>
      <c r="M69" s="363"/>
      <c r="N69" s="328"/>
    </row>
    <row r="70" spans="1:14" ht="20.149999999999999" customHeight="1" x14ac:dyDescent="0.35">
      <c r="A70" s="329">
        <v>15</v>
      </c>
      <c r="B70" s="321">
        <v>61</v>
      </c>
      <c r="C70" s="335" t="s">
        <v>260</v>
      </c>
      <c r="D70" s="335"/>
      <c r="E70" s="323">
        <f>'[1]road inventory 2018'!C123</f>
        <v>4.5</v>
      </c>
      <c r="F70" s="323">
        <v>1.63</v>
      </c>
      <c r="G70" s="323">
        <v>0</v>
      </c>
      <c r="H70" s="323">
        <v>0</v>
      </c>
      <c r="I70" s="323">
        <f>2.88-0.01</f>
        <v>2.87</v>
      </c>
      <c r="J70" s="325" t="s">
        <v>12</v>
      </c>
      <c r="K70" s="323">
        <f t="shared" si="2"/>
        <v>4.5</v>
      </c>
      <c r="L70" s="326" t="s">
        <v>425</v>
      </c>
      <c r="M70" s="363"/>
      <c r="N70" s="328"/>
    </row>
    <row r="71" spans="1:14" ht="20.149999999999999" customHeight="1" x14ac:dyDescent="0.35">
      <c r="A71" s="329">
        <v>16</v>
      </c>
      <c r="B71" s="321">
        <v>62</v>
      </c>
      <c r="C71" s="335" t="s">
        <v>269</v>
      </c>
      <c r="D71" s="335"/>
      <c r="E71" s="323">
        <f>'[1]road inventory 2018'!C124</f>
        <v>2</v>
      </c>
      <c r="F71" s="323">
        <v>0</v>
      </c>
      <c r="G71" s="323">
        <v>0</v>
      </c>
      <c r="H71" s="323">
        <v>0</v>
      </c>
      <c r="I71" s="323">
        <v>2</v>
      </c>
      <c r="J71" s="325" t="s">
        <v>12</v>
      </c>
      <c r="K71" s="323">
        <f t="shared" si="2"/>
        <v>2</v>
      </c>
      <c r="L71" s="326" t="s">
        <v>426</v>
      </c>
      <c r="M71" s="363"/>
      <c r="N71" s="328"/>
    </row>
    <row r="72" spans="1:14" ht="20.149999999999999" customHeight="1" x14ac:dyDescent="0.35">
      <c r="A72" s="329">
        <v>17</v>
      </c>
      <c r="B72" s="321">
        <v>63</v>
      </c>
      <c r="C72" s="335" t="s">
        <v>265</v>
      </c>
      <c r="D72" s="335"/>
      <c r="E72" s="323">
        <f>'[1]road inventory 2018'!C125</f>
        <v>3</v>
      </c>
      <c r="F72" s="323">
        <v>1.1100000000000001</v>
      </c>
      <c r="G72" s="323">
        <v>0</v>
      </c>
      <c r="H72" s="323">
        <v>0</v>
      </c>
      <c r="I72" s="323">
        <v>1.89</v>
      </c>
      <c r="J72" s="325" t="s">
        <v>12</v>
      </c>
      <c r="K72" s="323">
        <f t="shared" si="2"/>
        <v>3</v>
      </c>
      <c r="L72" s="326" t="s">
        <v>427</v>
      </c>
      <c r="M72" s="363"/>
      <c r="N72" s="328"/>
    </row>
    <row r="73" spans="1:14" ht="20.149999999999999" customHeight="1" x14ac:dyDescent="0.35">
      <c r="A73" s="329">
        <v>18</v>
      </c>
      <c r="B73" s="321">
        <v>98</v>
      </c>
      <c r="C73" s="335" t="s">
        <v>247</v>
      </c>
      <c r="D73" s="335"/>
      <c r="E73" s="323">
        <f>'[1]road inventory 2018'!C126</f>
        <v>5.1000000000000005</v>
      </c>
      <c r="F73" s="323">
        <v>4.9800000000000004</v>
      </c>
      <c r="G73" s="323">
        <v>0</v>
      </c>
      <c r="H73" s="323">
        <v>0</v>
      </c>
      <c r="I73" s="323">
        <v>0.12</v>
      </c>
      <c r="J73" s="325" t="s">
        <v>10</v>
      </c>
      <c r="K73" s="323">
        <f t="shared" si="2"/>
        <v>5.1000000000000005</v>
      </c>
      <c r="L73" s="326" t="s">
        <v>428</v>
      </c>
      <c r="M73" s="363"/>
      <c r="N73" s="328">
        <v>4.9800000000000004</v>
      </c>
    </row>
    <row r="74" spans="1:14" ht="20.149999999999999" customHeight="1" x14ac:dyDescent="0.35">
      <c r="A74" s="329">
        <v>19</v>
      </c>
      <c r="B74" s="321">
        <v>64</v>
      </c>
      <c r="C74" s="335" t="s">
        <v>246</v>
      </c>
      <c r="D74" s="335"/>
      <c r="E74" s="323">
        <f>'[1]road inventory 2018'!C127</f>
        <v>3.6</v>
      </c>
      <c r="F74" s="323">
        <v>3.6</v>
      </c>
      <c r="G74" s="323">
        <v>0</v>
      </c>
      <c r="H74" s="323">
        <v>0</v>
      </c>
      <c r="I74" s="323">
        <v>0</v>
      </c>
      <c r="J74" s="325" t="s">
        <v>10</v>
      </c>
      <c r="K74" s="323">
        <f t="shared" si="2"/>
        <v>3.6</v>
      </c>
      <c r="L74" s="326" t="s">
        <v>429</v>
      </c>
      <c r="M74" s="363"/>
      <c r="N74" s="328"/>
    </row>
    <row r="75" spans="1:14" ht="20.149999999999999" customHeight="1" x14ac:dyDescent="0.35">
      <c r="A75" s="329">
        <v>20</v>
      </c>
      <c r="B75" s="321">
        <v>96</v>
      </c>
      <c r="C75" s="335" t="s">
        <v>270</v>
      </c>
      <c r="D75" s="335"/>
      <c r="E75" s="323">
        <f>'[1]road inventory 2018'!C128</f>
        <v>5.6999999999999993</v>
      </c>
      <c r="F75" s="323">
        <v>2.089</v>
      </c>
      <c r="G75" s="323">
        <v>0</v>
      </c>
      <c r="H75" s="323">
        <v>0</v>
      </c>
      <c r="I75" s="323">
        <v>3.6110000000000002</v>
      </c>
      <c r="J75" s="325" t="s">
        <v>12</v>
      </c>
      <c r="K75" s="323">
        <f t="shared" si="2"/>
        <v>5.7</v>
      </c>
      <c r="L75" s="326" t="s">
        <v>430</v>
      </c>
      <c r="M75" s="363"/>
      <c r="N75" s="328">
        <v>2.089</v>
      </c>
    </row>
    <row r="76" spans="1:14" ht="20.149999999999999" customHeight="1" x14ac:dyDescent="0.35">
      <c r="A76" s="329">
        <v>21</v>
      </c>
      <c r="B76" s="321">
        <v>65</v>
      </c>
      <c r="C76" s="335" t="s">
        <v>261</v>
      </c>
      <c r="D76" s="335"/>
      <c r="E76" s="323">
        <f>'[1]road inventory 2018'!C129</f>
        <v>1.65</v>
      </c>
      <c r="F76" s="323">
        <v>0</v>
      </c>
      <c r="G76" s="323">
        <v>0</v>
      </c>
      <c r="H76" s="323">
        <v>0</v>
      </c>
      <c r="I76" s="323">
        <v>1.65</v>
      </c>
      <c r="J76" s="325" t="s">
        <v>12</v>
      </c>
      <c r="K76" s="323">
        <f t="shared" si="2"/>
        <v>1.65</v>
      </c>
      <c r="L76" s="326" t="s">
        <v>431</v>
      </c>
      <c r="M76" s="363"/>
      <c r="N76" s="328"/>
    </row>
    <row r="77" spans="1:14" ht="20.149999999999999" customHeight="1" x14ac:dyDescent="0.35">
      <c r="A77" s="329">
        <v>22</v>
      </c>
      <c r="B77" s="321">
        <v>66</v>
      </c>
      <c r="C77" s="335" t="s">
        <v>432</v>
      </c>
      <c r="D77" s="335"/>
      <c r="E77" s="323">
        <f>'[1]road inventory 2018'!C130</f>
        <v>3.8000000000000003</v>
      </c>
      <c r="F77" s="323">
        <v>0</v>
      </c>
      <c r="G77" s="323">
        <v>0</v>
      </c>
      <c r="H77" s="323">
        <v>0</v>
      </c>
      <c r="I77" s="323">
        <v>3.8</v>
      </c>
      <c r="J77" s="325" t="s">
        <v>12</v>
      </c>
      <c r="K77" s="323">
        <f t="shared" si="2"/>
        <v>3.8</v>
      </c>
      <c r="L77" s="326" t="s">
        <v>433</v>
      </c>
      <c r="M77" s="363"/>
      <c r="N77" s="328"/>
    </row>
    <row r="78" spans="1:14" ht="20.149999999999999" customHeight="1" x14ac:dyDescent="0.35">
      <c r="A78" s="329">
        <v>23</v>
      </c>
      <c r="B78" s="321">
        <v>67</v>
      </c>
      <c r="C78" s="335" t="s">
        <v>267</v>
      </c>
      <c r="D78" s="335"/>
      <c r="E78" s="323">
        <f>'[1]road inventory 2018'!C131</f>
        <v>1.9</v>
      </c>
      <c r="F78" s="323">
        <v>0.5</v>
      </c>
      <c r="G78" s="323">
        <v>0</v>
      </c>
      <c r="H78" s="323">
        <v>0</v>
      </c>
      <c r="I78" s="323">
        <v>1.4</v>
      </c>
      <c r="J78" s="325" t="s">
        <v>33</v>
      </c>
      <c r="K78" s="323">
        <f t="shared" si="2"/>
        <v>1.9</v>
      </c>
      <c r="L78" s="326" t="s">
        <v>434</v>
      </c>
      <c r="M78" s="363"/>
      <c r="N78" s="328"/>
    </row>
    <row r="79" spans="1:14" ht="20.149999999999999" customHeight="1" x14ac:dyDescent="0.35">
      <c r="A79" s="329">
        <v>24</v>
      </c>
      <c r="B79" s="321">
        <v>68</v>
      </c>
      <c r="C79" s="335" t="s">
        <v>266</v>
      </c>
      <c r="D79" s="335"/>
      <c r="E79" s="323">
        <f>'[1]road inventory 2018'!C132</f>
        <v>1.5999999999999999</v>
      </c>
      <c r="F79" s="323">
        <v>0.25</v>
      </c>
      <c r="G79" s="323">
        <v>0</v>
      </c>
      <c r="H79" s="323">
        <v>0</v>
      </c>
      <c r="I79" s="323">
        <v>1.35</v>
      </c>
      <c r="J79" s="325" t="s">
        <v>33</v>
      </c>
      <c r="K79" s="323">
        <f t="shared" si="2"/>
        <v>1.6</v>
      </c>
      <c r="L79" s="326" t="s">
        <v>434</v>
      </c>
      <c r="M79" s="363"/>
      <c r="N79" s="328"/>
    </row>
    <row r="80" spans="1:14" ht="20.149999999999999" customHeight="1" x14ac:dyDescent="0.35">
      <c r="A80" s="329">
        <v>25</v>
      </c>
      <c r="B80" s="321">
        <v>69</v>
      </c>
      <c r="C80" s="335" t="s">
        <v>264</v>
      </c>
      <c r="D80" s="335"/>
      <c r="E80" s="323">
        <f>'[1]road inventory 2018'!C133</f>
        <v>1.6</v>
      </c>
      <c r="F80" s="323">
        <v>0</v>
      </c>
      <c r="G80" s="323">
        <v>0</v>
      </c>
      <c r="H80" s="323">
        <v>0</v>
      </c>
      <c r="I80" s="323">
        <v>1.6</v>
      </c>
      <c r="J80" s="325" t="s">
        <v>33</v>
      </c>
      <c r="K80" s="323">
        <f t="shared" si="2"/>
        <v>1.6</v>
      </c>
      <c r="L80" s="326" t="s">
        <v>435</v>
      </c>
      <c r="M80" s="363"/>
      <c r="N80" s="328"/>
    </row>
    <row r="81" spans="1:17" ht="20.149999999999999" customHeight="1" x14ac:dyDescent="0.35">
      <c r="A81" s="329">
        <v>26</v>
      </c>
      <c r="B81" s="321">
        <v>70</v>
      </c>
      <c r="C81" s="335" t="s">
        <v>263</v>
      </c>
      <c r="D81" s="335"/>
      <c r="E81" s="323">
        <f>'[1]road inventory 2018'!C136</f>
        <v>2.6</v>
      </c>
      <c r="F81" s="323">
        <v>0</v>
      </c>
      <c r="G81" s="323">
        <v>0</v>
      </c>
      <c r="H81" s="323">
        <v>0</v>
      </c>
      <c r="I81" s="323">
        <v>2.6</v>
      </c>
      <c r="J81" s="325" t="s">
        <v>33</v>
      </c>
      <c r="K81" s="323">
        <f t="shared" si="2"/>
        <v>2.6</v>
      </c>
      <c r="L81" s="326" t="s">
        <v>436</v>
      </c>
      <c r="M81" s="363"/>
      <c r="N81" s="328"/>
    </row>
    <row r="82" spans="1:17" ht="20.149999999999999" customHeight="1" x14ac:dyDescent="0.35">
      <c r="A82" s="329">
        <v>27</v>
      </c>
      <c r="B82" s="321">
        <v>71</v>
      </c>
      <c r="C82" s="335" t="s">
        <v>54</v>
      </c>
      <c r="D82" s="335"/>
      <c r="E82" s="323">
        <f>'[1]road inventory 2018'!C137</f>
        <v>2.7</v>
      </c>
      <c r="F82" s="323">
        <v>0</v>
      </c>
      <c r="G82" s="323">
        <v>0</v>
      </c>
      <c r="H82" s="323">
        <v>0</v>
      </c>
      <c r="I82" s="323">
        <v>2.7</v>
      </c>
      <c r="J82" s="325" t="s">
        <v>12</v>
      </c>
      <c r="K82" s="323">
        <f t="shared" si="2"/>
        <v>2.7</v>
      </c>
      <c r="L82" s="326" t="s">
        <v>437</v>
      </c>
      <c r="M82" s="363"/>
      <c r="N82" s="328"/>
    </row>
    <row r="83" spans="1:17" ht="20.149999999999999" customHeight="1" x14ac:dyDescent="0.35">
      <c r="A83" s="329">
        <v>28</v>
      </c>
      <c r="B83" s="321">
        <v>72</v>
      </c>
      <c r="C83" s="335" t="s">
        <v>56</v>
      </c>
      <c r="D83" s="335"/>
      <c r="E83" s="323">
        <f>'[1]road inventory 2018'!C138</f>
        <v>1.7</v>
      </c>
      <c r="F83" s="323">
        <v>0.83</v>
      </c>
      <c r="G83" s="323">
        <v>0</v>
      </c>
      <c r="H83" s="323">
        <v>0</v>
      </c>
      <c r="I83" s="323">
        <v>0.87</v>
      </c>
      <c r="J83" s="325" t="s">
        <v>12</v>
      </c>
      <c r="K83" s="323">
        <f t="shared" si="2"/>
        <v>1.7</v>
      </c>
      <c r="L83" s="326" t="s">
        <v>438</v>
      </c>
      <c r="M83" s="363"/>
      <c r="N83" s="328"/>
    </row>
    <row r="84" spans="1:17" ht="20.149999999999999" customHeight="1" x14ac:dyDescent="0.35">
      <c r="A84" s="329">
        <v>29</v>
      </c>
      <c r="B84" s="321">
        <v>73</v>
      </c>
      <c r="C84" s="336" t="s">
        <v>258</v>
      </c>
      <c r="D84" s="336"/>
      <c r="E84" s="323">
        <f>'[1]road inventory 2018'!C139</f>
        <v>5.5</v>
      </c>
      <c r="F84" s="323">
        <v>0</v>
      </c>
      <c r="G84" s="323">
        <v>0</v>
      </c>
      <c r="H84" s="323">
        <v>0</v>
      </c>
      <c r="I84" s="323">
        <v>5.5</v>
      </c>
      <c r="J84" s="325" t="s">
        <v>12</v>
      </c>
      <c r="K84" s="323">
        <f t="shared" si="2"/>
        <v>5.5</v>
      </c>
      <c r="L84" s="326" t="s">
        <v>439</v>
      </c>
      <c r="M84" s="363"/>
      <c r="N84" s="328"/>
    </row>
    <row r="85" spans="1:17" ht="20.149999999999999" customHeight="1" x14ac:dyDescent="0.35">
      <c r="A85" s="329">
        <v>30</v>
      </c>
      <c r="B85" s="321">
        <v>74</v>
      </c>
      <c r="C85" s="336" t="s">
        <v>257</v>
      </c>
      <c r="D85" s="336"/>
      <c r="E85" s="323">
        <f>'[1]road inventory 2018'!C140</f>
        <v>0.5</v>
      </c>
      <c r="F85" s="323">
        <v>0</v>
      </c>
      <c r="G85" s="323">
        <v>0</v>
      </c>
      <c r="H85" s="323">
        <v>0</v>
      </c>
      <c r="I85" s="323">
        <v>0.5</v>
      </c>
      <c r="J85" s="325" t="s">
        <v>33</v>
      </c>
      <c r="K85" s="323">
        <f t="shared" si="2"/>
        <v>0.5</v>
      </c>
      <c r="L85" s="326" t="s">
        <v>439</v>
      </c>
      <c r="M85" s="363"/>
      <c r="N85" s="328"/>
    </row>
    <row r="86" spans="1:17" ht="20.149999999999999" customHeight="1" x14ac:dyDescent="0.35">
      <c r="A86" s="329">
        <v>31</v>
      </c>
      <c r="B86" s="321">
        <v>75</v>
      </c>
      <c r="C86" s="336" t="s">
        <v>259</v>
      </c>
      <c r="D86" s="336"/>
      <c r="E86" s="323">
        <f>'[1]road inventory 2018'!C141</f>
        <v>2.1</v>
      </c>
      <c r="F86" s="323">
        <v>0</v>
      </c>
      <c r="G86" s="323">
        <v>0</v>
      </c>
      <c r="H86" s="323">
        <v>0</v>
      </c>
      <c r="I86" s="323">
        <v>2.1</v>
      </c>
      <c r="J86" s="325" t="s">
        <v>33</v>
      </c>
      <c r="K86" s="323">
        <f t="shared" si="2"/>
        <v>2.1</v>
      </c>
      <c r="L86" s="326" t="s">
        <v>440</v>
      </c>
      <c r="M86" s="363"/>
      <c r="N86" s="328"/>
    </row>
    <row r="87" spans="1:17" ht="20.149999999999999" customHeight="1" x14ac:dyDescent="0.35">
      <c r="A87" s="329">
        <v>32</v>
      </c>
      <c r="B87" s="321">
        <v>76</v>
      </c>
      <c r="C87" s="336" t="s">
        <v>256</v>
      </c>
      <c r="D87" s="336"/>
      <c r="E87" s="323">
        <f>'[1]road inventory 2018'!C142</f>
        <v>0.2</v>
      </c>
      <c r="F87" s="323">
        <v>0.2</v>
      </c>
      <c r="G87" s="323">
        <v>0</v>
      </c>
      <c r="H87" s="323">
        <v>0</v>
      </c>
      <c r="I87" s="323">
        <v>0</v>
      </c>
      <c r="J87" s="325" t="s">
        <v>12</v>
      </c>
      <c r="K87" s="323">
        <f t="shared" si="2"/>
        <v>0.2</v>
      </c>
      <c r="L87" s="326" t="s">
        <v>425</v>
      </c>
      <c r="M87" s="363"/>
      <c r="N87" s="328"/>
    </row>
    <row r="88" spans="1:17" s="317" customFormat="1" ht="20.149999999999999" customHeight="1" x14ac:dyDescent="0.35">
      <c r="B88" s="373"/>
      <c r="C88" s="374" t="s">
        <v>341</v>
      </c>
      <c r="D88" s="374"/>
      <c r="E88" s="375">
        <f>SUM(E56:E87)</f>
        <v>107.84999999999998</v>
      </c>
      <c r="F88" s="375">
        <f>SUM(F56:F87)</f>
        <v>41.619</v>
      </c>
      <c r="G88" s="375">
        <f>SUM(G56:G87)</f>
        <v>0</v>
      </c>
      <c r="H88" s="375">
        <f>SUM(H56:H87)</f>
        <v>0</v>
      </c>
      <c r="I88" s="375">
        <f>SUM(I56:I87)</f>
        <v>66.230999999999995</v>
      </c>
      <c r="J88" s="376"/>
      <c r="K88" s="375"/>
      <c r="L88" s="372"/>
      <c r="M88" s="453"/>
      <c r="N88" s="377"/>
      <c r="O88" s="320"/>
    </row>
    <row r="89" spans="1:17" ht="20.149999999999999" customHeight="1" x14ac:dyDescent="0.35">
      <c r="B89" s="321"/>
      <c r="C89" s="330"/>
      <c r="D89" s="330"/>
      <c r="E89" s="323"/>
      <c r="F89" s="323"/>
      <c r="G89" s="323"/>
      <c r="H89" s="323"/>
      <c r="I89" s="323"/>
      <c r="J89" s="325"/>
      <c r="K89" s="323"/>
      <c r="L89" s="326"/>
      <c r="M89" s="363"/>
      <c r="N89" s="328"/>
      <c r="O89" s="331"/>
    </row>
    <row r="90" spans="1:17" s="317" customFormat="1" ht="20.149999999999999" customHeight="1" x14ac:dyDescent="0.35">
      <c r="B90" s="390" t="s">
        <v>342</v>
      </c>
      <c r="C90" s="378"/>
      <c r="D90" s="378"/>
      <c r="E90" s="375"/>
      <c r="F90" s="375"/>
      <c r="G90" s="375"/>
      <c r="H90" s="375"/>
      <c r="I90" s="375"/>
      <c r="J90" s="376"/>
      <c r="K90" s="375"/>
      <c r="L90" s="378"/>
      <c r="M90" s="453"/>
      <c r="N90" s="377"/>
    </row>
    <row r="91" spans="1:17" ht="20.149999999999999" customHeight="1" x14ac:dyDescent="0.35">
      <c r="A91" s="329">
        <v>1</v>
      </c>
      <c r="B91" s="321">
        <v>21</v>
      </c>
      <c r="C91" s="336" t="s">
        <v>241</v>
      </c>
      <c r="D91" s="336"/>
      <c r="E91" s="323">
        <f>'[1]road inventory 2018'!C41</f>
        <v>4.3</v>
      </c>
      <c r="F91" s="323">
        <v>4.3</v>
      </c>
      <c r="G91" s="323">
        <v>0</v>
      </c>
      <c r="H91" s="323">
        <v>0</v>
      </c>
      <c r="I91" s="323">
        <v>0</v>
      </c>
      <c r="J91" s="325" t="s">
        <v>10</v>
      </c>
      <c r="K91" s="323">
        <f t="shared" ref="K91:K117" si="3">SUM(F91:I91)</f>
        <v>4.3</v>
      </c>
      <c r="L91" s="326" t="s">
        <v>345</v>
      </c>
      <c r="M91" s="363"/>
      <c r="N91" s="328">
        <v>4.3</v>
      </c>
      <c r="O91" s="331"/>
      <c r="P91" s="331"/>
      <c r="Q91" s="331"/>
    </row>
    <row r="92" spans="1:17" ht="20.149999999999999" customHeight="1" x14ac:dyDescent="0.35">
      <c r="A92" s="329">
        <v>2</v>
      </c>
      <c r="B92" s="321">
        <v>22</v>
      </c>
      <c r="C92" s="336" t="s">
        <v>225</v>
      </c>
      <c r="D92" s="336"/>
      <c r="E92" s="323">
        <f>'[1]road inventory 2018'!C42</f>
        <v>3.9</v>
      </c>
      <c r="F92" s="323">
        <v>0</v>
      </c>
      <c r="G92" s="323">
        <v>0</v>
      </c>
      <c r="H92" s="323">
        <v>0</v>
      </c>
      <c r="I92" s="323">
        <v>3.9</v>
      </c>
      <c r="J92" s="325" t="s">
        <v>33</v>
      </c>
      <c r="K92" s="323">
        <f t="shared" si="3"/>
        <v>3.9</v>
      </c>
      <c r="L92" s="326" t="s">
        <v>346</v>
      </c>
      <c r="M92" s="363"/>
      <c r="N92" s="328"/>
    </row>
    <row r="93" spans="1:17" ht="20.149999999999999" customHeight="1" x14ac:dyDescent="0.35">
      <c r="A93" s="329">
        <v>3</v>
      </c>
      <c r="B93" s="321">
        <v>23</v>
      </c>
      <c r="C93" s="336" t="s">
        <v>237</v>
      </c>
      <c r="D93" s="336"/>
      <c r="E93" s="323">
        <f>'[1]road inventory 2018'!C43</f>
        <v>4.3</v>
      </c>
      <c r="F93" s="323">
        <v>2.9</v>
      </c>
      <c r="G93" s="323">
        <v>0</v>
      </c>
      <c r="H93" s="323">
        <v>0</v>
      </c>
      <c r="I93" s="323">
        <v>1.4</v>
      </c>
      <c r="J93" s="325" t="s">
        <v>12</v>
      </c>
      <c r="K93" s="323">
        <f t="shared" si="3"/>
        <v>4.3</v>
      </c>
      <c r="L93" s="326" t="s">
        <v>347</v>
      </c>
      <c r="M93" s="363"/>
      <c r="N93" s="328"/>
    </row>
    <row r="94" spans="1:17" ht="20.149999999999999" customHeight="1" x14ac:dyDescent="0.35">
      <c r="A94" s="329">
        <v>4</v>
      </c>
      <c r="B94" s="321">
        <v>24</v>
      </c>
      <c r="C94" s="336" t="s">
        <v>236</v>
      </c>
      <c r="D94" s="336"/>
      <c r="E94" s="323">
        <v>7.9</v>
      </c>
      <c r="F94" s="323">
        <v>7.9</v>
      </c>
      <c r="G94" s="323">
        <v>0</v>
      </c>
      <c r="H94" s="323">
        <v>0</v>
      </c>
      <c r="I94" s="323">
        <v>0</v>
      </c>
      <c r="J94" s="325" t="s">
        <v>12</v>
      </c>
      <c r="K94" s="323">
        <f t="shared" si="3"/>
        <v>7.9</v>
      </c>
      <c r="L94" s="326" t="s">
        <v>347</v>
      </c>
      <c r="M94" s="363"/>
      <c r="N94" s="328"/>
    </row>
    <row r="95" spans="1:17" ht="20.149999999999999" customHeight="1" x14ac:dyDescent="0.35">
      <c r="A95" s="329">
        <v>5</v>
      </c>
      <c r="B95" s="321">
        <v>25</v>
      </c>
      <c r="C95" s="336" t="s">
        <v>30</v>
      </c>
      <c r="D95" s="336"/>
      <c r="E95" s="323">
        <f>'[1]road inventory 2018'!C45</f>
        <v>1.7</v>
      </c>
      <c r="F95" s="323">
        <v>0</v>
      </c>
      <c r="G95" s="323">
        <v>0</v>
      </c>
      <c r="H95" s="323">
        <v>0</v>
      </c>
      <c r="I95" s="323">
        <v>1.7</v>
      </c>
      <c r="J95" s="325" t="s">
        <v>12</v>
      </c>
      <c r="K95" s="323">
        <f t="shared" si="3"/>
        <v>1.7</v>
      </c>
      <c r="L95" s="326" t="s">
        <v>348</v>
      </c>
      <c r="M95" s="363"/>
      <c r="N95" s="328"/>
    </row>
    <row r="96" spans="1:17" ht="20.149999999999999" customHeight="1" x14ac:dyDescent="0.35">
      <c r="A96" s="329">
        <v>6</v>
      </c>
      <c r="B96" s="321">
        <v>26</v>
      </c>
      <c r="C96" s="336" t="s">
        <v>350</v>
      </c>
      <c r="D96" s="336"/>
      <c r="E96" s="323">
        <f>'[1]road inventory 2018'!C46</f>
        <v>5.9</v>
      </c>
      <c r="F96" s="323">
        <v>1.85</v>
      </c>
      <c r="G96" s="323">
        <v>0</v>
      </c>
      <c r="H96" s="323">
        <v>0</v>
      </c>
      <c r="I96" s="323">
        <v>4.05</v>
      </c>
      <c r="J96" s="326" t="s">
        <v>10</v>
      </c>
      <c r="K96" s="323">
        <f t="shared" si="3"/>
        <v>5.9</v>
      </c>
      <c r="L96" s="326" t="s">
        <v>348</v>
      </c>
      <c r="M96" s="363"/>
      <c r="N96" s="328">
        <v>1.85</v>
      </c>
    </row>
    <row r="97" spans="1:14" ht="20.149999999999999" customHeight="1" x14ac:dyDescent="0.35">
      <c r="A97" s="329">
        <v>7</v>
      </c>
      <c r="B97" s="321">
        <v>27</v>
      </c>
      <c r="C97" s="336" t="s">
        <v>224</v>
      </c>
      <c r="D97" s="336"/>
      <c r="E97" s="323">
        <f>'[1]road inventory 2018'!C47</f>
        <v>1.9</v>
      </c>
      <c r="F97" s="323">
        <v>0.28000000000000003</v>
      </c>
      <c r="G97" s="323">
        <v>0</v>
      </c>
      <c r="H97" s="323">
        <v>0</v>
      </c>
      <c r="I97" s="323">
        <v>1.62</v>
      </c>
      <c r="J97" s="325" t="s">
        <v>12</v>
      </c>
      <c r="K97" s="323">
        <f t="shared" si="3"/>
        <v>1.9000000000000001</v>
      </c>
      <c r="L97" s="326" t="s">
        <v>351</v>
      </c>
      <c r="M97" s="363"/>
      <c r="N97" s="328"/>
    </row>
    <row r="98" spans="1:14" ht="20.149999999999999" customHeight="1" x14ac:dyDescent="0.35">
      <c r="A98" s="329">
        <v>8</v>
      </c>
      <c r="B98" s="321">
        <v>28</v>
      </c>
      <c r="C98" s="336" t="s">
        <v>233</v>
      </c>
      <c r="D98" s="336"/>
      <c r="E98" s="323">
        <f>'[1]road inventory 2018'!C48</f>
        <v>5.6</v>
      </c>
      <c r="F98" s="323">
        <v>1.55</v>
      </c>
      <c r="G98" s="323">
        <v>0</v>
      </c>
      <c r="H98" s="323">
        <v>0</v>
      </c>
      <c r="I98" s="323">
        <v>4.05</v>
      </c>
      <c r="J98" s="325" t="s">
        <v>33</v>
      </c>
      <c r="K98" s="323">
        <f t="shared" si="3"/>
        <v>5.6</v>
      </c>
      <c r="L98" s="326" t="s">
        <v>352</v>
      </c>
      <c r="M98" s="363"/>
      <c r="N98" s="328"/>
    </row>
    <row r="99" spans="1:14" ht="20.149999999999999" customHeight="1" x14ac:dyDescent="0.35">
      <c r="A99" s="329">
        <v>9</v>
      </c>
      <c r="B99" s="321">
        <v>29</v>
      </c>
      <c r="C99" s="336" t="s">
        <v>239</v>
      </c>
      <c r="D99" s="336"/>
      <c r="E99" s="323">
        <f>'[1]road inventory 2018'!C49</f>
        <v>0.8</v>
      </c>
      <c r="F99" s="323">
        <v>0.8</v>
      </c>
      <c r="G99" s="323">
        <v>0</v>
      </c>
      <c r="H99" s="323">
        <v>0</v>
      </c>
      <c r="I99" s="323">
        <v>0</v>
      </c>
      <c r="J99" s="325" t="s">
        <v>12</v>
      </c>
      <c r="K99" s="323">
        <f t="shared" si="3"/>
        <v>0.8</v>
      </c>
      <c r="L99" s="326" t="s">
        <v>353</v>
      </c>
      <c r="M99" s="363"/>
      <c r="N99" s="328"/>
    </row>
    <row r="100" spans="1:14" ht="20.149999999999999" customHeight="1" x14ac:dyDescent="0.35">
      <c r="A100" s="329">
        <v>10</v>
      </c>
      <c r="B100" s="321">
        <v>30</v>
      </c>
      <c r="C100" s="336" t="s">
        <v>354</v>
      </c>
      <c r="D100" s="336"/>
      <c r="E100" s="323">
        <f>'[1]road inventory 2018'!C50</f>
        <v>2</v>
      </c>
      <c r="F100" s="323">
        <v>0</v>
      </c>
      <c r="G100" s="323">
        <v>0</v>
      </c>
      <c r="H100" s="323">
        <v>0</v>
      </c>
      <c r="I100" s="323">
        <v>2</v>
      </c>
      <c r="J100" s="325" t="s">
        <v>10</v>
      </c>
      <c r="K100" s="323">
        <f t="shared" si="3"/>
        <v>2</v>
      </c>
      <c r="L100" s="326" t="s">
        <v>355</v>
      </c>
      <c r="M100" s="363"/>
      <c r="N100" s="328" t="s">
        <v>753</v>
      </c>
    </row>
    <row r="101" spans="1:14" ht="20.149999999999999" customHeight="1" x14ac:dyDescent="0.35">
      <c r="A101" s="329">
        <v>11</v>
      </c>
      <c r="B101" s="321">
        <v>106</v>
      </c>
      <c r="C101" s="336" t="s">
        <v>238</v>
      </c>
      <c r="D101" s="336"/>
      <c r="E101" s="323">
        <f>'[1]road inventory 2018'!C51</f>
        <v>3.2</v>
      </c>
      <c r="F101" s="323">
        <v>3.2</v>
      </c>
      <c r="G101" s="323">
        <v>0</v>
      </c>
      <c r="H101" s="323">
        <v>0</v>
      </c>
      <c r="I101" s="323">
        <v>0</v>
      </c>
      <c r="J101" s="325" t="s">
        <v>10</v>
      </c>
      <c r="K101" s="323">
        <f t="shared" si="3"/>
        <v>3.2</v>
      </c>
      <c r="L101" s="326" t="s">
        <v>358</v>
      </c>
      <c r="M101" s="363"/>
      <c r="N101" s="328"/>
    </row>
    <row r="102" spans="1:14" ht="20.149999999999999" customHeight="1" x14ac:dyDescent="0.35">
      <c r="A102" s="329">
        <v>12</v>
      </c>
      <c r="B102" s="321">
        <v>31</v>
      </c>
      <c r="C102" s="336" t="s">
        <v>359</v>
      </c>
      <c r="D102" s="336"/>
      <c r="E102" s="323">
        <f>'[1]road inventory 2018'!C52</f>
        <v>0.8</v>
      </c>
      <c r="F102" s="323">
        <v>0.8</v>
      </c>
      <c r="G102" s="323">
        <v>0</v>
      </c>
      <c r="H102" s="323">
        <v>0</v>
      </c>
      <c r="I102" s="323">
        <v>0</v>
      </c>
      <c r="J102" s="325" t="s">
        <v>12</v>
      </c>
      <c r="K102" s="323">
        <f t="shared" si="3"/>
        <v>0.8</v>
      </c>
      <c r="L102" s="326" t="s">
        <v>360</v>
      </c>
      <c r="M102" s="363"/>
      <c r="N102" s="328"/>
    </row>
    <row r="103" spans="1:14" ht="20.149999999999999" customHeight="1" x14ac:dyDescent="0.35">
      <c r="A103" s="329">
        <v>13</v>
      </c>
      <c r="B103" s="321">
        <v>32</v>
      </c>
      <c r="C103" s="336" t="s">
        <v>232</v>
      </c>
      <c r="D103" s="336"/>
      <c r="E103" s="323">
        <f>'[1]road inventory 2018'!C53</f>
        <v>3</v>
      </c>
      <c r="F103" s="323">
        <v>0</v>
      </c>
      <c r="G103" s="323">
        <v>0</v>
      </c>
      <c r="H103" s="323">
        <v>0</v>
      </c>
      <c r="I103" s="323">
        <v>3</v>
      </c>
      <c r="J103" s="325" t="s">
        <v>41</v>
      </c>
      <c r="K103" s="323">
        <f t="shared" si="3"/>
        <v>3</v>
      </c>
      <c r="L103" s="326" t="s">
        <v>361</v>
      </c>
      <c r="M103" s="363"/>
      <c r="N103" s="328"/>
    </row>
    <row r="104" spans="1:14" ht="20.149999999999999" customHeight="1" x14ac:dyDescent="0.35">
      <c r="A104" s="329">
        <v>14</v>
      </c>
      <c r="B104" s="321">
        <v>33</v>
      </c>
      <c r="C104" s="336" t="s">
        <v>34</v>
      </c>
      <c r="D104" s="336"/>
      <c r="E104" s="323">
        <f>'[1]road inventory 2018'!C54</f>
        <v>2.4</v>
      </c>
      <c r="F104" s="323">
        <v>0</v>
      </c>
      <c r="G104" s="323">
        <v>0</v>
      </c>
      <c r="H104" s="323">
        <v>0</v>
      </c>
      <c r="I104" s="323">
        <v>2.4</v>
      </c>
      <c r="J104" s="326" t="s">
        <v>33</v>
      </c>
      <c r="K104" s="323">
        <f t="shared" si="3"/>
        <v>2.4</v>
      </c>
      <c r="L104" s="326" t="s">
        <v>362</v>
      </c>
      <c r="M104" s="363"/>
      <c r="N104" s="328"/>
    </row>
    <row r="105" spans="1:14" ht="20.149999999999999" customHeight="1" x14ac:dyDescent="0.35">
      <c r="A105" s="329">
        <v>15</v>
      </c>
      <c r="B105" s="321">
        <v>34</v>
      </c>
      <c r="C105" s="336" t="s">
        <v>235</v>
      </c>
      <c r="D105" s="336"/>
      <c r="E105" s="323">
        <f>'[1]road inventory 2018'!C55</f>
        <v>4.2</v>
      </c>
      <c r="F105" s="323">
        <v>0</v>
      </c>
      <c r="G105" s="323">
        <v>0</v>
      </c>
      <c r="H105" s="323">
        <v>0</v>
      </c>
      <c r="I105" s="323">
        <v>4.2</v>
      </c>
      <c r="J105" s="325" t="s">
        <v>41</v>
      </c>
      <c r="K105" s="323">
        <f t="shared" si="3"/>
        <v>4.2</v>
      </c>
      <c r="L105" s="326" t="s">
        <v>363</v>
      </c>
      <c r="M105" s="363"/>
      <c r="N105" s="328"/>
    </row>
    <row r="106" spans="1:14" ht="20.149999999999999" customHeight="1" x14ac:dyDescent="0.35">
      <c r="A106" s="329">
        <v>16</v>
      </c>
      <c r="B106" s="321">
        <v>35</v>
      </c>
      <c r="C106" s="336" t="s">
        <v>364</v>
      </c>
      <c r="D106" s="336"/>
      <c r="E106" s="323">
        <f>'[1]road inventory 2018'!C56</f>
        <v>3</v>
      </c>
      <c r="F106" s="323">
        <f>0.4+0.31+0.1</f>
        <v>0.80999999999999994</v>
      </c>
      <c r="G106" s="323">
        <v>0</v>
      </c>
      <c r="H106" s="323">
        <v>0</v>
      </c>
      <c r="I106" s="323">
        <v>2.19</v>
      </c>
      <c r="J106" s="325" t="s">
        <v>12</v>
      </c>
      <c r="K106" s="323">
        <f t="shared" si="3"/>
        <v>3</v>
      </c>
      <c r="L106" s="326" t="s">
        <v>365</v>
      </c>
      <c r="M106" s="363"/>
      <c r="N106" s="328"/>
    </row>
    <row r="107" spans="1:14" ht="20.149999999999999" customHeight="1" x14ac:dyDescent="0.35">
      <c r="A107" s="329">
        <v>17</v>
      </c>
      <c r="B107" s="321">
        <v>36</v>
      </c>
      <c r="C107" s="336" t="s">
        <v>366</v>
      </c>
      <c r="D107" s="336"/>
      <c r="E107" s="323">
        <f>'[1]road inventory 2018'!C57</f>
        <v>6.2</v>
      </c>
      <c r="F107" s="323">
        <v>0</v>
      </c>
      <c r="G107" s="323">
        <v>0</v>
      </c>
      <c r="H107" s="323">
        <v>0</v>
      </c>
      <c r="I107" s="323">
        <v>6.2</v>
      </c>
      <c r="J107" s="325" t="s">
        <v>12</v>
      </c>
      <c r="K107" s="323">
        <f t="shared" si="3"/>
        <v>6.2</v>
      </c>
      <c r="L107" s="326" t="s">
        <v>367</v>
      </c>
      <c r="M107" s="363"/>
      <c r="N107" s="328"/>
    </row>
    <row r="108" spans="1:14" ht="20.149999999999999" customHeight="1" x14ac:dyDescent="0.35">
      <c r="A108" s="329">
        <v>18</v>
      </c>
      <c r="B108" s="321">
        <v>37</v>
      </c>
      <c r="C108" s="336" t="s">
        <v>234</v>
      </c>
      <c r="D108" s="336"/>
      <c r="E108" s="323">
        <f>'[1]road inventory 2018'!C58</f>
        <v>1.6</v>
      </c>
      <c r="F108" s="323">
        <v>0</v>
      </c>
      <c r="G108" s="323">
        <v>0</v>
      </c>
      <c r="H108" s="323">
        <v>0</v>
      </c>
      <c r="I108" s="323">
        <v>1.6</v>
      </c>
      <c r="J108" s="325" t="s">
        <v>41</v>
      </c>
      <c r="K108" s="323">
        <f t="shared" si="3"/>
        <v>1.6</v>
      </c>
      <c r="L108" s="326" t="s">
        <v>368</v>
      </c>
      <c r="M108" s="363"/>
      <c r="N108" s="328"/>
    </row>
    <row r="109" spans="1:14" ht="20.149999999999999" customHeight="1" x14ac:dyDescent="0.35">
      <c r="A109" s="329">
        <v>19</v>
      </c>
      <c r="B109" s="321">
        <v>38</v>
      </c>
      <c r="C109" s="336" t="s">
        <v>36</v>
      </c>
      <c r="D109" s="336"/>
      <c r="E109" s="323">
        <f>'[1]road inventory 2018'!C59</f>
        <v>4.4000000000000004</v>
      </c>
      <c r="F109" s="323">
        <v>1.58</v>
      </c>
      <c r="G109" s="323">
        <v>0</v>
      </c>
      <c r="H109" s="323">
        <v>0</v>
      </c>
      <c r="I109" s="323">
        <v>2.82</v>
      </c>
      <c r="J109" s="325" t="s">
        <v>12</v>
      </c>
      <c r="K109" s="323">
        <f t="shared" si="3"/>
        <v>4.4000000000000004</v>
      </c>
      <c r="L109" s="326" t="s">
        <v>369</v>
      </c>
      <c r="M109" s="363"/>
      <c r="N109" s="328">
        <v>1.58</v>
      </c>
    </row>
    <row r="110" spans="1:14" ht="20.149999999999999" customHeight="1" x14ac:dyDescent="0.35">
      <c r="A110" s="329">
        <v>20</v>
      </c>
      <c r="B110" s="321">
        <v>39</v>
      </c>
      <c r="C110" s="336" t="s">
        <v>370</v>
      </c>
      <c r="D110" s="336"/>
      <c r="E110" s="323">
        <f>'[1]road inventory 2018'!C60</f>
        <v>4.9000000000000004</v>
      </c>
      <c r="F110" s="323">
        <v>0.14000000000000001</v>
      </c>
      <c r="G110" s="323">
        <v>0</v>
      </c>
      <c r="H110" s="323">
        <v>0</v>
      </c>
      <c r="I110" s="323">
        <v>4.76</v>
      </c>
      <c r="J110" s="325" t="s">
        <v>12</v>
      </c>
      <c r="K110" s="323">
        <f t="shared" si="3"/>
        <v>4.8999999999999995</v>
      </c>
      <c r="L110" s="326" t="s">
        <v>371</v>
      </c>
      <c r="M110" s="363"/>
      <c r="N110" s="328"/>
    </row>
    <row r="111" spans="1:14" ht="20.149999999999999" customHeight="1" x14ac:dyDescent="0.35">
      <c r="A111" s="329">
        <v>21</v>
      </c>
      <c r="B111" s="321">
        <v>105</v>
      </c>
      <c r="C111" s="336" t="s">
        <v>228</v>
      </c>
      <c r="D111" s="336"/>
      <c r="E111" s="323">
        <f>'[1]road inventory 2018'!C61</f>
        <v>3.6</v>
      </c>
      <c r="F111" s="323">
        <v>0</v>
      </c>
      <c r="G111" s="323">
        <v>0</v>
      </c>
      <c r="H111" s="323">
        <v>0</v>
      </c>
      <c r="I111" s="323">
        <v>3.6</v>
      </c>
      <c r="J111" s="325" t="s">
        <v>12</v>
      </c>
      <c r="K111" s="323">
        <f t="shared" si="3"/>
        <v>3.6</v>
      </c>
      <c r="L111" s="326" t="s">
        <v>372</v>
      </c>
      <c r="M111" s="363"/>
      <c r="N111" s="328"/>
    </row>
    <row r="112" spans="1:14" ht="20.149999999999999" customHeight="1" x14ac:dyDescent="0.35">
      <c r="A112" s="329">
        <v>22</v>
      </c>
      <c r="B112" s="321">
        <v>40</v>
      </c>
      <c r="C112" s="336" t="s">
        <v>231</v>
      </c>
      <c r="D112" s="336"/>
      <c r="E112" s="323">
        <f>'[1]road inventory 2018'!C62</f>
        <v>1.5</v>
      </c>
      <c r="F112" s="323">
        <v>1.1000000000000001</v>
      </c>
      <c r="G112" s="323">
        <v>0</v>
      </c>
      <c r="H112" s="323">
        <v>0</v>
      </c>
      <c r="I112" s="323">
        <v>0.4</v>
      </c>
      <c r="J112" s="325" t="s">
        <v>10</v>
      </c>
      <c r="K112" s="323">
        <f t="shared" si="3"/>
        <v>1.5</v>
      </c>
      <c r="L112" s="326" t="s">
        <v>373</v>
      </c>
      <c r="M112" s="363"/>
      <c r="N112" s="328"/>
    </row>
    <row r="113" spans="1:17" ht="20.149999999999999" customHeight="1" x14ac:dyDescent="0.35">
      <c r="A113" s="329">
        <v>23</v>
      </c>
      <c r="B113" s="321">
        <v>41</v>
      </c>
      <c r="C113" s="336" t="s">
        <v>230</v>
      </c>
      <c r="D113" s="336"/>
      <c r="E113" s="323">
        <f>'[1]road inventory 2018'!C63</f>
        <v>2.8</v>
      </c>
      <c r="F113" s="323">
        <v>0</v>
      </c>
      <c r="G113" s="323">
        <v>0</v>
      </c>
      <c r="H113" s="323">
        <v>0</v>
      </c>
      <c r="I113" s="323">
        <v>2.8</v>
      </c>
      <c r="J113" s="325" t="s">
        <v>12</v>
      </c>
      <c r="K113" s="323">
        <f t="shared" si="3"/>
        <v>2.8</v>
      </c>
      <c r="L113" s="326" t="s">
        <v>374</v>
      </c>
      <c r="M113" s="363"/>
      <c r="N113" s="328"/>
    </row>
    <row r="114" spans="1:17" ht="20.149999999999999" customHeight="1" x14ac:dyDescent="0.35">
      <c r="A114" s="329">
        <v>24</v>
      </c>
      <c r="B114" s="321">
        <v>42</v>
      </c>
      <c r="C114" s="336" t="s">
        <v>227</v>
      </c>
      <c r="D114" s="336"/>
      <c r="E114" s="323">
        <f>'[1]road inventory 2018'!C64</f>
        <v>1.5</v>
      </c>
      <c r="F114" s="323">
        <v>0.17</v>
      </c>
      <c r="G114" s="323">
        <v>0</v>
      </c>
      <c r="H114" s="323">
        <v>0</v>
      </c>
      <c r="I114" s="323">
        <v>1.33</v>
      </c>
      <c r="J114" s="325" t="s">
        <v>33</v>
      </c>
      <c r="K114" s="323">
        <f t="shared" si="3"/>
        <v>1.5</v>
      </c>
      <c r="L114" s="326" t="s">
        <v>375</v>
      </c>
      <c r="M114" s="363"/>
      <c r="N114" s="328"/>
    </row>
    <row r="115" spans="1:17" ht="20.149999999999999" customHeight="1" x14ac:dyDescent="0.35">
      <c r="A115" s="329">
        <v>25</v>
      </c>
      <c r="B115" s="321">
        <v>43</v>
      </c>
      <c r="C115" s="336" t="s">
        <v>226</v>
      </c>
      <c r="D115" s="336"/>
      <c r="E115" s="323">
        <f>'[1]road inventory 2018'!C65</f>
        <v>12.7</v>
      </c>
      <c r="F115" s="323">
        <v>0.16</v>
      </c>
      <c r="G115" s="323">
        <v>0</v>
      </c>
      <c r="H115" s="323">
        <v>0</v>
      </c>
      <c r="I115" s="323">
        <v>12.54</v>
      </c>
      <c r="J115" s="325" t="s">
        <v>41</v>
      </c>
      <c r="K115" s="323">
        <f t="shared" si="3"/>
        <v>12.7</v>
      </c>
      <c r="L115" s="326" t="s">
        <v>376</v>
      </c>
      <c r="M115" s="363"/>
      <c r="N115" s="328"/>
      <c r="Q115" s="331"/>
    </row>
    <row r="116" spans="1:17" ht="20.149999999999999" customHeight="1" x14ac:dyDescent="0.35">
      <c r="A116" s="329">
        <v>26</v>
      </c>
      <c r="B116" s="321">
        <v>44</v>
      </c>
      <c r="C116" s="336" t="s">
        <v>752</v>
      </c>
      <c r="D116" s="336"/>
      <c r="E116" s="323">
        <f>'[1]road inventory 2018'!C66</f>
        <v>5.3</v>
      </c>
      <c r="F116" s="323">
        <v>1.5</v>
      </c>
      <c r="G116" s="323">
        <v>0</v>
      </c>
      <c r="H116" s="323">
        <v>0</v>
      </c>
      <c r="I116" s="323">
        <v>3.8</v>
      </c>
      <c r="J116" s="325" t="s">
        <v>33</v>
      </c>
      <c r="K116" s="323">
        <f t="shared" si="3"/>
        <v>5.3</v>
      </c>
      <c r="L116" s="326" t="s">
        <v>378</v>
      </c>
      <c r="M116" s="350" t="s">
        <v>751</v>
      </c>
      <c r="N116" s="328">
        <v>1.5</v>
      </c>
    </row>
    <row r="117" spans="1:17" ht="20.149999999999999" customHeight="1" x14ac:dyDescent="0.35">
      <c r="A117" s="329">
        <v>27</v>
      </c>
      <c r="B117" s="321">
        <v>104</v>
      </c>
      <c r="C117" s="336" t="s">
        <v>240</v>
      </c>
      <c r="D117" s="336"/>
      <c r="E117" s="323">
        <f>'[1]road inventory 2018'!C67</f>
        <v>3.1</v>
      </c>
      <c r="F117" s="323">
        <v>0</v>
      </c>
      <c r="G117" s="323">
        <v>0</v>
      </c>
      <c r="H117" s="323">
        <v>0</v>
      </c>
      <c r="I117" s="323">
        <v>3.1</v>
      </c>
      <c r="J117" s="325" t="s">
        <v>12</v>
      </c>
      <c r="K117" s="323">
        <f t="shared" si="3"/>
        <v>3.1</v>
      </c>
      <c r="L117" s="326" t="s">
        <v>379</v>
      </c>
      <c r="M117" s="363"/>
      <c r="N117" s="328"/>
    </row>
    <row r="118" spans="1:17" s="317" customFormat="1" ht="20.149999999999999" customHeight="1" x14ac:dyDescent="0.35">
      <c r="B118" s="373"/>
      <c r="C118" s="374" t="s">
        <v>341</v>
      </c>
      <c r="D118" s="374"/>
      <c r="E118" s="375">
        <f>SUM(E91:E117)</f>
        <v>102.5</v>
      </c>
      <c r="F118" s="375">
        <f>SUM(F91:F117)</f>
        <v>29.040000000000003</v>
      </c>
      <c r="G118" s="375">
        <f>SUM(G91:G117)</f>
        <v>0</v>
      </c>
      <c r="H118" s="375">
        <f>SUM(H91:H117)</f>
        <v>0</v>
      </c>
      <c r="I118" s="375">
        <f>SUM(I91:I117)</f>
        <v>73.459999999999994</v>
      </c>
      <c r="J118" s="376"/>
      <c r="K118" s="375"/>
      <c r="L118" s="372"/>
      <c r="M118" s="453"/>
      <c r="N118" s="377"/>
      <c r="O118" s="320"/>
    </row>
    <row r="119" spans="1:17" ht="20.149999999999999" customHeight="1" x14ac:dyDescent="0.35">
      <c r="B119" s="321"/>
      <c r="C119" s="330"/>
      <c r="D119" s="330"/>
      <c r="E119" s="323"/>
      <c r="F119" s="323"/>
      <c r="G119" s="323"/>
      <c r="H119" s="323"/>
      <c r="I119" s="323"/>
      <c r="J119" s="325"/>
      <c r="K119" s="323"/>
      <c r="L119" s="326"/>
      <c r="M119" s="363"/>
      <c r="N119" s="328"/>
      <c r="O119" s="331"/>
    </row>
    <row r="120" spans="1:17" s="317" customFormat="1" ht="20.149999999999999" customHeight="1" x14ac:dyDescent="0.35">
      <c r="B120" s="390" t="s">
        <v>380</v>
      </c>
      <c r="C120" s="378"/>
      <c r="D120" s="378"/>
      <c r="E120" s="375"/>
      <c r="F120" s="375"/>
      <c r="G120" s="375"/>
      <c r="H120" s="375"/>
      <c r="I120" s="375"/>
      <c r="J120" s="376"/>
      <c r="K120" s="375"/>
      <c r="L120" s="378"/>
      <c r="M120" s="453"/>
      <c r="N120" s="377"/>
    </row>
    <row r="121" spans="1:17" ht="20.149999999999999" customHeight="1" x14ac:dyDescent="0.35">
      <c r="A121" s="329">
        <v>1</v>
      </c>
      <c r="B121" s="321">
        <v>107</v>
      </c>
      <c r="C121" s="336" t="s">
        <v>381</v>
      </c>
      <c r="D121" s="336"/>
      <c r="E121" s="323">
        <f>'[1]road inventory 2018'!C73</f>
        <v>2.5</v>
      </c>
      <c r="F121" s="337">
        <f>1.01+1.03</f>
        <v>2.04</v>
      </c>
      <c r="G121" s="337">
        <v>0</v>
      </c>
      <c r="H121" s="337">
        <v>0</v>
      </c>
      <c r="I121" s="323">
        <v>0.46</v>
      </c>
      <c r="J121" s="325" t="s">
        <v>33</v>
      </c>
      <c r="K121" s="323">
        <f t="shared" ref="K121:K127" si="4">SUM(F121:I121)</f>
        <v>2.5</v>
      </c>
      <c r="L121" s="326" t="s">
        <v>382</v>
      </c>
      <c r="M121" s="363"/>
      <c r="N121" s="328"/>
    </row>
    <row r="122" spans="1:17" ht="20.149999999999999" customHeight="1" x14ac:dyDescent="0.35">
      <c r="A122" s="329">
        <v>2</v>
      </c>
      <c r="B122" s="321">
        <v>102</v>
      </c>
      <c r="C122" s="336" t="s">
        <v>242</v>
      </c>
      <c r="D122" s="336"/>
      <c r="E122" s="323">
        <f>'[1]road inventory 2018'!C74</f>
        <v>1.3</v>
      </c>
      <c r="F122" s="337">
        <v>0.27</v>
      </c>
      <c r="G122" s="337">
        <v>0</v>
      </c>
      <c r="H122" s="337">
        <v>0</v>
      </c>
      <c r="I122" s="323">
        <v>1.03</v>
      </c>
      <c r="J122" s="325" t="s">
        <v>33</v>
      </c>
      <c r="K122" s="323">
        <f t="shared" si="4"/>
        <v>1.3</v>
      </c>
      <c r="L122" s="326" t="s">
        <v>383</v>
      </c>
      <c r="M122" s="363"/>
      <c r="N122" s="328"/>
    </row>
    <row r="123" spans="1:17" ht="20.149999999999999" customHeight="1" x14ac:dyDescent="0.35">
      <c r="A123" s="329">
        <v>3</v>
      </c>
      <c r="B123" s="321">
        <v>101</v>
      </c>
      <c r="C123" s="336" t="s">
        <v>384</v>
      </c>
      <c r="D123" s="336"/>
      <c r="E123" s="323">
        <v>0.6</v>
      </c>
      <c r="F123" s="337">
        <v>0</v>
      </c>
      <c r="G123" s="337">
        <v>0</v>
      </c>
      <c r="H123" s="337">
        <v>0</v>
      </c>
      <c r="I123" s="323">
        <v>0.6</v>
      </c>
      <c r="J123" s="325" t="s">
        <v>33</v>
      </c>
      <c r="K123" s="323">
        <f t="shared" si="4"/>
        <v>0.6</v>
      </c>
      <c r="L123" s="326"/>
      <c r="M123" s="363"/>
      <c r="N123" s="328"/>
    </row>
    <row r="124" spans="1:17" ht="20.149999999999999" customHeight="1" x14ac:dyDescent="0.35">
      <c r="A124" s="329">
        <v>4</v>
      </c>
      <c r="B124" s="321">
        <v>47</v>
      </c>
      <c r="C124" s="336" t="s">
        <v>38</v>
      </c>
      <c r="D124" s="336"/>
      <c r="E124" s="323">
        <f>'[1]road inventory 2018'!C76</f>
        <v>17</v>
      </c>
      <c r="F124" s="323">
        <f>1.03+0.2+0.08</f>
        <v>1.31</v>
      </c>
      <c r="G124" s="337">
        <v>0</v>
      </c>
      <c r="H124" s="337">
        <v>0</v>
      </c>
      <c r="I124" s="323">
        <v>15.69</v>
      </c>
      <c r="J124" s="325" t="s">
        <v>41</v>
      </c>
      <c r="K124" s="323">
        <f t="shared" si="4"/>
        <v>17</v>
      </c>
      <c r="L124" s="326" t="s">
        <v>387</v>
      </c>
      <c r="M124" s="363"/>
      <c r="N124" s="328"/>
    </row>
    <row r="125" spans="1:17" ht="20.149999999999999" customHeight="1" x14ac:dyDescent="0.35">
      <c r="A125" s="329">
        <v>5</v>
      </c>
      <c r="B125" s="321">
        <v>48</v>
      </c>
      <c r="C125" s="336" t="s">
        <v>388</v>
      </c>
      <c r="D125" s="336"/>
      <c r="E125" s="323">
        <f>'[1]road inventory 2018'!C77</f>
        <v>2.6</v>
      </c>
      <c r="F125" s="337">
        <v>0</v>
      </c>
      <c r="G125" s="337">
        <v>0</v>
      </c>
      <c r="H125" s="337">
        <v>0</v>
      </c>
      <c r="I125" s="323">
        <v>2.6</v>
      </c>
      <c r="J125" s="325" t="s">
        <v>33</v>
      </c>
      <c r="K125" s="323">
        <f t="shared" si="4"/>
        <v>2.6</v>
      </c>
      <c r="L125" s="326" t="s">
        <v>389</v>
      </c>
      <c r="M125" s="363"/>
      <c r="N125" s="328"/>
    </row>
    <row r="126" spans="1:17" ht="20.149999999999999" customHeight="1" x14ac:dyDescent="0.35">
      <c r="A126" s="329">
        <v>6</v>
      </c>
      <c r="B126" s="321">
        <v>90</v>
      </c>
      <c r="C126" s="336" t="s">
        <v>390</v>
      </c>
      <c r="D126" s="336"/>
      <c r="E126" s="323">
        <f>'[1]road inventory 2018'!C78</f>
        <v>4.3499999999999996</v>
      </c>
      <c r="F126" s="337">
        <v>0</v>
      </c>
      <c r="G126" s="337">
        <v>0</v>
      </c>
      <c r="H126" s="337">
        <v>0</v>
      </c>
      <c r="I126" s="323">
        <v>4.3499999999999996</v>
      </c>
      <c r="J126" s="325" t="s">
        <v>33</v>
      </c>
      <c r="K126" s="323">
        <f t="shared" si="4"/>
        <v>4.3499999999999996</v>
      </c>
      <c r="L126" s="326" t="s">
        <v>391</v>
      </c>
      <c r="M126" s="363"/>
      <c r="N126" s="328"/>
    </row>
    <row r="127" spans="1:17" ht="20.149999999999999" customHeight="1" x14ac:dyDescent="0.35">
      <c r="A127" s="329">
        <v>7</v>
      </c>
      <c r="B127" s="321">
        <v>99</v>
      </c>
      <c r="C127" s="336" t="s">
        <v>392</v>
      </c>
      <c r="D127" s="336"/>
      <c r="E127" s="323">
        <f>'[1]road inventory 2018'!C79</f>
        <v>14.1</v>
      </c>
      <c r="F127" s="323">
        <f>1.1+1</f>
        <v>2.1</v>
      </c>
      <c r="G127" s="323">
        <v>0</v>
      </c>
      <c r="H127" s="323">
        <v>0</v>
      </c>
      <c r="I127" s="323">
        <f>1.08+1.01+1.08+1+1.01+1.1+1.07+0.94+1.02+1.05+1.04+0.64-0.04</f>
        <v>12</v>
      </c>
      <c r="J127" s="325" t="s">
        <v>33</v>
      </c>
      <c r="K127" s="323">
        <f t="shared" si="4"/>
        <v>14.1</v>
      </c>
      <c r="L127" s="326" t="s">
        <v>393</v>
      </c>
      <c r="M127" s="363"/>
      <c r="N127" s="328">
        <v>2.1</v>
      </c>
    </row>
    <row r="128" spans="1:17" s="317" customFormat="1" ht="20.149999999999999" customHeight="1" x14ac:dyDescent="0.35">
      <c r="B128" s="373"/>
      <c r="C128" s="374" t="s">
        <v>341</v>
      </c>
      <c r="D128" s="374"/>
      <c r="E128" s="375">
        <f>SUM(E121:E127)</f>
        <v>42.45</v>
      </c>
      <c r="F128" s="375">
        <f>SUM(F121:F127)</f>
        <v>5.7200000000000006</v>
      </c>
      <c r="G128" s="375">
        <f>SUM(G121:G127)</f>
        <v>0</v>
      </c>
      <c r="H128" s="375">
        <f>SUM(H121:H127)</f>
        <v>0</v>
      </c>
      <c r="I128" s="375">
        <f>SUM(I121:I127)</f>
        <v>36.730000000000004</v>
      </c>
      <c r="J128" s="376"/>
      <c r="K128" s="375"/>
      <c r="L128" s="372"/>
      <c r="M128" s="453"/>
      <c r="N128" s="377"/>
      <c r="O128" s="320"/>
    </row>
    <row r="129" spans="1:15" ht="20.149999999999999" customHeight="1" x14ac:dyDescent="0.35">
      <c r="B129" s="321"/>
      <c r="C129" s="330"/>
      <c r="D129" s="330"/>
      <c r="E129" s="323"/>
      <c r="F129" s="323"/>
      <c r="G129" s="323"/>
      <c r="H129" s="323"/>
      <c r="I129" s="323"/>
      <c r="J129" s="325"/>
      <c r="K129" s="323"/>
      <c r="L129" s="326"/>
      <c r="M129" s="363"/>
      <c r="N129" s="328"/>
      <c r="O129" s="331"/>
    </row>
    <row r="130" spans="1:15" s="317" customFormat="1" ht="20.149999999999999" customHeight="1" x14ac:dyDescent="0.35">
      <c r="B130" s="390" t="s">
        <v>394</v>
      </c>
      <c r="C130" s="378"/>
      <c r="D130" s="378"/>
      <c r="E130" s="375"/>
      <c r="F130" s="375"/>
      <c r="G130" s="375"/>
      <c r="H130" s="375"/>
      <c r="I130" s="375"/>
      <c r="J130" s="376"/>
      <c r="K130" s="375"/>
      <c r="L130" s="378"/>
      <c r="M130" s="453"/>
      <c r="N130" s="377"/>
    </row>
    <row r="131" spans="1:15" s="327" customFormat="1" ht="20.149999999999999" customHeight="1" x14ac:dyDescent="0.35">
      <c r="A131" s="327">
        <v>1</v>
      </c>
      <c r="B131" s="338">
        <v>108</v>
      </c>
      <c r="C131" s="336" t="s">
        <v>395</v>
      </c>
      <c r="D131" s="336"/>
      <c r="E131" s="339">
        <f>'[1]road inventory 2018'!C86</f>
        <v>3.1</v>
      </c>
      <c r="F131" s="340">
        <v>0.48</v>
      </c>
      <c r="G131" s="340">
        <v>0</v>
      </c>
      <c r="H131" s="340">
        <v>0</v>
      </c>
      <c r="I131" s="339">
        <v>2.62</v>
      </c>
      <c r="J131" s="326" t="s">
        <v>33</v>
      </c>
      <c r="K131" s="323">
        <f>SUM(F131:I131)</f>
        <v>3.1</v>
      </c>
      <c r="L131" s="326" t="s">
        <v>396</v>
      </c>
      <c r="M131" s="455"/>
      <c r="N131" s="341"/>
    </row>
    <row r="132" spans="1:15" s="317" customFormat="1" ht="20.149999999999999" customHeight="1" x14ac:dyDescent="0.35">
      <c r="B132" s="373"/>
      <c r="C132" s="374" t="s">
        <v>341</v>
      </c>
      <c r="D132" s="374"/>
      <c r="E132" s="375">
        <f>SUM(E131)</f>
        <v>3.1</v>
      </c>
      <c r="F132" s="375">
        <f>SUM(F131)</f>
        <v>0.48</v>
      </c>
      <c r="G132" s="375">
        <f>SUM(G131)</f>
        <v>0</v>
      </c>
      <c r="H132" s="375">
        <f>SUM(H131)</f>
        <v>0</v>
      </c>
      <c r="I132" s="375">
        <f>SUM(I131)</f>
        <v>2.62</v>
      </c>
      <c r="J132" s="376"/>
      <c r="K132" s="375"/>
      <c r="L132" s="372"/>
      <c r="M132" s="453"/>
      <c r="N132" s="377"/>
      <c r="O132" s="320"/>
    </row>
    <row r="133" spans="1:15" ht="20.149999999999999" customHeight="1" x14ac:dyDescent="0.35">
      <c r="B133" s="321"/>
      <c r="C133" s="330"/>
      <c r="D133" s="330"/>
      <c r="E133" s="323"/>
      <c r="F133" s="323"/>
      <c r="G133" s="323"/>
      <c r="H133" s="323"/>
      <c r="I133" s="323"/>
      <c r="J133" s="325"/>
      <c r="K133" s="323"/>
      <c r="L133" s="326"/>
      <c r="M133" s="363"/>
      <c r="N133" s="328"/>
      <c r="O133" s="331"/>
    </row>
    <row r="134" spans="1:15" s="317" customFormat="1" ht="20.149999999999999" customHeight="1" x14ac:dyDescent="0.35">
      <c r="B134" s="390" t="s">
        <v>397</v>
      </c>
      <c r="C134" s="378"/>
      <c r="D134" s="378"/>
      <c r="E134" s="375"/>
      <c r="F134" s="375"/>
      <c r="G134" s="375"/>
      <c r="H134" s="375"/>
      <c r="I134" s="375"/>
      <c r="J134" s="376"/>
      <c r="K134" s="375"/>
      <c r="L134" s="378"/>
      <c r="M134" s="453"/>
      <c r="N134" s="377"/>
    </row>
    <row r="135" spans="1:15" ht="20.149999999999999" customHeight="1" x14ac:dyDescent="0.35">
      <c r="A135" s="329">
        <v>1</v>
      </c>
      <c r="B135" s="321">
        <v>223</v>
      </c>
      <c r="C135" s="336" t="s">
        <v>42</v>
      </c>
      <c r="D135" s="336"/>
      <c r="E135" s="323">
        <f>'[1]road inventory 2018'!C93</f>
        <v>4.0999999999999996</v>
      </c>
      <c r="F135" s="323">
        <v>0</v>
      </c>
      <c r="G135" s="323">
        <v>0</v>
      </c>
      <c r="H135" s="323">
        <v>0</v>
      </c>
      <c r="I135" s="323">
        <v>4.0999999999999996</v>
      </c>
      <c r="J135" s="325" t="s">
        <v>33</v>
      </c>
      <c r="K135" s="323">
        <f t="shared" ref="K135:K144" si="5">SUM(F135:I135)</f>
        <v>4.0999999999999996</v>
      </c>
      <c r="L135" s="326" t="s">
        <v>398</v>
      </c>
      <c r="M135" s="363"/>
      <c r="N135" s="328"/>
    </row>
    <row r="136" spans="1:15" ht="20.149999999999999" customHeight="1" x14ac:dyDescent="0.35">
      <c r="A136" s="329">
        <v>2</v>
      </c>
      <c r="B136" s="321">
        <v>224</v>
      </c>
      <c r="C136" s="336" t="s">
        <v>44</v>
      </c>
      <c r="D136" s="336"/>
      <c r="E136" s="323">
        <f>'[1]road inventory 2018'!C94</f>
        <v>7.2</v>
      </c>
      <c r="F136" s="323">
        <f>2.25+0.06+0.9</f>
        <v>3.21</v>
      </c>
      <c r="G136" s="323">
        <v>0</v>
      </c>
      <c r="H136" s="323">
        <v>0</v>
      </c>
      <c r="I136" s="323">
        <v>3.99</v>
      </c>
      <c r="J136" s="325" t="s">
        <v>33</v>
      </c>
      <c r="K136" s="323">
        <f t="shared" si="5"/>
        <v>7.2</v>
      </c>
      <c r="L136" s="326" t="s">
        <v>399</v>
      </c>
      <c r="M136" s="363" t="s">
        <v>750</v>
      </c>
      <c r="N136" s="328">
        <v>2</v>
      </c>
    </row>
    <row r="137" spans="1:15" ht="20.149999999999999" customHeight="1" x14ac:dyDescent="0.35">
      <c r="A137" s="329">
        <v>3</v>
      </c>
      <c r="B137" s="321">
        <v>45</v>
      </c>
      <c r="C137" s="336" t="s">
        <v>865</v>
      </c>
      <c r="D137" s="336"/>
      <c r="E137" s="323">
        <f>'[1]road inventory 2018'!C95</f>
        <v>7.8999999999999995</v>
      </c>
      <c r="F137" s="323">
        <v>0.71</v>
      </c>
      <c r="G137" s="323">
        <v>0</v>
      </c>
      <c r="H137" s="323">
        <v>0</v>
      </c>
      <c r="I137" s="323">
        <v>7.19</v>
      </c>
      <c r="J137" s="325" t="s">
        <v>33</v>
      </c>
      <c r="K137" s="323">
        <f t="shared" si="5"/>
        <v>7.9</v>
      </c>
      <c r="L137" s="326" t="s">
        <v>401</v>
      </c>
      <c r="M137" s="363"/>
      <c r="N137" s="328"/>
    </row>
    <row r="138" spans="1:15" ht="20.149999999999999" customHeight="1" x14ac:dyDescent="0.35">
      <c r="A138" s="329">
        <v>4</v>
      </c>
      <c r="B138" s="321">
        <v>217</v>
      </c>
      <c r="C138" s="336" t="s">
        <v>243</v>
      </c>
      <c r="D138" s="336"/>
      <c r="E138" s="323">
        <f>'[1]road inventory 2018'!C96</f>
        <v>1.1000000000000001</v>
      </c>
      <c r="F138" s="323">
        <v>1.1000000000000001</v>
      </c>
      <c r="G138" s="323">
        <v>0</v>
      </c>
      <c r="H138" s="323">
        <v>0</v>
      </c>
      <c r="I138" s="323">
        <v>0</v>
      </c>
      <c r="J138" s="325" t="s">
        <v>10</v>
      </c>
      <c r="K138" s="323">
        <f t="shared" si="5"/>
        <v>1.1000000000000001</v>
      </c>
      <c r="L138" s="326" t="s">
        <v>402</v>
      </c>
      <c r="M138" s="363"/>
      <c r="N138" s="328"/>
    </row>
    <row r="139" spans="1:15" ht="20.149999999999999" customHeight="1" x14ac:dyDescent="0.35">
      <c r="A139" s="329">
        <v>5</v>
      </c>
      <c r="B139" s="321">
        <v>225</v>
      </c>
      <c r="C139" s="336" t="s">
        <v>403</v>
      </c>
      <c r="D139" s="336"/>
      <c r="E139" s="323">
        <f>'[1]road inventory 2018'!C97</f>
        <v>0.4</v>
      </c>
      <c r="F139" s="323">
        <v>0</v>
      </c>
      <c r="G139" s="323">
        <v>0</v>
      </c>
      <c r="H139" s="323">
        <v>0</v>
      </c>
      <c r="I139" s="323">
        <v>0.4</v>
      </c>
      <c r="J139" s="325" t="s">
        <v>33</v>
      </c>
      <c r="K139" s="323">
        <f t="shared" si="5"/>
        <v>0.4</v>
      </c>
      <c r="L139" s="326" t="s">
        <v>404</v>
      </c>
      <c r="M139" s="363"/>
      <c r="N139" s="328"/>
    </row>
    <row r="140" spans="1:15" ht="20.149999999999999" customHeight="1" x14ac:dyDescent="0.35">
      <c r="A140" s="329">
        <v>6</v>
      </c>
      <c r="B140" s="321">
        <v>226</v>
      </c>
      <c r="C140" s="336" t="s">
        <v>45</v>
      </c>
      <c r="D140" s="336"/>
      <c r="E140" s="323">
        <f>'[1]road inventory 2018'!C98</f>
        <v>4.8</v>
      </c>
      <c r="F140" s="323">
        <v>0.86</v>
      </c>
      <c r="G140" s="323">
        <v>0</v>
      </c>
      <c r="H140" s="323">
        <v>0</v>
      </c>
      <c r="I140" s="323">
        <v>3.94</v>
      </c>
      <c r="J140" s="325" t="s">
        <v>10</v>
      </c>
      <c r="K140" s="323">
        <f t="shared" si="5"/>
        <v>4.8</v>
      </c>
      <c r="L140" s="326" t="s">
        <v>405</v>
      </c>
      <c r="M140" s="363"/>
      <c r="N140" s="328"/>
    </row>
    <row r="141" spans="1:15" ht="20.149999999999999" customHeight="1" x14ac:dyDescent="0.35">
      <c r="A141" s="329">
        <v>7</v>
      </c>
      <c r="B141" s="321">
        <v>116</v>
      </c>
      <c r="C141" s="336" t="s">
        <v>47</v>
      </c>
      <c r="D141" s="336"/>
      <c r="E141" s="323">
        <f>'[1]road inventory 2018'!C99</f>
        <v>12.3</v>
      </c>
      <c r="F141" s="323">
        <v>6.67</v>
      </c>
      <c r="G141" s="323">
        <v>0</v>
      </c>
      <c r="H141" s="323">
        <v>0</v>
      </c>
      <c r="I141" s="323">
        <v>5.63</v>
      </c>
      <c r="J141" s="325" t="s">
        <v>12</v>
      </c>
      <c r="K141" s="323">
        <f t="shared" si="5"/>
        <v>12.3</v>
      </c>
      <c r="L141" s="326" t="s">
        <v>405</v>
      </c>
      <c r="M141" s="363"/>
      <c r="N141" s="328"/>
    </row>
    <row r="142" spans="1:15" ht="20.149999999999999" customHeight="1" x14ac:dyDescent="0.35">
      <c r="A142" s="329">
        <v>8</v>
      </c>
      <c r="B142" s="321">
        <v>46</v>
      </c>
      <c r="C142" s="336" t="s">
        <v>406</v>
      </c>
      <c r="D142" s="336"/>
      <c r="E142" s="323">
        <f>'[1]road inventory 2018'!C100</f>
        <v>1.3</v>
      </c>
      <c r="F142" s="323">
        <v>1.3</v>
      </c>
      <c r="G142" s="323">
        <v>0</v>
      </c>
      <c r="H142" s="323">
        <v>0</v>
      </c>
      <c r="I142" s="323">
        <v>0</v>
      </c>
      <c r="J142" s="325" t="s">
        <v>10</v>
      </c>
      <c r="K142" s="323">
        <f t="shared" si="5"/>
        <v>1.3</v>
      </c>
      <c r="L142" s="326" t="s">
        <v>407</v>
      </c>
      <c r="M142" s="363"/>
      <c r="N142" s="328"/>
    </row>
    <row r="143" spans="1:15" ht="20.149999999999999" customHeight="1" x14ac:dyDescent="0.35">
      <c r="A143" s="329">
        <v>9</v>
      </c>
      <c r="B143" s="321">
        <v>227</v>
      </c>
      <c r="C143" s="336" t="s">
        <v>408</v>
      </c>
      <c r="D143" s="336"/>
      <c r="E143" s="323">
        <f>'[1]road inventory 2018'!C101</f>
        <v>7.2</v>
      </c>
      <c r="F143" s="323">
        <v>0</v>
      </c>
      <c r="G143" s="323">
        <v>0</v>
      </c>
      <c r="H143" s="323">
        <v>0</v>
      </c>
      <c r="I143" s="323">
        <v>7.2</v>
      </c>
      <c r="J143" s="325" t="s">
        <v>33</v>
      </c>
      <c r="K143" s="323">
        <f t="shared" si="5"/>
        <v>7.2</v>
      </c>
      <c r="L143" s="326" t="s">
        <v>409</v>
      </c>
      <c r="M143" s="363"/>
      <c r="N143" s="328"/>
    </row>
    <row r="144" spans="1:15" ht="20.149999999999999" customHeight="1" x14ac:dyDescent="0.35">
      <c r="A144" s="329">
        <v>10</v>
      </c>
      <c r="B144" s="321">
        <v>100</v>
      </c>
      <c r="C144" s="336" t="s">
        <v>50</v>
      </c>
      <c r="D144" s="336"/>
      <c r="E144" s="323">
        <f>'[1]road inventory 2018'!C102</f>
        <v>7.8</v>
      </c>
      <c r="F144" s="323">
        <v>2</v>
      </c>
      <c r="G144" s="323">
        <v>0</v>
      </c>
      <c r="H144" s="323">
        <v>0</v>
      </c>
      <c r="I144" s="323">
        <v>5.8</v>
      </c>
      <c r="J144" s="325" t="s">
        <v>41</v>
      </c>
      <c r="K144" s="323">
        <f t="shared" si="5"/>
        <v>7.8</v>
      </c>
      <c r="L144" s="326" t="s">
        <v>410</v>
      </c>
      <c r="M144" s="363"/>
      <c r="N144" s="328">
        <v>2</v>
      </c>
    </row>
    <row r="145" spans="1:15" s="317" customFormat="1" ht="20.149999999999999" customHeight="1" x14ac:dyDescent="0.35">
      <c r="B145" s="373"/>
      <c r="C145" s="374" t="s">
        <v>341</v>
      </c>
      <c r="D145" s="374"/>
      <c r="E145" s="375">
        <f>SUM(E135:E144)</f>
        <v>54.099999999999994</v>
      </c>
      <c r="F145" s="375">
        <f>SUM(F135:F144)</f>
        <v>15.850000000000001</v>
      </c>
      <c r="G145" s="375">
        <f>SUM(G135:G144)</f>
        <v>0</v>
      </c>
      <c r="H145" s="375">
        <f>SUM(H135:H144)</f>
        <v>0</v>
      </c>
      <c r="I145" s="375">
        <f>SUM(I135:I144)</f>
        <v>38.25</v>
      </c>
      <c r="J145" s="376"/>
      <c r="K145" s="375"/>
      <c r="L145" s="372"/>
      <c r="M145" s="453"/>
      <c r="N145" s="377"/>
      <c r="O145" s="320"/>
    </row>
    <row r="146" spans="1:15" ht="20.149999999999999" customHeight="1" x14ac:dyDescent="0.35">
      <c r="B146" s="321"/>
      <c r="C146" s="330"/>
      <c r="D146" s="330"/>
      <c r="E146" s="323"/>
      <c r="F146" s="323"/>
      <c r="G146" s="323"/>
      <c r="H146" s="323"/>
      <c r="I146" s="323"/>
      <c r="J146" s="325"/>
      <c r="K146" s="323"/>
      <c r="L146" s="326"/>
      <c r="M146" s="363"/>
      <c r="N146" s="328"/>
      <c r="O146" s="331"/>
    </row>
    <row r="147" spans="1:15" s="317" customFormat="1" ht="20.149999999999999" customHeight="1" x14ac:dyDescent="0.35">
      <c r="B147" s="391" t="s">
        <v>579</v>
      </c>
      <c r="C147" s="378"/>
      <c r="D147" s="378"/>
      <c r="E147" s="375"/>
      <c r="F147" s="375"/>
      <c r="G147" s="375"/>
      <c r="H147" s="375"/>
      <c r="I147" s="375"/>
      <c r="J147" s="376"/>
      <c r="K147" s="375"/>
      <c r="L147" s="378"/>
      <c r="M147" s="453"/>
      <c r="N147" s="377"/>
      <c r="O147" s="320"/>
    </row>
    <row r="148" spans="1:15" ht="20.149999999999999" customHeight="1" x14ac:dyDescent="0.35">
      <c r="A148" s="329">
        <v>1</v>
      </c>
      <c r="B148" s="321">
        <v>214</v>
      </c>
      <c r="C148" s="336" t="s">
        <v>580</v>
      </c>
      <c r="D148" s="336"/>
      <c r="E148" s="323">
        <f>'[1]road inventory 2018'!C318</f>
        <v>4.5</v>
      </c>
      <c r="F148" s="337">
        <v>0.7</v>
      </c>
      <c r="G148" s="337">
        <v>0</v>
      </c>
      <c r="H148" s="337">
        <v>0</v>
      </c>
      <c r="I148" s="323">
        <v>3.8</v>
      </c>
      <c r="J148" s="325" t="s">
        <v>12</v>
      </c>
      <c r="K148" s="323">
        <f>SUM(F148:I148)</f>
        <v>4.5</v>
      </c>
      <c r="L148" s="326" t="s">
        <v>581</v>
      </c>
      <c r="M148" s="363"/>
      <c r="N148" s="328"/>
    </row>
    <row r="149" spans="1:15" ht="20.149999999999999" customHeight="1" x14ac:dyDescent="0.35">
      <c r="A149" s="329">
        <v>2</v>
      </c>
      <c r="B149" s="321">
        <v>212</v>
      </c>
      <c r="C149" s="336" t="s">
        <v>582</v>
      </c>
      <c r="D149" s="336"/>
      <c r="E149" s="323">
        <f>'[1]road inventory 2018'!C319</f>
        <v>2.75</v>
      </c>
      <c r="F149" s="337">
        <v>2.6</v>
      </c>
      <c r="G149" s="337">
        <v>0</v>
      </c>
      <c r="H149" s="337">
        <v>0</v>
      </c>
      <c r="I149" s="323">
        <v>0.15</v>
      </c>
      <c r="J149" s="325" t="s">
        <v>12</v>
      </c>
      <c r="K149" s="323">
        <f>SUM(F149:I149)</f>
        <v>2.75</v>
      </c>
      <c r="L149" s="326" t="s">
        <v>528</v>
      </c>
      <c r="M149" s="363"/>
      <c r="N149" s="328"/>
    </row>
    <row r="150" spans="1:15" s="317" customFormat="1" ht="20.149999999999999" customHeight="1" x14ac:dyDescent="0.35">
      <c r="B150" s="357"/>
      <c r="C150" s="322" t="s">
        <v>341</v>
      </c>
      <c r="D150" s="322"/>
      <c r="E150" s="324">
        <f>SUM(E148:E149)</f>
        <v>7.25</v>
      </c>
      <c r="F150" s="324">
        <f>SUM(F148:F149)</f>
        <v>3.3</v>
      </c>
      <c r="G150" s="324">
        <f>SUM(G148:G149)</f>
        <v>0</v>
      </c>
      <c r="H150" s="324">
        <f>SUM(H148:H149)</f>
        <v>0</v>
      </c>
      <c r="I150" s="324">
        <f>SUM(I148:I149)</f>
        <v>3.9499999999999997</v>
      </c>
      <c r="J150" s="358"/>
      <c r="K150" s="324"/>
      <c r="L150" s="359"/>
      <c r="M150" s="456"/>
      <c r="N150" s="334"/>
      <c r="O150" s="320"/>
    </row>
    <row r="151" spans="1:15" ht="15" customHeight="1" x14ac:dyDescent="0.35">
      <c r="B151" s="321"/>
      <c r="C151" s="330"/>
      <c r="D151" s="330"/>
      <c r="E151" s="323"/>
      <c r="F151" s="323"/>
      <c r="G151" s="323"/>
      <c r="H151" s="323"/>
      <c r="I151" s="323"/>
      <c r="J151" s="325"/>
      <c r="K151" s="323"/>
      <c r="L151" s="326"/>
      <c r="M151" s="363"/>
      <c r="N151" s="328"/>
      <c r="O151" s="331"/>
    </row>
    <row r="152" spans="1:15" s="317" customFormat="1" ht="20.149999999999999" customHeight="1" x14ac:dyDescent="0.35">
      <c r="B152" s="390" t="s">
        <v>526</v>
      </c>
      <c r="C152" s="378"/>
      <c r="D152" s="378"/>
      <c r="E152" s="375"/>
      <c r="F152" s="392"/>
      <c r="G152" s="392"/>
      <c r="H152" s="392"/>
      <c r="I152" s="375"/>
      <c r="J152" s="376"/>
      <c r="K152" s="375"/>
      <c r="L152" s="378"/>
      <c r="M152" s="453"/>
      <c r="N152" s="377"/>
    </row>
    <row r="153" spans="1:15" ht="20.149999999999999" customHeight="1" x14ac:dyDescent="0.35">
      <c r="A153" s="329">
        <v>1</v>
      </c>
      <c r="B153" s="321">
        <v>160</v>
      </c>
      <c r="C153" s="336" t="s">
        <v>527</v>
      </c>
      <c r="D153" s="336"/>
      <c r="E153" s="323">
        <f>'[1]road inventory 2018'!C266</f>
        <v>28</v>
      </c>
      <c r="F153" s="323">
        <f>7.25+2.494</f>
        <v>9.7439999999999998</v>
      </c>
      <c r="G153" s="323">
        <v>0</v>
      </c>
      <c r="H153" s="323">
        <v>0</v>
      </c>
      <c r="I153" s="323">
        <v>18.256</v>
      </c>
      <c r="J153" s="325" t="s">
        <v>33</v>
      </c>
      <c r="K153" s="323">
        <f t="shared" ref="K153:K163" si="6">SUM(F153:I153)</f>
        <v>28</v>
      </c>
      <c r="L153" s="326" t="s">
        <v>528</v>
      </c>
      <c r="M153" s="363"/>
      <c r="N153" s="328">
        <v>9.7439999999999998</v>
      </c>
    </row>
    <row r="154" spans="1:15" ht="20.149999999999999" customHeight="1" x14ac:dyDescent="0.35">
      <c r="A154" s="329">
        <v>2</v>
      </c>
      <c r="B154" s="321">
        <v>161</v>
      </c>
      <c r="C154" s="336" t="s">
        <v>529</v>
      </c>
      <c r="D154" s="336"/>
      <c r="E154" s="323">
        <f>'[1]road inventory 2018'!C267</f>
        <v>1.8</v>
      </c>
      <c r="F154" s="323">
        <v>1.8</v>
      </c>
      <c r="G154" s="323">
        <v>0</v>
      </c>
      <c r="H154" s="323">
        <v>0</v>
      </c>
      <c r="I154" s="323">
        <v>0</v>
      </c>
      <c r="J154" s="325" t="s">
        <v>12</v>
      </c>
      <c r="K154" s="323">
        <f t="shared" si="6"/>
        <v>1.8</v>
      </c>
      <c r="L154" s="326" t="s">
        <v>528</v>
      </c>
      <c r="M154" s="363"/>
      <c r="N154" s="328"/>
    </row>
    <row r="155" spans="1:15" ht="20.149999999999999" customHeight="1" x14ac:dyDescent="0.35">
      <c r="A155" s="329">
        <v>3</v>
      </c>
      <c r="B155" s="321">
        <v>162</v>
      </c>
      <c r="C155" s="336" t="s">
        <v>530</v>
      </c>
      <c r="D155" s="336"/>
      <c r="E155" s="323">
        <f>'[1]road inventory 2018'!C268</f>
        <v>1.9</v>
      </c>
      <c r="F155" s="323">
        <v>0</v>
      </c>
      <c r="G155" s="323">
        <v>0</v>
      </c>
      <c r="H155" s="323">
        <v>0</v>
      </c>
      <c r="I155" s="323">
        <v>1.9</v>
      </c>
      <c r="J155" s="325" t="s">
        <v>33</v>
      </c>
      <c r="K155" s="323">
        <f t="shared" si="6"/>
        <v>1.9</v>
      </c>
      <c r="L155" s="326" t="s">
        <v>531</v>
      </c>
      <c r="M155" s="363"/>
      <c r="N155" s="328"/>
    </row>
    <row r="156" spans="1:15" ht="20.149999999999999" customHeight="1" x14ac:dyDescent="0.35">
      <c r="A156" s="329">
        <v>4</v>
      </c>
      <c r="B156" s="321">
        <v>163</v>
      </c>
      <c r="C156" s="336" t="s">
        <v>532</v>
      </c>
      <c r="D156" s="336"/>
      <c r="E156" s="323">
        <f>'[1]road inventory 2018'!C269</f>
        <v>9</v>
      </c>
      <c r="F156" s="323">
        <v>0.65</v>
      </c>
      <c r="G156" s="323">
        <v>0</v>
      </c>
      <c r="H156" s="323">
        <v>0</v>
      </c>
      <c r="I156" s="323">
        <v>8.35</v>
      </c>
      <c r="J156" s="325" t="s">
        <v>33</v>
      </c>
      <c r="K156" s="323">
        <f t="shared" si="6"/>
        <v>9</v>
      </c>
      <c r="L156" s="326" t="s">
        <v>533</v>
      </c>
      <c r="M156" s="363"/>
      <c r="N156" s="328"/>
    </row>
    <row r="157" spans="1:15" ht="20.149999999999999" customHeight="1" x14ac:dyDescent="0.35">
      <c r="A157" s="329">
        <v>5</v>
      </c>
      <c r="B157" s="321">
        <v>164</v>
      </c>
      <c r="C157" s="336" t="s">
        <v>534</v>
      </c>
      <c r="D157" s="336"/>
      <c r="E157" s="323">
        <f>'[1]road inventory 2018'!C270</f>
        <v>2.2000000000000002</v>
      </c>
      <c r="F157" s="323">
        <v>0</v>
      </c>
      <c r="G157" s="323">
        <v>0</v>
      </c>
      <c r="H157" s="323">
        <v>0</v>
      </c>
      <c r="I157" s="323">
        <v>2.2000000000000002</v>
      </c>
      <c r="J157" s="325" t="s">
        <v>33</v>
      </c>
      <c r="K157" s="323">
        <f t="shared" si="6"/>
        <v>2.2000000000000002</v>
      </c>
      <c r="L157" s="326" t="s">
        <v>535</v>
      </c>
      <c r="M157" s="363"/>
      <c r="N157" s="328"/>
    </row>
    <row r="158" spans="1:15" ht="20.149999999999999" customHeight="1" x14ac:dyDescent="0.35">
      <c r="A158" s="329">
        <v>6</v>
      </c>
      <c r="B158" s="321">
        <v>165</v>
      </c>
      <c r="C158" s="336" t="s">
        <v>536</v>
      </c>
      <c r="D158" s="336"/>
      <c r="E158" s="323">
        <f>'[1]road inventory 2018'!C271</f>
        <v>3.5</v>
      </c>
      <c r="F158" s="323">
        <v>0</v>
      </c>
      <c r="G158" s="323">
        <v>0</v>
      </c>
      <c r="H158" s="323">
        <v>0</v>
      </c>
      <c r="I158" s="323">
        <v>3.5</v>
      </c>
      <c r="J158" s="325" t="s">
        <v>33</v>
      </c>
      <c r="K158" s="323">
        <f t="shared" si="6"/>
        <v>3.5</v>
      </c>
      <c r="L158" s="326" t="s">
        <v>537</v>
      </c>
      <c r="M158" s="363"/>
      <c r="N158" s="328"/>
    </row>
    <row r="159" spans="1:15" ht="20.149999999999999" customHeight="1" x14ac:dyDescent="0.35">
      <c r="A159" s="329">
        <v>7</v>
      </c>
      <c r="B159" s="321">
        <v>166</v>
      </c>
      <c r="C159" s="336" t="s">
        <v>538</v>
      </c>
      <c r="D159" s="336"/>
      <c r="E159" s="323">
        <f>'[1]road inventory 2018'!C272</f>
        <v>2.8</v>
      </c>
      <c r="F159" s="323">
        <v>0</v>
      </c>
      <c r="G159" s="323">
        <v>0</v>
      </c>
      <c r="H159" s="323">
        <v>0</v>
      </c>
      <c r="I159" s="323">
        <v>2.8</v>
      </c>
      <c r="J159" s="325" t="s">
        <v>12</v>
      </c>
      <c r="K159" s="323">
        <f t="shared" si="6"/>
        <v>2.8</v>
      </c>
      <c r="L159" s="326" t="s">
        <v>539</v>
      </c>
      <c r="M159" s="363"/>
      <c r="N159" s="328"/>
    </row>
    <row r="160" spans="1:15" ht="20.149999999999999" customHeight="1" x14ac:dyDescent="0.35">
      <c r="A160" s="329">
        <v>8</v>
      </c>
      <c r="B160" s="321">
        <v>167</v>
      </c>
      <c r="C160" s="336" t="s">
        <v>540</v>
      </c>
      <c r="D160" s="336"/>
      <c r="E160" s="323">
        <f>'[1]road inventory 2018'!C273</f>
        <v>5.5</v>
      </c>
      <c r="F160" s="323">
        <v>0</v>
      </c>
      <c r="G160" s="323">
        <v>0</v>
      </c>
      <c r="H160" s="323">
        <v>0</v>
      </c>
      <c r="I160" s="323">
        <v>5.5</v>
      </c>
      <c r="J160" s="325" t="s">
        <v>12</v>
      </c>
      <c r="K160" s="323">
        <f t="shared" si="6"/>
        <v>5.5</v>
      </c>
      <c r="L160" s="326" t="s">
        <v>541</v>
      </c>
      <c r="M160" s="363"/>
      <c r="N160" s="328"/>
    </row>
    <row r="161" spans="1:15" ht="20.149999999999999" customHeight="1" x14ac:dyDescent="0.35">
      <c r="A161" s="329">
        <v>9</v>
      </c>
      <c r="B161" s="321">
        <v>168</v>
      </c>
      <c r="C161" s="336" t="s">
        <v>542</v>
      </c>
      <c r="D161" s="336"/>
      <c r="E161" s="323">
        <f>'[1]road inventory 2018'!C274</f>
        <v>2.8</v>
      </c>
      <c r="F161" s="323">
        <v>0</v>
      </c>
      <c r="G161" s="323">
        <v>0</v>
      </c>
      <c r="H161" s="323">
        <v>0</v>
      </c>
      <c r="I161" s="323">
        <v>2.8</v>
      </c>
      <c r="J161" s="325" t="s">
        <v>33</v>
      </c>
      <c r="K161" s="323">
        <f t="shared" si="6"/>
        <v>2.8</v>
      </c>
      <c r="L161" s="326" t="s">
        <v>543</v>
      </c>
      <c r="M161" s="363"/>
      <c r="N161" s="328"/>
    </row>
    <row r="162" spans="1:15" ht="20.149999999999999" customHeight="1" x14ac:dyDescent="0.35">
      <c r="A162" s="329">
        <v>10</v>
      </c>
      <c r="B162" s="321">
        <v>170</v>
      </c>
      <c r="C162" s="336" t="s">
        <v>544</v>
      </c>
      <c r="D162" s="336"/>
      <c r="E162" s="323">
        <f>'[1]road inventory 2018'!C275</f>
        <v>1.3</v>
      </c>
      <c r="F162" s="323">
        <v>0</v>
      </c>
      <c r="G162" s="323">
        <v>0</v>
      </c>
      <c r="H162" s="323">
        <v>0</v>
      </c>
      <c r="I162" s="323">
        <v>1.3</v>
      </c>
      <c r="J162" s="325" t="s">
        <v>33</v>
      </c>
      <c r="K162" s="323">
        <f t="shared" si="6"/>
        <v>1.3</v>
      </c>
      <c r="L162" s="326" t="s">
        <v>533</v>
      </c>
      <c r="M162" s="363"/>
      <c r="N162" s="328"/>
    </row>
    <row r="163" spans="1:15" ht="20.149999999999999" customHeight="1" x14ac:dyDescent="0.35">
      <c r="A163" s="329">
        <v>11</v>
      </c>
      <c r="B163" s="321">
        <v>169</v>
      </c>
      <c r="C163" s="336" t="s">
        <v>545</v>
      </c>
      <c r="D163" s="336"/>
      <c r="E163" s="323">
        <f>'[1]road inventory 2018'!C276</f>
        <v>3.2</v>
      </c>
      <c r="F163" s="323">
        <v>0</v>
      </c>
      <c r="G163" s="323">
        <v>0</v>
      </c>
      <c r="H163" s="323">
        <v>0</v>
      </c>
      <c r="I163" s="323">
        <v>3.2</v>
      </c>
      <c r="J163" s="325" t="s">
        <v>41</v>
      </c>
      <c r="K163" s="323">
        <f t="shared" si="6"/>
        <v>3.2</v>
      </c>
      <c r="L163" s="326" t="s">
        <v>546</v>
      </c>
      <c r="M163" s="363"/>
      <c r="N163" s="328"/>
    </row>
    <row r="164" spans="1:15" s="317" customFormat="1" ht="20.149999999999999" customHeight="1" x14ac:dyDescent="0.35">
      <c r="B164" s="373"/>
      <c r="C164" s="374" t="s">
        <v>341</v>
      </c>
      <c r="D164" s="374"/>
      <c r="E164" s="375">
        <f>SUM(E153:E163)</f>
        <v>62</v>
      </c>
      <c r="F164" s="375">
        <f>SUM(F153:F163)</f>
        <v>12.194000000000001</v>
      </c>
      <c r="G164" s="375">
        <f>SUM(G153:G163)</f>
        <v>0</v>
      </c>
      <c r="H164" s="375">
        <f>SUM(H153:H163)</f>
        <v>0</v>
      </c>
      <c r="I164" s="375">
        <f>SUM(I153:I163)</f>
        <v>49.805999999999997</v>
      </c>
      <c r="J164" s="376"/>
      <c r="K164" s="375"/>
      <c r="L164" s="372"/>
      <c r="M164" s="453"/>
      <c r="N164" s="377"/>
      <c r="O164" s="320"/>
    </row>
    <row r="165" spans="1:15" ht="20.149999999999999" customHeight="1" x14ac:dyDescent="0.35">
      <c r="B165" s="321"/>
      <c r="C165" s="330"/>
      <c r="D165" s="330"/>
      <c r="E165" s="323"/>
      <c r="F165" s="323"/>
      <c r="G165" s="323"/>
      <c r="H165" s="323"/>
      <c r="I165" s="323"/>
      <c r="J165" s="325"/>
      <c r="K165" s="323"/>
      <c r="L165" s="326"/>
      <c r="M165" s="363"/>
      <c r="N165" s="328"/>
      <c r="O165" s="331"/>
    </row>
    <row r="166" spans="1:15" s="317" customFormat="1" ht="20.149999999999999" customHeight="1" x14ac:dyDescent="0.35">
      <c r="B166" s="390" t="s">
        <v>596</v>
      </c>
      <c r="C166" s="378"/>
      <c r="D166" s="378"/>
      <c r="E166" s="375"/>
      <c r="F166" s="375"/>
      <c r="G166" s="375"/>
      <c r="H166" s="375"/>
      <c r="I166" s="375"/>
      <c r="J166" s="376"/>
      <c r="K166" s="375"/>
      <c r="L166" s="378"/>
      <c r="M166" s="453"/>
      <c r="N166" s="377"/>
    </row>
    <row r="167" spans="1:15" ht="20.149999999999999" customHeight="1" x14ac:dyDescent="0.35">
      <c r="A167" s="329">
        <v>1</v>
      </c>
      <c r="B167" s="321">
        <v>187</v>
      </c>
      <c r="C167" s="336" t="s">
        <v>597</v>
      </c>
      <c r="D167" s="336"/>
      <c r="E167" s="325">
        <f>'[1]road inventory 2018'!C345</f>
        <v>0.504</v>
      </c>
      <c r="F167" s="323">
        <v>0.504</v>
      </c>
      <c r="G167" s="323">
        <v>0</v>
      </c>
      <c r="H167" s="323">
        <v>0</v>
      </c>
      <c r="I167" s="323">
        <v>0</v>
      </c>
      <c r="J167" s="326" t="s">
        <v>12</v>
      </c>
      <c r="K167" s="323">
        <f t="shared" ref="K167:K174" si="7">SUM(F167:I167)</f>
        <v>0.504</v>
      </c>
      <c r="L167" s="326"/>
      <c r="M167" s="452" t="s">
        <v>745</v>
      </c>
    </row>
    <row r="168" spans="1:15" ht="20.149999999999999" customHeight="1" x14ac:dyDescent="0.35">
      <c r="A168" s="329">
        <v>2</v>
      </c>
      <c r="B168" s="321">
        <v>188</v>
      </c>
      <c r="C168" s="336" t="s">
        <v>598</v>
      </c>
      <c r="D168" s="336"/>
      <c r="E168" s="325">
        <f>'[1]road inventory 2018'!C346</f>
        <v>0.158</v>
      </c>
      <c r="F168" s="323">
        <v>0.158</v>
      </c>
      <c r="G168" s="323">
        <v>0</v>
      </c>
      <c r="H168" s="323">
        <v>0</v>
      </c>
      <c r="I168" s="323">
        <v>0</v>
      </c>
      <c r="J168" s="326" t="s">
        <v>12</v>
      </c>
      <c r="K168" s="323">
        <f t="shared" si="7"/>
        <v>0.158</v>
      </c>
      <c r="L168" s="326"/>
    </row>
    <row r="169" spans="1:15" ht="20.149999999999999" customHeight="1" x14ac:dyDescent="0.35">
      <c r="A169" s="329">
        <v>3</v>
      </c>
      <c r="B169" s="321">
        <v>189</v>
      </c>
      <c r="C169" s="336" t="s">
        <v>599</v>
      </c>
      <c r="D169" s="336"/>
      <c r="E169" s="325">
        <f>'[1]road inventory 2018'!C347</f>
        <v>0.74199999999999999</v>
      </c>
      <c r="F169" s="323">
        <v>0.74199999999999999</v>
      </c>
      <c r="G169" s="323">
        <v>0</v>
      </c>
      <c r="H169" s="323">
        <v>0</v>
      </c>
      <c r="I169" s="323">
        <v>0</v>
      </c>
      <c r="J169" s="326" t="s">
        <v>12</v>
      </c>
      <c r="K169" s="323">
        <f t="shared" si="7"/>
        <v>0.74199999999999999</v>
      </c>
      <c r="L169" s="326"/>
    </row>
    <row r="170" spans="1:15" ht="20.149999999999999" customHeight="1" x14ac:dyDescent="0.35">
      <c r="A170" s="329">
        <v>4</v>
      </c>
      <c r="B170" s="321">
        <v>185</v>
      </c>
      <c r="C170" s="336" t="s">
        <v>600</v>
      </c>
      <c r="D170" s="336"/>
      <c r="E170" s="325">
        <v>7.6</v>
      </c>
      <c r="F170" s="323">
        <v>0</v>
      </c>
      <c r="G170" s="323">
        <v>0</v>
      </c>
      <c r="H170" s="323">
        <v>0</v>
      </c>
      <c r="I170" s="323">
        <v>7.6</v>
      </c>
      <c r="J170" s="326" t="s">
        <v>10</v>
      </c>
      <c r="K170" s="323">
        <f t="shared" si="7"/>
        <v>7.6</v>
      </c>
      <c r="L170" s="326"/>
    </row>
    <row r="171" spans="1:15" ht="20.149999999999999" customHeight="1" x14ac:dyDescent="0.35">
      <c r="A171" s="329">
        <v>5</v>
      </c>
      <c r="B171" s="321">
        <v>186</v>
      </c>
      <c r="C171" s="336" t="s">
        <v>601</v>
      </c>
      <c r="D171" s="336"/>
      <c r="E171" s="325">
        <f>'[1]road inventory 2018'!C349</f>
        <v>10.5</v>
      </c>
      <c r="F171" s="323">
        <v>0</v>
      </c>
      <c r="G171" s="323">
        <v>0</v>
      </c>
      <c r="H171" s="323">
        <v>0</v>
      </c>
      <c r="I171" s="323">
        <v>10.5</v>
      </c>
      <c r="J171" s="326" t="s">
        <v>12</v>
      </c>
      <c r="K171" s="323">
        <f t="shared" si="7"/>
        <v>10.5</v>
      </c>
      <c r="L171" s="326"/>
    </row>
    <row r="172" spans="1:15" ht="20.149999999999999" customHeight="1" x14ac:dyDescent="0.35">
      <c r="A172" s="329">
        <v>6</v>
      </c>
      <c r="B172" s="321">
        <v>190</v>
      </c>
      <c r="C172" s="336" t="s">
        <v>602</v>
      </c>
      <c r="D172" s="336"/>
      <c r="E172" s="325">
        <f>'[1]road inventory 2018'!C350</f>
        <v>17.5</v>
      </c>
      <c r="F172" s="323">
        <v>0</v>
      </c>
      <c r="G172" s="323">
        <v>0</v>
      </c>
      <c r="H172" s="323">
        <v>0</v>
      </c>
      <c r="I172" s="323">
        <v>17.5</v>
      </c>
      <c r="J172" s="326" t="s">
        <v>12</v>
      </c>
      <c r="K172" s="323">
        <f t="shared" si="7"/>
        <v>17.5</v>
      </c>
      <c r="L172" s="326"/>
    </row>
    <row r="173" spans="1:15" ht="20.149999999999999" customHeight="1" x14ac:dyDescent="0.35">
      <c r="A173" s="329">
        <v>7</v>
      </c>
      <c r="B173" s="321">
        <v>191</v>
      </c>
      <c r="C173" s="336" t="s">
        <v>603</v>
      </c>
      <c r="D173" s="336"/>
      <c r="E173" s="325">
        <f>'[1]road inventory 2018'!C351</f>
        <v>3.5</v>
      </c>
      <c r="F173" s="323">
        <v>0</v>
      </c>
      <c r="G173" s="323">
        <v>0</v>
      </c>
      <c r="H173" s="323">
        <v>0</v>
      </c>
      <c r="I173" s="323">
        <v>3.5</v>
      </c>
      <c r="J173" s="326" t="s">
        <v>12</v>
      </c>
      <c r="K173" s="323">
        <f t="shared" si="7"/>
        <v>3.5</v>
      </c>
      <c r="L173" s="326"/>
    </row>
    <row r="174" spans="1:15" ht="20.149999999999999" customHeight="1" x14ac:dyDescent="0.35">
      <c r="A174" s="329">
        <v>8</v>
      </c>
      <c r="B174" s="321">
        <v>230</v>
      </c>
      <c r="C174" s="336" t="s">
        <v>604</v>
      </c>
      <c r="D174" s="336"/>
      <c r="E174" s="325">
        <f>'[1]road inventory 2018'!C352</f>
        <v>1.58</v>
      </c>
      <c r="F174" s="323">
        <v>0</v>
      </c>
      <c r="G174" s="323">
        <v>0</v>
      </c>
      <c r="H174" s="323">
        <v>0</v>
      </c>
      <c r="I174" s="323">
        <v>1.58</v>
      </c>
      <c r="J174" s="326" t="s">
        <v>41</v>
      </c>
      <c r="K174" s="323">
        <f t="shared" si="7"/>
        <v>1.58</v>
      </c>
      <c r="L174" s="326"/>
    </row>
    <row r="175" spans="1:15" s="317" customFormat="1" ht="20.149999999999999" customHeight="1" x14ac:dyDescent="0.35">
      <c r="B175" s="373"/>
      <c r="C175" s="374" t="s">
        <v>341</v>
      </c>
      <c r="D175" s="374"/>
      <c r="E175" s="375">
        <f>SUM(E167:E174)</f>
        <v>42.083999999999996</v>
      </c>
      <c r="F175" s="375">
        <f>SUM(F167:F174)</f>
        <v>1.4039999999999999</v>
      </c>
      <c r="G175" s="375">
        <f>SUM(G167:G174)</f>
        <v>0</v>
      </c>
      <c r="H175" s="375">
        <f>SUM(H167:H174)</f>
        <v>0</v>
      </c>
      <c r="I175" s="375">
        <f>SUM(I167:I174)</f>
        <v>40.68</v>
      </c>
      <c r="J175" s="376"/>
      <c r="K175" s="375"/>
      <c r="L175" s="372"/>
      <c r="M175" s="453"/>
      <c r="N175" s="377"/>
      <c r="O175" s="320"/>
    </row>
    <row r="176" spans="1:15" ht="20.149999999999999" customHeight="1" x14ac:dyDescent="0.35">
      <c r="B176" s="321"/>
      <c r="C176" s="330"/>
      <c r="D176" s="330"/>
      <c r="E176" s="323"/>
      <c r="F176" s="323"/>
      <c r="G176" s="323"/>
      <c r="H176" s="323"/>
      <c r="I176" s="323"/>
      <c r="J176" s="325"/>
      <c r="K176" s="323"/>
      <c r="L176" s="326"/>
      <c r="M176" s="363"/>
      <c r="N176" s="328"/>
      <c r="O176" s="331"/>
    </row>
    <row r="177" spans="1:19" s="317" customFormat="1" ht="20.149999999999999" customHeight="1" x14ac:dyDescent="0.35">
      <c r="B177" s="390" t="s">
        <v>734</v>
      </c>
      <c r="C177" s="378"/>
      <c r="D177" s="378"/>
      <c r="E177" s="376"/>
      <c r="F177" s="375"/>
      <c r="G177" s="375"/>
      <c r="H177" s="375"/>
      <c r="I177" s="375"/>
      <c r="J177" s="372"/>
      <c r="K177" s="375"/>
      <c r="L177" s="400"/>
      <c r="M177" s="457"/>
      <c r="N177" s="401"/>
    </row>
    <row r="178" spans="1:19" ht="20.149999999999999" customHeight="1" x14ac:dyDescent="0.35">
      <c r="A178" s="329">
        <v>1</v>
      </c>
      <c r="B178" s="321">
        <v>171</v>
      </c>
      <c r="C178" s="336" t="s">
        <v>611</v>
      </c>
      <c r="D178" s="336"/>
      <c r="E178" s="323">
        <v>8.7409999999999997</v>
      </c>
      <c r="F178" s="323">
        <v>1.18</v>
      </c>
      <c r="G178" s="323">
        <v>0</v>
      </c>
      <c r="H178" s="323">
        <v>0</v>
      </c>
      <c r="I178" s="323">
        <v>7.5609999999999999</v>
      </c>
      <c r="J178" s="325" t="s">
        <v>12</v>
      </c>
      <c r="K178" s="323">
        <f>SUM(F178:I178)</f>
        <v>8.7409999999999997</v>
      </c>
      <c r="L178" s="326"/>
      <c r="M178" s="363"/>
      <c r="N178" s="328"/>
    </row>
    <row r="179" spans="1:19" s="317" customFormat="1" ht="20.149999999999999" customHeight="1" x14ac:dyDescent="0.35">
      <c r="B179" s="373"/>
      <c r="C179" s="374" t="s">
        <v>341</v>
      </c>
      <c r="D179" s="374"/>
      <c r="E179" s="375">
        <f>SUM(E178)</f>
        <v>8.7409999999999997</v>
      </c>
      <c r="F179" s="375">
        <f>SUM(F178)</f>
        <v>1.18</v>
      </c>
      <c r="G179" s="375">
        <f>SUM(G178)</f>
        <v>0</v>
      </c>
      <c r="H179" s="375">
        <f>SUM(H178)</f>
        <v>0</v>
      </c>
      <c r="I179" s="375">
        <f>SUM(I178)</f>
        <v>7.5609999999999999</v>
      </c>
      <c r="J179" s="376"/>
      <c r="K179" s="375"/>
      <c r="L179" s="372"/>
      <c r="M179" s="453"/>
      <c r="N179" s="377"/>
      <c r="O179" s="320"/>
    </row>
    <row r="180" spans="1:19" ht="20.149999999999999" customHeight="1" x14ac:dyDescent="0.35">
      <c r="B180" s="321"/>
      <c r="C180" s="330"/>
      <c r="D180" s="330"/>
      <c r="E180" s="323"/>
      <c r="F180" s="323"/>
      <c r="G180" s="323"/>
      <c r="H180" s="323"/>
      <c r="I180" s="323"/>
      <c r="J180" s="325"/>
      <c r="K180" s="323"/>
      <c r="L180" s="326"/>
      <c r="M180" s="363"/>
      <c r="N180" s="328"/>
      <c r="O180" s="331"/>
    </row>
    <row r="181" spans="1:19" s="317" customFormat="1" ht="20.149999999999999" customHeight="1" x14ac:dyDescent="0.35">
      <c r="B181" s="390" t="s">
        <v>583</v>
      </c>
      <c r="C181" s="378"/>
      <c r="D181" s="378"/>
      <c r="E181" s="375"/>
      <c r="F181" s="375"/>
      <c r="G181" s="375"/>
      <c r="H181" s="375"/>
      <c r="I181" s="375"/>
      <c r="J181" s="376"/>
      <c r="K181" s="375"/>
      <c r="L181" s="400"/>
      <c r="M181" s="453"/>
      <c r="N181" s="377"/>
    </row>
    <row r="182" spans="1:19" ht="20.149999999999999" customHeight="1" x14ac:dyDescent="0.35">
      <c r="A182" s="329">
        <v>1</v>
      </c>
      <c r="B182" s="321">
        <v>173</v>
      </c>
      <c r="C182" s="336" t="s">
        <v>584</v>
      </c>
      <c r="D182" s="336"/>
      <c r="E182" s="323">
        <f>'[1]road inventory 2018'!C326</f>
        <v>1.5</v>
      </c>
      <c r="F182" s="323">
        <v>1.5</v>
      </c>
      <c r="G182" s="323">
        <v>0</v>
      </c>
      <c r="H182" s="323">
        <v>0</v>
      </c>
      <c r="I182" s="323">
        <v>0</v>
      </c>
      <c r="J182" s="325" t="s">
        <v>10</v>
      </c>
      <c r="K182" s="323">
        <f t="shared" ref="K182:K194" si="8">SUM(F182:I182)</f>
        <v>1.5</v>
      </c>
      <c r="L182" s="326"/>
      <c r="M182" s="363"/>
      <c r="N182" s="328"/>
    </row>
    <row r="183" spans="1:19" ht="20.149999999999999" customHeight="1" x14ac:dyDescent="0.35">
      <c r="A183" s="329">
        <v>2</v>
      </c>
      <c r="B183" s="321">
        <v>174</v>
      </c>
      <c r="C183" s="336" t="s">
        <v>585</v>
      </c>
      <c r="D183" s="336"/>
      <c r="E183" s="323">
        <f>'[1]road inventory 2018'!C327</f>
        <v>0.2</v>
      </c>
      <c r="F183" s="323">
        <v>0.2</v>
      </c>
      <c r="G183" s="323">
        <v>0</v>
      </c>
      <c r="H183" s="323">
        <v>0</v>
      </c>
      <c r="I183" s="323">
        <v>0</v>
      </c>
      <c r="J183" s="326" t="s">
        <v>33</v>
      </c>
      <c r="K183" s="323">
        <f t="shared" si="8"/>
        <v>0.2</v>
      </c>
      <c r="L183" s="326"/>
      <c r="M183" s="363"/>
      <c r="N183" s="328"/>
    </row>
    <row r="184" spans="1:19" ht="20.149999999999999" customHeight="1" x14ac:dyDescent="0.35">
      <c r="A184" s="329">
        <v>3</v>
      </c>
      <c r="B184" s="321">
        <v>175</v>
      </c>
      <c r="C184" s="336" t="s">
        <v>586</v>
      </c>
      <c r="D184" s="336"/>
      <c r="E184" s="323">
        <f>'[1]road inventory 2018'!C328</f>
        <v>3.6</v>
      </c>
      <c r="F184" s="323">
        <v>3.31</v>
      </c>
      <c r="G184" s="323">
        <v>0</v>
      </c>
      <c r="H184" s="323">
        <v>0</v>
      </c>
      <c r="I184" s="323">
        <v>0.28999999999999998</v>
      </c>
      <c r="J184" s="326" t="s">
        <v>12</v>
      </c>
      <c r="K184" s="323">
        <f t="shared" si="8"/>
        <v>3.6</v>
      </c>
      <c r="L184" s="326"/>
      <c r="M184" s="363"/>
      <c r="N184" s="328"/>
    </row>
    <row r="185" spans="1:19" ht="20.149999999999999" customHeight="1" x14ac:dyDescent="0.35">
      <c r="A185" s="329">
        <v>4</v>
      </c>
      <c r="B185" s="321">
        <v>176</v>
      </c>
      <c r="C185" s="336" t="s">
        <v>587</v>
      </c>
      <c r="D185" s="336"/>
      <c r="E185" s="323">
        <f>'[1]road inventory 2018'!C329</f>
        <v>20.5</v>
      </c>
      <c r="F185" s="323">
        <v>5.21</v>
      </c>
      <c r="G185" s="323">
        <v>0</v>
      </c>
      <c r="H185" s="323">
        <v>0</v>
      </c>
      <c r="I185" s="323">
        <v>15.29</v>
      </c>
      <c r="J185" s="326" t="s">
        <v>12</v>
      </c>
      <c r="K185" s="323">
        <f t="shared" si="8"/>
        <v>20.5</v>
      </c>
      <c r="L185" s="326"/>
      <c r="M185" s="363"/>
      <c r="N185" s="328"/>
    </row>
    <row r="186" spans="1:19" ht="20.149999999999999" customHeight="1" x14ac:dyDescent="0.35">
      <c r="A186" s="329">
        <v>5</v>
      </c>
      <c r="B186" s="321">
        <v>177</v>
      </c>
      <c r="C186" s="336" t="s">
        <v>588</v>
      </c>
      <c r="D186" s="336"/>
      <c r="E186" s="323">
        <f>'[1]road inventory 2018'!C330</f>
        <v>13.5</v>
      </c>
      <c r="F186" s="323">
        <v>13.5</v>
      </c>
      <c r="G186" s="323">
        <v>0</v>
      </c>
      <c r="H186" s="323">
        <v>0</v>
      </c>
      <c r="I186" s="323">
        <v>0</v>
      </c>
      <c r="J186" s="325" t="s">
        <v>10</v>
      </c>
      <c r="K186" s="323">
        <f t="shared" si="8"/>
        <v>13.5</v>
      </c>
      <c r="L186" s="326"/>
      <c r="M186" s="363"/>
      <c r="N186" s="328"/>
    </row>
    <row r="187" spans="1:19" ht="20.149999999999999" customHeight="1" x14ac:dyDescent="0.35">
      <c r="A187" s="329">
        <v>6</v>
      </c>
      <c r="B187" s="321">
        <v>172</v>
      </c>
      <c r="C187" s="336" t="s">
        <v>589</v>
      </c>
      <c r="D187" s="336"/>
      <c r="E187" s="323">
        <f>'[1]road inventory 2018'!C331</f>
        <v>5.7</v>
      </c>
      <c r="F187" s="323">
        <v>1.02</v>
      </c>
      <c r="G187" s="323">
        <v>0</v>
      </c>
      <c r="H187" s="323">
        <v>3.42</v>
      </c>
      <c r="I187" s="323">
        <v>1.26</v>
      </c>
      <c r="J187" s="325" t="s">
        <v>10</v>
      </c>
      <c r="K187" s="323">
        <f t="shared" si="8"/>
        <v>5.6999999999999993</v>
      </c>
      <c r="L187" s="326"/>
      <c r="M187" s="363"/>
      <c r="N187" s="328"/>
      <c r="S187" s="331"/>
    </row>
    <row r="188" spans="1:19" ht="20.149999999999999" customHeight="1" x14ac:dyDescent="0.35">
      <c r="A188" s="329">
        <v>7</v>
      </c>
      <c r="B188" s="321">
        <v>178</v>
      </c>
      <c r="C188" s="336" t="s">
        <v>296</v>
      </c>
      <c r="D188" s="336"/>
      <c r="E188" s="323">
        <f>'[1]road inventory 2018'!C332</f>
        <v>25.54</v>
      </c>
      <c r="F188" s="323">
        <v>1.23</v>
      </c>
      <c r="G188" s="323">
        <v>0</v>
      </c>
      <c r="H188" s="323">
        <v>0</v>
      </c>
      <c r="I188" s="323">
        <v>24.31</v>
      </c>
      <c r="J188" s="326" t="s">
        <v>12</v>
      </c>
      <c r="K188" s="323">
        <f t="shared" si="8"/>
        <v>25.54</v>
      </c>
      <c r="L188" s="326"/>
      <c r="M188" s="363"/>
      <c r="N188" s="328"/>
    </row>
    <row r="189" spans="1:19" ht="20.149999999999999" customHeight="1" x14ac:dyDescent="0.35">
      <c r="A189" s="329">
        <v>8</v>
      </c>
      <c r="B189" s="321">
        <v>179</v>
      </c>
      <c r="C189" s="336" t="s">
        <v>590</v>
      </c>
      <c r="D189" s="336"/>
      <c r="E189" s="323">
        <f>'[1]road inventory 2018'!C333</f>
        <v>9.4</v>
      </c>
      <c r="F189" s="323">
        <v>0.43</v>
      </c>
      <c r="G189" s="323">
        <v>0</v>
      </c>
      <c r="H189" s="323">
        <v>0</v>
      </c>
      <c r="I189" s="323">
        <v>8.9700000000000006</v>
      </c>
      <c r="J189" s="325" t="s">
        <v>12</v>
      </c>
      <c r="K189" s="323">
        <f t="shared" si="8"/>
        <v>9.4</v>
      </c>
      <c r="L189" s="326"/>
      <c r="M189" s="363"/>
      <c r="N189" s="328"/>
    </row>
    <row r="190" spans="1:19" ht="20.149999999999999" customHeight="1" x14ac:dyDescent="0.35">
      <c r="A190" s="329">
        <v>9</v>
      </c>
      <c r="B190" s="321">
        <v>180</v>
      </c>
      <c r="C190" s="336" t="s">
        <v>591</v>
      </c>
      <c r="D190" s="336"/>
      <c r="E190" s="323">
        <f>'[1]road inventory 2018'!C334</f>
        <v>2.42</v>
      </c>
      <c r="F190" s="323">
        <v>0</v>
      </c>
      <c r="G190" s="323">
        <v>0</v>
      </c>
      <c r="H190" s="323">
        <v>0</v>
      </c>
      <c r="I190" s="323">
        <v>2.42</v>
      </c>
      <c r="J190" s="326" t="s">
        <v>12</v>
      </c>
      <c r="K190" s="323">
        <f t="shared" si="8"/>
        <v>2.42</v>
      </c>
      <c r="L190" s="326"/>
      <c r="M190" s="363"/>
      <c r="N190" s="328"/>
    </row>
    <row r="191" spans="1:19" ht="20.149999999999999" customHeight="1" x14ac:dyDescent="0.35">
      <c r="A191" s="329">
        <v>10</v>
      </c>
      <c r="B191" s="321">
        <v>181</v>
      </c>
      <c r="C191" s="336" t="s">
        <v>592</v>
      </c>
      <c r="D191" s="336"/>
      <c r="E191" s="323">
        <f>'[1]road inventory 2018'!C335</f>
        <v>4.9000000000000004</v>
      </c>
      <c r="F191" s="323">
        <v>4.9000000000000004</v>
      </c>
      <c r="G191" s="323">
        <v>0</v>
      </c>
      <c r="H191" s="323">
        <v>0</v>
      </c>
      <c r="I191" s="323">
        <v>0</v>
      </c>
      <c r="J191" s="325" t="s">
        <v>10</v>
      </c>
      <c r="K191" s="323">
        <f t="shared" si="8"/>
        <v>4.9000000000000004</v>
      </c>
      <c r="L191" s="326"/>
      <c r="M191" s="363"/>
      <c r="N191" s="328"/>
    </row>
    <row r="192" spans="1:19" ht="20.149999999999999" customHeight="1" x14ac:dyDescent="0.35">
      <c r="A192" s="329">
        <v>11</v>
      </c>
      <c r="B192" s="321">
        <v>182</v>
      </c>
      <c r="C192" s="336" t="s">
        <v>593</v>
      </c>
      <c r="D192" s="336"/>
      <c r="E192" s="323">
        <f>'[1]road inventory 2018'!C336</f>
        <v>16</v>
      </c>
      <c r="F192" s="323">
        <v>16</v>
      </c>
      <c r="G192" s="323">
        <v>0</v>
      </c>
      <c r="H192" s="323">
        <v>0</v>
      </c>
      <c r="I192" s="323">
        <v>0</v>
      </c>
      <c r="J192" s="326" t="s">
        <v>10</v>
      </c>
      <c r="K192" s="323">
        <f t="shared" si="8"/>
        <v>16</v>
      </c>
      <c r="L192" s="326"/>
      <c r="M192" s="363"/>
      <c r="N192" s="328"/>
    </row>
    <row r="193" spans="1:16" ht="20.149999999999999" customHeight="1" x14ac:dyDescent="0.35">
      <c r="A193" s="329">
        <v>12</v>
      </c>
      <c r="B193" s="321">
        <v>183</v>
      </c>
      <c r="C193" s="336" t="s">
        <v>594</v>
      </c>
      <c r="D193" s="336"/>
      <c r="E193" s="323">
        <f>'[1]road inventory 2018'!C337</f>
        <v>1.7</v>
      </c>
      <c r="F193" s="323">
        <v>0</v>
      </c>
      <c r="G193" s="323">
        <v>0</v>
      </c>
      <c r="H193" s="323">
        <v>0</v>
      </c>
      <c r="I193" s="323">
        <v>1.7</v>
      </c>
      <c r="J193" s="326" t="s">
        <v>12</v>
      </c>
      <c r="K193" s="323">
        <f t="shared" si="8"/>
        <v>1.7</v>
      </c>
      <c r="L193" s="326"/>
      <c r="M193" s="363"/>
      <c r="N193" s="328"/>
    </row>
    <row r="194" spans="1:16" ht="20.149999999999999" customHeight="1" x14ac:dyDescent="0.35">
      <c r="A194" s="329">
        <v>13</v>
      </c>
      <c r="B194" s="321">
        <v>184</v>
      </c>
      <c r="C194" s="336" t="s">
        <v>595</v>
      </c>
      <c r="D194" s="336"/>
      <c r="E194" s="323">
        <f>'[1]road inventory 2018'!C338</f>
        <v>12</v>
      </c>
      <c r="F194" s="323">
        <v>10.01</v>
      </c>
      <c r="G194" s="323">
        <v>0</v>
      </c>
      <c r="H194" s="323">
        <v>0</v>
      </c>
      <c r="I194" s="323">
        <v>1.99</v>
      </c>
      <c r="J194" s="326" t="s">
        <v>10</v>
      </c>
      <c r="K194" s="323">
        <f t="shared" si="8"/>
        <v>12</v>
      </c>
      <c r="L194" s="326"/>
      <c r="M194" s="363"/>
      <c r="N194" s="328"/>
    </row>
    <row r="195" spans="1:16" s="317" customFormat="1" ht="20.149999999999999" customHeight="1" x14ac:dyDescent="0.35">
      <c r="B195" s="373"/>
      <c r="C195" s="374" t="s">
        <v>341</v>
      </c>
      <c r="D195" s="374"/>
      <c r="E195" s="375">
        <f>SUM(E182:E194)</f>
        <v>116.96000000000001</v>
      </c>
      <c r="F195" s="375">
        <f>SUM(F182:F194)</f>
        <v>57.309999999999995</v>
      </c>
      <c r="G195" s="375">
        <f>SUM(G182:G194)</f>
        <v>0</v>
      </c>
      <c r="H195" s="375">
        <f>SUM(H182:H194)</f>
        <v>3.42</v>
      </c>
      <c r="I195" s="375">
        <f>SUM(I182:I194)</f>
        <v>56.230000000000004</v>
      </c>
      <c r="J195" s="376"/>
      <c r="K195" s="375"/>
      <c r="L195" s="372"/>
      <c r="M195" s="453"/>
      <c r="N195" s="377"/>
      <c r="O195" s="320"/>
    </row>
    <row r="196" spans="1:16" ht="20.149999999999999" customHeight="1" x14ac:dyDescent="0.35">
      <c r="B196" s="321"/>
      <c r="C196" s="330"/>
      <c r="D196" s="330"/>
      <c r="E196" s="323"/>
      <c r="F196" s="323"/>
      <c r="G196" s="323"/>
      <c r="H196" s="323"/>
      <c r="I196" s="323"/>
      <c r="J196" s="325"/>
      <c r="K196" s="323"/>
      <c r="L196" s="326"/>
      <c r="M196" s="363"/>
      <c r="N196" s="328"/>
      <c r="O196" s="331"/>
    </row>
    <row r="197" spans="1:16" s="317" customFormat="1" ht="20.149999999999999" customHeight="1" x14ac:dyDescent="0.35">
      <c r="B197" s="390" t="s">
        <v>605</v>
      </c>
      <c r="C197" s="378"/>
      <c r="D197" s="378"/>
      <c r="E197" s="375"/>
      <c r="F197" s="375"/>
      <c r="G197" s="375"/>
      <c r="H197" s="375"/>
      <c r="I197" s="375"/>
      <c r="J197" s="372"/>
      <c r="K197" s="375"/>
      <c r="L197" s="400"/>
      <c r="M197" s="453"/>
      <c r="N197" s="377"/>
    </row>
    <row r="198" spans="1:16" ht="20.149999999999999" customHeight="1" x14ac:dyDescent="0.35">
      <c r="A198" s="329">
        <v>1</v>
      </c>
      <c r="B198" s="321">
        <v>192</v>
      </c>
      <c r="C198" s="336" t="s">
        <v>606</v>
      </c>
      <c r="D198" s="336"/>
      <c r="E198" s="342">
        <f>'[1]road inventory 2018'!C359</f>
        <v>17</v>
      </c>
      <c r="F198" s="323">
        <f>10.754-(153.8/1000)</f>
        <v>10.600199999999999</v>
      </c>
      <c r="G198" s="323">
        <v>0</v>
      </c>
      <c r="H198" s="323">
        <v>0</v>
      </c>
      <c r="I198" s="323">
        <v>6.4</v>
      </c>
      <c r="J198" s="326" t="s">
        <v>10</v>
      </c>
      <c r="K198" s="323">
        <f>SUM(F198:I198)</f>
        <v>17.0002</v>
      </c>
      <c r="L198" s="326"/>
      <c r="M198" s="458"/>
      <c r="N198" s="343">
        <v>10.6</v>
      </c>
    </row>
    <row r="199" spans="1:16" ht="20.149999999999999" customHeight="1" x14ac:dyDescent="0.35">
      <c r="A199" s="329">
        <v>2</v>
      </c>
      <c r="B199" s="321">
        <v>193</v>
      </c>
      <c r="C199" s="336" t="s">
        <v>607</v>
      </c>
      <c r="D199" s="336"/>
      <c r="E199" s="342">
        <f>'[1]road inventory 2018'!C360</f>
        <v>1.8</v>
      </c>
      <c r="F199" s="323">
        <v>1.8</v>
      </c>
      <c r="G199" s="323">
        <v>0</v>
      </c>
      <c r="H199" s="323">
        <v>0</v>
      </c>
      <c r="I199" s="323">
        <v>0</v>
      </c>
      <c r="J199" s="326" t="s">
        <v>12</v>
      </c>
      <c r="K199" s="323">
        <f>SUM(F199:I199)</f>
        <v>1.8</v>
      </c>
      <c r="L199" s="326"/>
      <c r="M199" s="458"/>
      <c r="N199" s="343"/>
    </row>
    <row r="200" spans="1:16" ht="20.149999999999999" customHeight="1" x14ac:dyDescent="0.35">
      <c r="A200" s="329">
        <v>3</v>
      </c>
      <c r="B200" s="321">
        <v>194</v>
      </c>
      <c r="C200" s="336" t="s">
        <v>608</v>
      </c>
      <c r="D200" s="336"/>
      <c r="E200" s="342">
        <f>'[1]road inventory 2018'!C361</f>
        <v>5.3</v>
      </c>
      <c r="F200" s="323">
        <v>3.5409999999999999</v>
      </c>
      <c r="G200" s="323">
        <v>0</v>
      </c>
      <c r="H200" s="323">
        <v>0</v>
      </c>
      <c r="I200" s="323">
        <v>1.7589999999999999</v>
      </c>
      <c r="J200" s="326" t="s">
        <v>12</v>
      </c>
      <c r="K200" s="323">
        <f>SUM(F200:I200)</f>
        <v>5.3</v>
      </c>
      <c r="L200" s="326"/>
      <c r="M200" s="458"/>
      <c r="N200" s="343"/>
    </row>
    <row r="201" spans="1:16" ht="20.149999999999999" customHeight="1" x14ac:dyDescent="0.35">
      <c r="A201" s="329">
        <v>4</v>
      </c>
      <c r="B201" s="321">
        <v>195</v>
      </c>
      <c r="C201" s="336" t="s">
        <v>609</v>
      </c>
      <c r="D201" s="336"/>
      <c r="E201" s="342">
        <v>3.9000000000000004</v>
      </c>
      <c r="F201" s="323">
        <v>1.2</v>
      </c>
      <c r="G201" s="323">
        <v>0</v>
      </c>
      <c r="H201" s="323">
        <v>0</v>
      </c>
      <c r="I201" s="323">
        <v>2.7</v>
      </c>
      <c r="J201" s="326" t="s">
        <v>12</v>
      </c>
      <c r="K201" s="323">
        <f>SUM(F201:I201)</f>
        <v>3.9000000000000004</v>
      </c>
      <c r="L201" s="326"/>
      <c r="M201" s="458" t="s">
        <v>746</v>
      </c>
      <c r="N201" s="343"/>
    </row>
    <row r="202" spans="1:16" s="317" customFormat="1" ht="20.149999999999999" customHeight="1" x14ac:dyDescent="0.35">
      <c r="B202" s="373"/>
      <c r="C202" s="374" t="s">
        <v>341</v>
      </c>
      <c r="D202" s="374"/>
      <c r="E202" s="375">
        <f>SUM(E198:E201)</f>
        <v>28</v>
      </c>
      <c r="F202" s="375">
        <f>SUM(F198:F201)</f>
        <v>17.141200000000001</v>
      </c>
      <c r="G202" s="375">
        <f>SUM(G198:G201)</f>
        <v>0</v>
      </c>
      <c r="H202" s="375">
        <f>SUM(H198:H201)</f>
        <v>0</v>
      </c>
      <c r="I202" s="375">
        <f>SUM(I198:I201)</f>
        <v>10.859000000000002</v>
      </c>
      <c r="J202" s="376"/>
      <c r="K202" s="375"/>
      <c r="L202" s="372"/>
      <c r="M202" s="453"/>
      <c r="N202" s="377"/>
      <c r="O202" s="320"/>
    </row>
    <row r="203" spans="1:16" ht="20.149999999999999" customHeight="1" x14ac:dyDescent="0.35">
      <c r="B203" s="321"/>
      <c r="C203" s="330"/>
      <c r="D203" s="330"/>
      <c r="E203" s="323"/>
      <c r="F203" s="323"/>
      <c r="G203" s="323"/>
      <c r="H203" s="323"/>
      <c r="I203" s="323"/>
      <c r="J203" s="325"/>
      <c r="K203" s="323"/>
      <c r="L203" s="326"/>
      <c r="M203" s="363"/>
      <c r="N203" s="328"/>
      <c r="O203" s="331"/>
      <c r="P203" s="317" t="s">
        <v>845</v>
      </c>
    </row>
    <row r="204" spans="1:16" s="317" customFormat="1" ht="20.149999999999999" customHeight="1" x14ac:dyDescent="0.35">
      <c r="B204" s="403" t="s">
        <v>547</v>
      </c>
      <c r="C204" s="378"/>
      <c r="D204" s="378"/>
      <c r="E204" s="404"/>
      <c r="F204" s="404"/>
      <c r="G204" s="404"/>
      <c r="H204" s="404"/>
      <c r="I204" s="404"/>
      <c r="J204" s="405"/>
      <c r="K204" s="375"/>
      <c r="L204" s="402"/>
      <c r="M204" s="453"/>
      <c r="N204" s="377"/>
      <c r="P204" s="320">
        <f>E252+E213+E202+E195+E179+E175+E164+E150</f>
        <v>349.815</v>
      </c>
    </row>
    <row r="205" spans="1:16" ht="20.149999999999999" customHeight="1" x14ac:dyDescent="0.35">
      <c r="A205" s="329">
        <v>1</v>
      </c>
      <c r="B205" s="344">
        <v>196</v>
      </c>
      <c r="C205" s="348" t="s">
        <v>548</v>
      </c>
      <c r="D205" s="348"/>
      <c r="E205" s="345">
        <f>'[1]road inventory 2018'!C283</f>
        <v>12.700000000000001</v>
      </c>
      <c r="F205" s="345">
        <v>8.2100000000000009</v>
      </c>
      <c r="G205" s="345">
        <v>0</v>
      </c>
      <c r="H205" s="345">
        <v>0</v>
      </c>
      <c r="I205" s="345">
        <v>4.49</v>
      </c>
      <c r="J205" s="346" t="s">
        <v>12</v>
      </c>
      <c r="K205" s="323">
        <f t="shared" ref="K205:K212" si="9">SUM(F205:I205)</f>
        <v>12.700000000000001</v>
      </c>
      <c r="L205" s="347" t="s">
        <v>549</v>
      </c>
      <c r="M205" s="363"/>
      <c r="N205" s="328"/>
    </row>
    <row r="206" spans="1:16" ht="20.149999999999999" customHeight="1" x14ac:dyDescent="0.35">
      <c r="A206" s="329">
        <v>2</v>
      </c>
      <c r="B206" s="344">
        <v>197</v>
      </c>
      <c r="C206" s="348" t="s">
        <v>550</v>
      </c>
      <c r="D206" s="348"/>
      <c r="E206" s="345">
        <f>'[1]road inventory 2018'!C284</f>
        <v>6.6</v>
      </c>
      <c r="F206" s="345">
        <v>3.0939999999999999</v>
      </c>
      <c r="G206" s="345">
        <v>1.833</v>
      </c>
      <c r="H206" s="345">
        <v>0</v>
      </c>
      <c r="I206" s="345">
        <v>1.673</v>
      </c>
      <c r="J206" s="346" t="s">
        <v>10</v>
      </c>
      <c r="K206" s="323">
        <f t="shared" si="9"/>
        <v>6.6</v>
      </c>
      <c r="L206" s="347" t="s">
        <v>551</v>
      </c>
      <c r="M206" s="363"/>
      <c r="N206" s="328"/>
    </row>
    <row r="207" spans="1:16" ht="20.149999999999999" customHeight="1" x14ac:dyDescent="0.35">
      <c r="A207" s="329">
        <v>3</v>
      </c>
      <c r="B207" s="344">
        <v>199</v>
      </c>
      <c r="C207" s="348" t="s">
        <v>552</v>
      </c>
      <c r="D207" s="348"/>
      <c r="E207" s="345">
        <f>'[1]road inventory 2018'!C285</f>
        <v>5</v>
      </c>
      <c r="F207" s="345">
        <v>0.161</v>
      </c>
      <c r="G207" s="345">
        <v>3.31</v>
      </c>
      <c r="H207" s="345">
        <v>0.1</v>
      </c>
      <c r="I207" s="345">
        <v>1.429</v>
      </c>
      <c r="J207" s="346" t="s">
        <v>41</v>
      </c>
      <c r="K207" s="323">
        <f t="shared" si="9"/>
        <v>5</v>
      </c>
      <c r="L207" s="347" t="s">
        <v>553</v>
      </c>
      <c r="M207" s="363"/>
      <c r="N207" s="328"/>
    </row>
    <row r="208" spans="1:16" ht="20.149999999999999" customHeight="1" x14ac:dyDescent="0.35">
      <c r="A208" s="329">
        <v>4</v>
      </c>
      <c r="B208" s="344">
        <v>200</v>
      </c>
      <c r="C208" s="348" t="s">
        <v>291</v>
      </c>
      <c r="D208" s="348"/>
      <c r="E208" s="345">
        <f>'[1]road inventory 2018'!C286</f>
        <v>1.1000000000000001</v>
      </c>
      <c r="F208" s="345">
        <v>1.1000000000000001</v>
      </c>
      <c r="G208" s="345">
        <v>0</v>
      </c>
      <c r="H208" s="345">
        <v>0</v>
      </c>
      <c r="I208" s="345">
        <v>0</v>
      </c>
      <c r="J208" s="346" t="s">
        <v>10</v>
      </c>
      <c r="K208" s="323">
        <f t="shared" si="9"/>
        <v>1.1000000000000001</v>
      </c>
      <c r="L208" s="347" t="s">
        <v>554</v>
      </c>
      <c r="M208" s="363"/>
      <c r="N208" s="328"/>
    </row>
    <row r="209" spans="1:15" ht="20.149999999999999" customHeight="1" x14ac:dyDescent="0.35">
      <c r="A209" s="329">
        <v>5</v>
      </c>
      <c r="B209" s="344">
        <v>201</v>
      </c>
      <c r="C209" s="348" t="s">
        <v>555</v>
      </c>
      <c r="D209" s="348"/>
      <c r="E209" s="345">
        <f>'[1]road inventory 2018'!C287</f>
        <v>5.2</v>
      </c>
      <c r="F209" s="345">
        <v>2.7</v>
      </c>
      <c r="G209" s="345">
        <v>0</v>
      </c>
      <c r="H209" s="345">
        <v>0</v>
      </c>
      <c r="I209" s="345">
        <v>2.5</v>
      </c>
      <c r="J209" s="346" t="s">
        <v>10</v>
      </c>
      <c r="K209" s="323">
        <f t="shared" si="9"/>
        <v>5.2</v>
      </c>
      <c r="L209" s="347" t="s">
        <v>556</v>
      </c>
      <c r="M209" s="363"/>
      <c r="N209" s="328"/>
    </row>
    <row r="210" spans="1:15" ht="20.149999999999999" customHeight="1" x14ac:dyDescent="0.35">
      <c r="A210" s="329">
        <v>6</v>
      </c>
      <c r="B210" s="344">
        <v>202</v>
      </c>
      <c r="C210" s="348" t="s">
        <v>557</v>
      </c>
      <c r="D210" s="348"/>
      <c r="E210" s="345">
        <f>'[1]road inventory 2018'!C288</f>
        <v>5.3000000000000007</v>
      </c>
      <c r="F210" s="345">
        <v>1.37</v>
      </c>
      <c r="G210" s="345">
        <v>0</v>
      </c>
      <c r="H210" s="345">
        <v>0</v>
      </c>
      <c r="I210" s="345">
        <v>3.93</v>
      </c>
      <c r="J210" s="346" t="s">
        <v>10</v>
      </c>
      <c r="K210" s="323">
        <f t="shared" si="9"/>
        <v>5.3000000000000007</v>
      </c>
      <c r="L210" s="347" t="s">
        <v>556</v>
      </c>
      <c r="M210" s="363"/>
      <c r="N210" s="328">
        <v>1.37</v>
      </c>
    </row>
    <row r="211" spans="1:15" ht="20.149999999999999" customHeight="1" x14ac:dyDescent="0.35">
      <c r="A211" s="329">
        <v>7</v>
      </c>
      <c r="B211" s="344">
        <v>203</v>
      </c>
      <c r="C211" s="348" t="s">
        <v>558</v>
      </c>
      <c r="D211" s="348"/>
      <c r="E211" s="345">
        <f>'[1]road inventory 2018'!C289</f>
        <v>3.8</v>
      </c>
      <c r="F211" s="345">
        <v>2.5350000000000001</v>
      </c>
      <c r="G211" s="345">
        <v>0</v>
      </c>
      <c r="H211" s="345">
        <v>0</v>
      </c>
      <c r="I211" s="345">
        <v>1.2649999999999999</v>
      </c>
      <c r="J211" s="346" t="s">
        <v>10</v>
      </c>
      <c r="K211" s="323">
        <f t="shared" si="9"/>
        <v>3.8</v>
      </c>
      <c r="L211" s="347" t="s">
        <v>559</v>
      </c>
      <c r="M211" s="363"/>
      <c r="N211" s="328"/>
    </row>
    <row r="212" spans="1:15" ht="20.149999999999999" customHeight="1" x14ac:dyDescent="0.35">
      <c r="A212" s="329">
        <v>8</v>
      </c>
      <c r="B212" s="344">
        <v>228</v>
      </c>
      <c r="C212" s="348" t="s">
        <v>141</v>
      </c>
      <c r="D212" s="348"/>
      <c r="E212" s="345">
        <f>'[1]road inventory 2018'!C290</f>
        <v>9.3000000000000007</v>
      </c>
      <c r="F212" s="345">
        <v>7.22</v>
      </c>
      <c r="G212" s="345">
        <v>0</v>
      </c>
      <c r="H212" s="345">
        <v>0</v>
      </c>
      <c r="I212" s="345">
        <f>0.83+1.25</f>
        <v>2.08</v>
      </c>
      <c r="J212" s="346" t="s">
        <v>10</v>
      </c>
      <c r="K212" s="323">
        <f t="shared" si="9"/>
        <v>9.3000000000000007</v>
      </c>
      <c r="L212" s="347"/>
      <c r="M212" s="363"/>
      <c r="N212" s="328"/>
    </row>
    <row r="213" spans="1:15" s="317" customFormat="1" ht="20.149999999999999" customHeight="1" x14ac:dyDescent="0.35">
      <c r="B213" s="373"/>
      <c r="C213" s="374" t="s">
        <v>341</v>
      </c>
      <c r="D213" s="374"/>
      <c r="E213" s="375">
        <f>SUM(E205:E212)</f>
        <v>49</v>
      </c>
      <c r="F213" s="375">
        <f>SUM(F205:F212)</f>
        <v>26.39</v>
      </c>
      <c r="G213" s="375">
        <f>SUM(G205:G212)</f>
        <v>5.1429999999999998</v>
      </c>
      <c r="H213" s="375">
        <f>SUM(H205:H212)</f>
        <v>0.1</v>
      </c>
      <c r="I213" s="375">
        <f>SUM(I205:I212)</f>
        <v>17.367000000000001</v>
      </c>
      <c r="J213" s="376"/>
      <c r="K213" s="375"/>
      <c r="L213" s="372"/>
      <c r="M213" s="453"/>
      <c r="N213" s="377"/>
      <c r="O213" s="320"/>
    </row>
    <row r="214" spans="1:15" ht="20.149999999999999" customHeight="1" x14ac:dyDescent="0.35">
      <c r="B214" s="321"/>
      <c r="C214" s="330"/>
      <c r="D214" s="330"/>
      <c r="E214" s="323"/>
      <c r="F214" s="323"/>
      <c r="G214" s="323"/>
      <c r="H214" s="323"/>
      <c r="I214" s="323"/>
      <c r="J214" s="325"/>
      <c r="K214" s="323"/>
      <c r="L214" s="326"/>
      <c r="M214" s="363"/>
      <c r="N214" s="328"/>
      <c r="O214" s="331"/>
    </row>
    <row r="215" spans="1:15" s="317" customFormat="1" ht="20.149999999999999" customHeight="1" x14ac:dyDescent="0.35">
      <c r="B215" s="403" t="s">
        <v>501</v>
      </c>
      <c r="C215" s="378"/>
      <c r="D215" s="378"/>
      <c r="E215" s="404"/>
      <c r="F215" s="404"/>
      <c r="G215" s="404"/>
      <c r="H215" s="404"/>
      <c r="I215" s="404"/>
      <c r="J215" s="405"/>
      <c r="K215" s="375"/>
      <c r="L215" s="402"/>
      <c r="M215" s="453"/>
      <c r="N215" s="377"/>
    </row>
    <row r="216" spans="1:15" ht="20.149999999999999" customHeight="1" x14ac:dyDescent="0.35">
      <c r="A216" s="329">
        <v>1</v>
      </c>
      <c r="B216" s="321">
        <v>153</v>
      </c>
      <c r="C216" s="336" t="s">
        <v>121</v>
      </c>
      <c r="D216" s="336">
        <f>[2]CARRIAGEWAY!$D$13:$L$13</f>
        <v>11.456999999999999</v>
      </c>
      <c r="E216" s="336">
        <f>D216</f>
        <v>11.456999999999999</v>
      </c>
      <c r="F216" s="323">
        <f>[2]CARRIAGEWAY!$V$360</f>
        <v>4.8800000000000008</v>
      </c>
      <c r="G216" s="323">
        <f>[3]CARRIAGEWAY!$X$360</f>
        <v>0</v>
      </c>
      <c r="H216" s="323">
        <v>0</v>
      </c>
      <c r="I216" s="349">
        <f>D216-F216</f>
        <v>6.5769999999999982</v>
      </c>
      <c r="J216" s="325" t="s">
        <v>12</v>
      </c>
      <c r="K216" s="323">
        <f t="shared" ref="K216:K229" si="10">SUM(F216:I216)</f>
        <v>11.456999999999999</v>
      </c>
      <c r="L216" s="326" t="s">
        <v>502</v>
      </c>
      <c r="M216" s="350" t="s">
        <v>747</v>
      </c>
      <c r="N216" s="328"/>
    </row>
    <row r="217" spans="1:15" ht="20.149999999999999" customHeight="1" x14ac:dyDescent="0.35">
      <c r="A217" s="329">
        <v>2</v>
      </c>
      <c r="B217" s="321">
        <v>125</v>
      </c>
      <c r="C217" s="336" t="s">
        <v>125</v>
      </c>
      <c r="D217" s="336">
        <f>[4]CARRIAGEWAY!$D$13:$L$13</f>
        <v>2.9</v>
      </c>
      <c r="E217" s="336">
        <f t="shared" ref="E217:E223" si="11">D217</f>
        <v>2.9</v>
      </c>
      <c r="F217" s="323">
        <v>0</v>
      </c>
      <c r="G217" s="323">
        <v>0</v>
      </c>
      <c r="H217" s="323">
        <v>0</v>
      </c>
      <c r="I217" s="349">
        <v>2.9</v>
      </c>
      <c r="J217" s="325" t="s">
        <v>12</v>
      </c>
      <c r="K217" s="323">
        <f t="shared" si="10"/>
        <v>2.9</v>
      </c>
      <c r="L217" s="326" t="s">
        <v>502</v>
      </c>
      <c r="M217" s="363"/>
      <c r="N217" s="328"/>
    </row>
    <row r="218" spans="1:15" ht="20.149999999999999" customHeight="1" x14ac:dyDescent="0.35">
      <c r="A218" s="329">
        <v>3</v>
      </c>
      <c r="B218" s="321">
        <v>154</v>
      </c>
      <c r="C218" s="336" t="s">
        <v>127</v>
      </c>
      <c r="D218" s="336">
        <f>[5]CARRIAGEWAY!$D$13:$L$13</f>
        <v>7.016</v>
      </c>
      <c r="E218" s="336">
        <f t="shared" si="11"/>
        <v>7.016</v>
      </c>
      <c r="F218" s="323">
        <f>[5]CARRIAGEWAY!$V$360</f>
        <v>0.27400000000000002</v>
      </c>
      <c r="G218" s="323">
        <v>0</v>
      </c>
      <c r="H218" s="323">
        <v>0</v>
      </c>
      <c r="I218" s="349">
        <f>D218-F218</f>
        <v>6.742</v>
      </c>
      <c r="J218" s="325" t="s">
        <v>12</v>
      </c>
      <c r="K218" s="323">
        <f t="shared" si="10"/>
        <v>7.016</v>
      </c>
      <c r="L218" s="326" t="s">
        <v>503</v>
      </c>
      <c r="M218" s="363"/>
      <c r="N218" s="328"/>
    </row>
    <row r="219" spans="1:15" ht="20.149999999999999" customHeight="1" x14ac:dyDescent="0.35">
      <c r="A219" s="329">
        <v>4</v>
      </c>
      <c r="B219" s="321">
        <v>127</v>
      </c>
      <c r="C219" s="336" t="s">
        <v>504</v>
      </c>
      <c r="D219" s="336">
        <f>[6]CARRIAGEWAY!$D$13:$L$13</f>
        <v>3.1</v>
      </c>
      <c r="E219" s="336">
        <f t="shared" si="11"/>
        <v>3.1</v>
      </c>
      <c r="F219" s="323">
        <f>[6]CARRIAGEWAY!$V$360</f>
        <v>1.5590000000000002</v>
      </c>
      <c r="G219" s="323">
        <v>0</v>
      </c>
      <c r="H219" s="323">
        <v>0</v>
      </c>
      <c r="I219" s="349">
        <f>D219-F219</f>
        <v>1.5409999999999999</v>
      </c>
      <c r="J219" s="325" t="s">
        <v>10</v>
      </c>
      <c r="K219" s="323">
        <f t="shared" si="10"/>
        <v>3.1</v>
      </c>
      <c r="L219" s="326" t="s">
        <v>505</v>
      </c>
      <c r="M219" s="363"/>
      <c r="N219" s="328"/>
    </row>
    <row r="220" spans="1:15" ht="20.149999999999999" customHeight="1" x14ac:dyDescent="0.35">
      <c r="A220" s="329">
        <v>5</v>
      </c>
      <c r="B220" s="321">
        <v>128</v>
      </c>
      <c r="C220" s="336" t="s">
        <v>507</v>
      </c>
      <c r="D220" s="336">
        <f>[7]CARRIAGEWAY!$D$13:$L$13</f>
        <v>2.323</v>
      </c>
      <c r="E220" s="336">
        <f t="shared" si="11"/>
        <v>2.323</v>
      </c>
      <c r="F220" s="323">
        <f>[7]CARRIAGEWAY!$V$360</f>
        <v>2.1819999999999999</v>
      </c>
      <c r="G220" s="323">
        <v>0</v>
      </c>
      <c r="H220" s="323">
        <v>0</v>
      </c>
      <c r="I220" s="349">
        <f>D220-F220</f>
        <v>0.14100000000000001</v>
      </c>
      <c r="J220" s="325" t="s">
        <v>10</v>
      </c>
      <c r="K220" s="323">
        <f t="shared" si="10"/>
        <v>2.323</v>
      </c>
      <c r="L220" s="326" t="s">
        <v>508</v>
      </c>
      <c r="M220" s="363"/>
      <c r="N220" s="328"/>
    </row>
    <row r="221" spans="1:15" ht="20.149999999999999" customHeight="1" x14ac:dyDescent="0.35">
      <c r="A221" s="329">
        <v>6</v>
      </c>
      <c r="B221" s="321">
        <v>155</v>
      </c>
      <c r="C221" s="336" t="s">
        <v>509</v>
      </c>
      <c r="D221" s="336">
        <f>[8]CARRIAGEWAY!$D$13:$L$13</f>
        <v>3.7970000000000002</v>
      </c>
      <c r="E221" s="336">
        <f t="shared" si="11"/>
        <v>3.7970000000000002</v>
      </c>
      <c r="F221" s="323">
        <v>1.99</v>
      </c>
      <c r="G221" s="323">
        <v>0</v>
      </c>
      <c r="H221" s="323">
        <v>0</v>
      </c>
      <c r="I221" s="349">
        <f>D221-F221</f>
        <v>1.8070000000000002</v>
      </c>
      <c r="J221" s="325" t="s">
        <v>41</v>
      </c>
      <c r="K221" s="323">
        <f t="shared" si="10"/>
        <v>3.7970000000000002</v>
      </c>
      <c r="L221" s="326" t="s">
        <v>510</v>
      </c>
      <c r="M221" s="363"/>
      <c r="N221" s="328"/>
    </row>
    <row r="222" spans="1:15" ht="20.149999999999999" customHeight="1" x14ac:dyDescent="0.35">
      <c r="A222" s="329">
        <v>7</v>
      </c>
      <c r="B222" s="321">
        <v>129</v>
      </c>
      <c r="C222" s="336" t="s">
        <v>512</v>
      </c>
      <c r="D222" s="336">
        <f>[9]CARRIAGEWAY!$D$13:$L$13</f>
        <v>2.7849999999999997</v>
      </c>
      <c r="E222" s="336">
        <f t="shared" si="11"/>
        <v>2.7849999999999997</v>
      </c>
      <c r="F222" s="323">
        <v>0</v>
      </c>
      <c r="G222" s="323">
        <v>0</v>
      </c>
      <c r="H222" s="323">
        <v>0</v>
      </c>
      <c r="I222" s="349">
        <f>D222</f>
        <v>2.7849999999999997</v>
      </c>
      <c r="J222" s="325" t="s">
        <v>12</v>
      </c>
      <c r="K222" s="323">
        <f t="shared" si="10"/>
        <v>2.7849999999999997</v>
      </c>
      <c r="L222" s="326" t="s">
        <v>513</v>
      </c>
      <c r="M222" s="363"/>
      <c r="N222" s="328"/>
    </row>
    <row r="223" spans="1:15" ht="20.149999999999999" customHeight="1" x14ac:dyDescent="0.35">
      <c r="A223" s="329">
        <v>8</v>
      </c>
      <c r="B223" s="321">
        <v>156</v>
      </c>
      <c r="C223" s="336" t="s">
        <v>130</v>
      </c>
      <c r="D223" s="336">
        <v>20.45</v>
      </c>
      <c r="E223" s="336">
        <f t="shared" si="11"/>
        <v>20.45</v>
      </c>
      <c r="F223" s="323">
        <f>5.49+2.715</f>
        <v>8.2050000000000001</v>
      </c>
      <c r="G223" s="323">
        <v>0</v>
      </c>
      <c r="H223" s="323">
        <v>0</v>
      </c>
      <c r="I223" s="349">
        <f>D223-F223</f>
        <v>12.244999999999999</v>
      </c>
      <c r="J223" s="325" t="s">
        <v>12</v>
      </c>
      <c r="K223" s="323">
        <f t="shared" si="10"/>
        <v>20.45</v>
      </c>
      <c r="L223" s="326" t="s">
        <v>514</v>
      </c>
      <c r="M223" s="363"/>
      <c r="N223" s="328">
        <f>5.49+2.715</f>
        <v>8.2050000000000001</v>
      </c>
    </row>
    <row r="224" spans="1:15" ht="20.149999999999999" customHeight="1" x14ac:dyDescent="0.35">
      <c r="A224" s="329">
        <v>9</v>
      </c>
      <c r="B224" s="321">
        <v>157</v>
      </c>
      <c r="C224" s="336" t="s">
        <v>515</v>
      </c>
      <c r="D224" s="931"/>
      <c r="E224" s="323">
        <f>'[1]road inventory 2018'!C254</f>
        <v>8.6999999999999993</v>
      </c>
      <c r="F224" s="323">
        <v>0</v>
      </c>
      <c r="G224" s="323">
        <v>0</v>
      </c>
      <c r="H224" s="323">
        <v>0</v>
      </c>
      <c r="I224" s="349">
        <v>0</v>
      </c>
      <c r="J224" s="325" t="s">
        <v>12</v>
      </c>
      <c r="K224" s="323">
        <f t="shared" si="10"/>
        <v>0</v>
      </c>
      <c r="L224" s="326"/>
      <c r="M224" s="363"/>
      <c r="N224" s="328"/>
    </row>
    <row r="225" spans="1:16" ht="20.149999999999999" customHeight="1" x14ac:dyDescent="0.35">
      <c r="A225" s="329">
        <v>10</v>
      </c>
      <c r="B225" s="321">
        <v>158</v>
      </c>
      <c r="C225" s="336" t="s">
        <v>517</v>
      </c>
      <c r="D225" s="931"/>
      <c r="E225" s="323">
        <f>'[1]road inventory 2018'!C255</f>
        <v>7.1999999999999993</v>
      </c>
      <c r="F225" s="323">
        <v>0</v>
      </c>
      <c r="G225" s="323">
        <v>0</v>
      </c>
      <c r="H225" s="323">
        <v>0</v>
      </c>
      <c r="I225" s="349">
        <v>0</v>
      </c>
      <c r="J225" s="325" t="s">
        <v>33</v>
      </c>
      <c r="K225" s="323">
        <f t="shared" si="10"/>
        <v>0</v>
      </c>
      <c r="L225" s="326"/>
      <c r="M225" s="363"/>
      <c r="N225" s="328">
        <v>4.08</v>
      </c>
    </row>
    <row r="226" spans="1:16" ht="20.149999999999999" customHeight="1" x14ac:dyDescent="0.35">
      <c r="A226" s="329">
        <v>11</v>
      </c>
      <c r="B226" s="321">
        <v>159</v>
      </c>
      <c r="C226" s="336" t="s">
        <v>518</v>
      </c>
      <c r="D226" s="931"/>
      <c r="E226" s="323">
        <f>'[1]road inventory 2018'!C256</f>
        <v>4.8</v>
      </c>
      <c r="F226" s="323">
        <v>0</v>
      </c>
      <c r="G226" s="323">
        <v>0</v>
      </c>
      <c r="H226" s="323">
        <v>0</v>
      </c>
      <c r="I226" s="349">
        <v>0</v>
      </c>
      <c r="J226" s="325" t="s">
        <v>33</v>
      </c>
      <c r="K226" s="323">
        <f t="shared" si="10"/>
        <v>0</v>
      </c>
      <c r="L226" s="326"/>
      <c r="M226" s="363"/>
      <c r="N226" s="328"/>
    </row>
    <row r="227" spans="1:16" ht="20.149999999999999" customHeight="1" x14ac:dyDescent="0.35">
      <c r="A227" s="329">
        <v>12</v>
      </c>
      <c r="B227" s="321">
        <v>130</v>
      </c>
      <c r="C227" s="336" t="s">
        <v>519</v>
      </c>
      <c r="D227" s="336">
        <v>10.55</v>
      </c>
      <c r="E227" s="323">
        <f>D227</f>
        <v>10.55</v>
      </c>
      <c r="F227" s="323">
        <v>2.2000000000000002</v>
      </c>
      <c r="G227" s="323">
        <f>[10]CARRIAGEWAY!$X$360</f>
        <v>0</v>
      </c>
      <c r="H227" s="323">
        <v>0</v>
      </c>
      <c r="I227" s="349">
        <f>D227-F227</f>
        <v>8.3500000000000014</v>
      </c>
      <c r="J227" s="325" t="s">
        <v>41</v>
      </c>
      <c r="K227" s="323">
        <f t="shared" si="10"/>
        <v>10.55</v>
      </c>
      <c r="L227" s="326" t="s">
        <v>520</v>
      </c>
      <c r="M227" s="363"/>
      <c r="N227" s="328"/>
      <c r="O227" s="351"/>
      <c r="P227" s="352"/>
    </row>
    <row r="228" spans="1:16" ht="20.149999999999999" customHeight="1" x14ac:dyDescent="0.35">
      <c r="A228" s="329">
        <v>13</v>
      </c>
      <c r="B228" s="321">
        <v>131</v>
      </c>
      <c r="C228" s="336" t="s">
        <v>523</v>
      </c>
      <c r="D228" s="336">
        <f>[11]CARRIAGEWAY!$D$13:$L$13</f>
        <v>5.3309999999999995</v>
      </c>
      <c r="E228" s="323">
        <f>D228</f>
        <v>5.3309999999999995</v>
      </c>
      <c r="F228" s="323">
        <v>4.8499999999999996</v>
      </c>
      <c r="G228" s="323">
        <v>0</v>
      </c>
      <c r="H228" s="323">
        <v>0</v>
      </c>
      <c r="I228" s="349">
        <f>D228-F228</f>
        <v>0.48099999999999987</v>
      </c>
      <c r="J228" s="325" t="s">
        <v>12</v>
      </c>
      <c r="K228" s="323">
        <f t="shared" si="10"/>
        <v>5.3309999999999995</v>
      </c>
      <c r="L228" s="326"/>
      <c r="M228" s="363"/>
      <c r="N228" s="328"/>
    </row>
    <row r="229" spans="1:16" ht="20.149999999999999" customHeight="1" x14ac:dyDescent="0.35">
      <c r="A229" s="329">
        <v>14</v>
      </c>
      <c r="B229" s="321">
        <v>135</v>
      </c>
      <c r="C229" s="336" t="s">
        <v>139</v>
      </c>
      <c r="D229" s="336">
        <f>[12]CARRIAGEWAY!$D$13:$L$13</f>
        <v>4.4809999999999999</v>
      </c>
      <c r="E229" s="323">
        <f>D229</f>
        <v>4.4809999999999999</v>
      </c>
      <c r="F229" s="323">
        <v>0</v>
      </c>
      <c r="G229" s="323">
        <v>0</v>
      </c>
      <c r="H229" s="323">
        <v>0</v>
      </c>
      <c r="I229" s="349">
        <f>D229</f>
        <v>4.4809999999999999</v>
      </c>
      <c r="J229" s="325" t="s">
        <v>12</v>
      </c>
      <c r="K229" s="323">
        <f t="shared" si="10"/>
        <v>4.4809999999999999</v>
      </c>
      <c r="L229" s="326" t="s">
        <v>525</v>
      </c>
      <c r="M229" s="363"/>
      <c r="N229" s="328"/>
    </row>
    <row r="230" spans="1:16" s="317" customFormat="1" ht="20.149999999999999" customHeight="1" x14ac:dyDescent="0.35">
      <c r="B230" s="373"/>
      <c r="C230" s="374" t="s">
        <v>341</v>
      </c>
      <c r="D230" s="374">
        <f t="shared" ref="D230:I230" si="12">SUM(D216:D229)</f>
        <v>74.19</v>
      </c>
      <c r="E230" s="375">
        <f t="shared" si="12"/>
        <v>94.89</v>
      </c>
      <c r="F230" s="375">
        <f t="shared" si="12"/>
        <v>26.14</v>
      </c>
      <c r="G230" s="375">
        <f t="shared" si="12"/>
        <v>0</v>
      </c>
      <c r="H230" s="375">
        <f t="shared" si="12"/>
        <v>0</v>
      </c>
      <c r="I230" s="375">
        <f t="shared" si="12"/>
        <v>48.05</v>
      </c>
      <c r="J230" s="376"/>
      <c r="K230" s="375"/>
      <c r="L230" s="372"/>
      <c r="M230" s="453">
        <f>F230+I230</f>
        <v>74.19</v>
      </c>
      <c r="N230" s="377"/>
      <c r="O230" s="320"/>
    </row>
    <row r="231" spans="1:16" ht="20.149999999999999" customHeight="1" x14ac:dyDescent="0.35">
      <c r="B231" s="321"/>
      <c r="C231" s="330"/>
      <c r="D231" s="330"/>
      <c r="E231" s="323"/>
      <c r="F231" s="323"/>
      <c r="G231" s="323"/>
      <c r="H231" s="323"/>
      <c r="I231" s="323"/>
      <c r="J231" s="325"/>
      <c r="K231" s="323"/>
      <c r="L231" s="326"/>
      <c r="M231" s="363"/>
      <c r="N231" s="328"/>
      <c r="O231" s="320" t="s">
        <v>300</v>
      </c>
    </row>
    <row r="232" spans="1:16" s="317" customFormat="1" ht="20.149999999999999" customHeight="1" x14ac:dyDescent="0.35">
      <c r="B232" s="390" t="s">
        <v>494</v>
      </c>
      <c r="C232" s="378"/>
      <c r="D232" s="378"/>
      <c r="E232" s="375"/>
      <c r="F232" s="375"/>
      <c r="G232" s="375"/>
      <c r="H232" s="375"/>
      <c r="I232" s="406"/>
      <c r="J232" s="376"/>
      <c r="K232" s="375"/>
      <c r="L232" s="400"/>
      <c r="M232" s="453"/>
      <c r="N232" s="377"/>
      <c r="O232" s="320">
        <f>E230+E238+E272+E283+E294</f>
        <v>424.08599999999996</v>
      </c>
    </row>
    <row r="233" spans="1:16" ht="20.149999999999999" customHeight="1" x14ac:dyDescent="0.35">
      <c r="A233" s="329">
        <v>1</v>
      </c>
      <c r="B233" s="321">
        <v>148</v>
      </c>
      <c r="C233" s="336" t="s">
        <v>290</v>
      </c>
      <c r="D233" s="336">
        <f>[13]CARRIAGEWAY!$D$13:$L$13</f>
        <v>3.0760000000000005</v>
      </c>
      <c r="E233" s="323">
        <f>D233</f>
        <v>3.0760000000000005</v>
      </c>
      <c r="F233" s="323">
        <v>0.32500000000000001</v>
      </c>
      <c r="G233" s="323">
        <v>0</v>
      </c>
      <c r="H233" s="323">
        <v>0</v>
      </c>
      <c r="I233" s="323">
        <f>D233-F233</f>
        <v>2.7510000000000003</v>
      </c>
      <c r="J233" s="325" t="s">
        <v>41</v>
      </c>
      <c r="K233" s="323">
        <f>SUM(F233:I233)</f>
        <v>3.0760000000000005</v>
      </c>
      <c r="L233" s="325" t="s">
        <v>735</v>
      </c>
      <c r="M233" s="363"/>
      <c r="N233" s="328"/>
    </row>
    <row r="234" spans="1:16" ht="20.149999999999999" customHeight="1" x14ac:dyDescent="0.35">
      <c r="A234" s="329">
        <v>2</v>
      </c>
      <c r="B234" s="321">
        <v>149</v>
      </c>
      <c r="C234" s="336" t="s">
        <v>496</v>
      </c>
      <c r="D234" s="336">
        <f>[14]CARRIAGEWAY!$D$13:$L$13</f>
        <v>5.0560000000000009</v>
      </c>
      <c r="E234" s="323">
        <f>D234</f>
        <v>5.0560000000000009</v>
      </c>
      <c r="F234" s="323">
        <v>3.55</v>
      </c>
      <c r="G234" s="323">
        <v>0</v>
      </c>
      <c r="H234" s="323">
        <v>0</v>
      </c>
      <c r="I234" s="323">
        <f>D234-F234</f>
        <v>1.5060000000000011</v>
      </c>
      <c r="J234" s="325" t="s">
        <v>12</v>
      </c>
      <c r="K234" s="323">
        <f>SUM(F234:I234)</f>
        <v>5.0560000000000009</v>
      </c>
      <c r="L234" s="325" t="s">
        <v>736</v>
      </c>
      <c r="M234" s="363"/>
      <c r="N234" s="328"/>
    </row>
    <row r="235" spans="1:16" ht="20.149999999999999" customHeight="1" x14ac:dyDescent="0.35">
      <c r="A235" s="329">
        <v>3</v>
      </c>
      <c r="B235" s="321">
        <v>150</v>
      </c>
      <c r="C235" s="336" t="s">
        <v>116</v>
      </c>
      <c r="D235" s="336">
        <f>[15]CARRIAGEWAY!$D$13:$L$13</f>
        <v>11.209</v>
      </c>
      <c r="E235" s="323">
        <f>D235</f>
        <v>11.209</v>
      </c>
      <c r="F235" s="323">
        <v>7.01</v>
      </c>
      <c r="G235" s="323">
        <v>0</v>
      </c>
      <c r="H235" s="323">
        <v>0</v>
      </c>
      <c r="I235" s="323">
        <f>D235-F235</f>
        <v>4.1989999999999998</v>
      </c>
      <c r="J235" s="325" t="s">
        <v>10</v>
      </c>
      <c r="K235" s="323">
        <f>SUM(F235:I235)</f>
        <v>11.209</v>
      </c>
      <c r="L235" s="325" t="s">
        <v>737</v>
      </c>
      <c r="M235" s="363"/>
      <c r="N235" s="328"/>
    </row>
    <row r="236" spans="1:16" ht="20.149999999999999" customHeight="1" x14ac:dyDescent="0.35">
      <c r="A236" s="329">
        <v>4</v>
      </c>
      <c r="B236" s="321">
        <v>151</v>
      </c>
      <c r="C236" s="336" t="s">
        <v>499</v>
      </c>
      <c r="D236" s="336">
        <f>[16]CARRIAGEWAY!$D$13:$L$13</f>
        <v>4.0670000000000002</v>
      </c>
      <c r="E236" s="323">
        <f>D236</f>
        <v>4.0670000000000002</v>
      </c>
      <c r="F236" s="323">
        <v>1.85</v>
      </c>
      <c r="G236" s="323">
        <v>0</v>
      </c>
      <c r="H236" s="323">
        <v>0</v>
      </c>
      <c r="I236" s="323">
        <f>D236-F236</f>
        <v>2.2170000000000001</v>
      </c>
      <c r="J236" s="325" t="s">
        <v>12</v>
      </c>
      <c r="K236" s="323">
        <f>SUM(F236:I236)</f>
        <v>4.0670000000000002</v>
      </c>
      <c r="L236" s="325" t="s">
        <v>738</v>
      </c>
      <c r="M236" s="363"/>
      <c r="N236" s="328"/>
    </row>
    <row r="237" spans="1:16" ht="20.149999999999999" customHeight="1" x14ac:dyDescent="0.35">
      <c r="A237" s="329">
        <v>5</v>
      </c>
      <c r="B237" s="321">
        <v>152</v>
      </c>
      <c r="C237" s="336" t="s">
        <v>120</v>
      </c>
      <c r="D237" s="336">
        <f>[17]CARRIAGEWAY!$D$13:$L$13</f>
        <v>4.7160000000000002</v>
      </c>
      <c r="E237" s="323">
        <f>D237</f>
        <v>4.7160000000000002</v>
      </c>
      <c r="F237" s="323">
        <v>0.3</v>
      </c>
      <c r="G237" s="323">
        <v>0</v>
      </c>
      <c r="H237" s="323">
        <v>0</v>
      </c>
      <c r="I237" s="323">
        <f>D237-F237</f>
        <v>4.4160000000000004</v>
      </c>
      <c r="J237" s="325" t="s">
        <v>12</v>
      </c>
      <c r="K237" s="323">
        <f>SUM(F237:I237)</f>
        <v>4.7160000000000002</v>
      </c>
      <c r="L237" s="326"/>
      <c r="M237" s="363"/>
      <c r="N237" s="328"/>
      <c r="O237" s="329" t="e">
        <f>#REF!</f>
        <v>#REF!</v>
      </c>
    </row>
    <row r="238" spans="1:16" s="317" customFormat="1" ht="20.149999999999999" customHeight="1" x14ac:dyDescent="0.35">
      <c r="B238" s="373"/>
      <c r="C238" s="374" t="s">
        <v>341</v>
      </c>
      <c r="D238" s="374">
        <f t="shared" ref="D238:I238" si="13">SUM(D233:D237)</f>
        <v>28.124000000000002</v>
      </c>
      <c r="E238" s="375">
        <f t="shared" si="13"/>
        <v>28.124000000000002</v>
      </c>
      <c r="F238" s="375">
        <f t="shared" si="13"/>
        <v>13.035</v>
      </c>
      <c r="G238" s="375">
        <f t="shared" si="13"/>
        <v>0</v>
      </c>
      <c r="H238" s="375">
        <f t="shared" si="13"/>
        <v>0</v>
      </c>
      <c r="I238" s="375">
        <f t="shared" si="13"/>
        <v>15.089000000000002</v>
      </c>
      <c r="J238" s="376"/>
      <c r="K238" s="375"/>
      <c r="L238" s="372"/>
      <c r="M238" s="453">
        <f>F238+I238</f>
        <v>28.124000000000002</v>
      </c>
      <c r="N238" s="377"/>
      <c r="O238" s="320">
        <f>O232+P204+P15</f>
        <v>1250.251</v>
      </c>
    </row>
    <row r="239" spans="1:16" ht="20.149999999999999" customHeight="1" x14ac:dyDescent="0.35">
      <c r="B239" s="321"/>
      <c r="C239" s="330"/>
      <c r="D239" s="330"/>
      <c r="E239" s="323"/>
      <c r="F239" s="323"/>
      <c r="G239" s="323"/>
      <c r="H239" s="323"/>
      <c r="I239" s="323"/>
      <c r="J239" s="325"/>
      <c r="K239" s="323"/>
      <c r="L239" s="326"/>
      <c r="M239" s="363"/>
      <c r="N239" s="328"/>
      <c r="O239" s="331"/>
    </row>
    <row r="240" spans="1:16" ht="20.149999999999999" hidden="1" customHeight="1" x14ac:dyDescent="0.35">
      <c r="B240" s="390" t="s">
        <v>560</v>
      </c>
      <c r="C240" s="388"/>
      <c r="D240" s="388"/>
      <c r="E240" s="385"/>
      <c r="F240" s="385"/>
      <c r="G240" s="385"/>
      <c r="H240" s="385"/>
      <c r="I240" s="385"/>
      <c r="J240" s="386"/>
      <c r="K240" s="385"/>
      <c r="L240" s="399"/>
      <c r="M240" s="454"/>
      <c r="N240" s="387"/>
      <c r="O240" s="754" t="e">
        <f>O238-O237</f>
        <v>#REF!</v>
      </c>
    </row>
    <row r="241" spans="1:15" ht="20.149999999999999" hidden="1" customHeight="1" x14ac:dyDescent="0.35">
      <c r="A241" s="329">
        <v>1</v>
      </c>
      <c r="B241" s="321">
        <v>204</v>
      </c>
      <c r="C241" s="336" t="s">
        <v>561</v>
      </c>
      <c r="D241" s="336"/>
      <c r="E241" s="323">
        <f>'[1]road inventory 2018'!C298</f>
        <v>15.87</v>
      </c>
      <c r="F241" s="323">
        <v>6.92</v>
      </c>
      <c r="G241" s="323">
        <v>2.5499999999999998</v>
      </c>
      <c r="H241" s="323">
        <v>0</v>
      </c>
      <c r="I241" s="323">
        <v>6.4</v>
      </c>
      <c r="J241" s="325" t="s">
        <v>33</v>
      </c>
      <c r="K241" s="323">
        <f t="shared" ref="K241:K251" si="14">SUM(F241:I241)</f>
        <v>15.87</v>
      </c>
      <c r="L241" s="326" t="s">
        <v>562</v>
      </c>
      <c r="M241" s="363"/>
      <c r="N241" s="328"/>
    </row>
    <row r="242" spans="1:15" ht="20.149999999999999" hidden="1" customHeight="1" x14ac:dyDescent="0.35">
      <c r="A242" s="329">
        <v>2</v>
      </c>
      <c r="B242" s="321">
        <v>205</v>
      </c>
      <c r="C242" s="336" t="s">
        <v>563</v>
      </c>
      <c r="D242" s="336"/>
      <c r="E242" s="323">
        <f>'[1]road inventory 2018'!C299</f>
        <v>0.37</v>
      </c>
      <c r="F242" s="323">
        <v>0.37</v>
      </c>
      <c r="G242" s="323">
        <v>0</v>
      </c>
      <c r="H242" s="323">
        <v>0</v>
      </c>
      <c r="I242" s="323">
        <v>0</v>
      </c>
      <c r="J242" s="325" t="s">
        <v>10</v>
      </c>
      <c r="K242" s="323">
        <f t="shared" si="14"/>
        <v>0.37</v>
      </c>
      <c r="L242" s="326" t="s">
        <v>564</v>
      </c>
      <c r="M242" s="363"/>
      <c r="N242" s="328"/>
    </row>
    <row r="243" spans="1:15" ht="20.149999999999999" hidden="1" customHeight="1" x14ac:dyDescent="0.35">
      <c r="A243" s="329">
        <v>3</v>
      </c>
      <c r="B243" s="321">
        <v>213</v>
      </c>
      <c r="C243" s="336" t="s">
        <v>293</v>
      </c>
      <c r="D243" s="336"/>
      <c r="E243" s="323">
        <f>'[1]road inventory 2018'!C300</f>
        <v>1.8599999999999999</v>
      </c>
      <c r="F243" s="323">
        <v>1.86</v>
      </c>
      <c r="G243" s="323">
        <v>0</v>
      </c>
      <c r="H243" s="323">
        <v>0</v>
      </c>
      <c r="I243" s="323">
        <v>0</v>
      </c>
      <c r="J243" s="325" t="s">
        <v>12</v>
      </c>
      <c r="K243" s="323">
        <f t="shared" si="14"/>
        <v>1.86</v>
      </c>
      <c r="L243" s="326" t="s">
        <v>565</v>
      </c>
      <c r="M243" s="363"/>
      <c r="N243" s="328"/>
    </row>
    <row r="244" spans="1:15" ht="20.149999999999999" hidden="1" customHeight="1" x14ac:dyDescent="0.35">
      <c r="A244" s="329">
        <v>4</v>
      </c>
      <c r="B244" s="321">
        <v>206</v>
      </c>
      <c r="C244" s="336" t="s">
        <v>295</v>
      </c>
      <c r="D244" s="336"/>
      <c r="E244" s="323">
        <f>'[1]road inventory 2018'!C301</f>
        <v>2</v>
      </c>
      <c r="F244" s="323">
        <v>2</v>
      </c>
      <c r="G244" s="323">
        <v>0</v>
      </c>
      <c r="H244" s="323">
        <v>0</v>
      </c>
      <c r="I244" s="323">
        <v>0</v>
      </c>
      <c r="J244" s="325" t="s">
        <v>12</v>
      </c>
      <c r="K244" s="323">
        <f t="shared" si="14"/>
        <v>2</v>
      </c>
      <c r="L244" s="326" t="s">
        <v>566</v>
      </c>
      <c r="M244" s="363"/>
      <c r="N244" s="328"/>
    </row>
    <row r="245" spans="1:15" ht="20.149999999999999" hidden="1" customHeight="1" x14ac:dyDescent="0.35">
      <c r="A245" s="329">
        <v>5</v>
      </c>
      <c r="B245" s="321">
        <v>207</v>
      </c>
      <c r="C245" s="336" t="s">
        <v>292</v>
      </c>
      <c r="D245" s="336"/>
      <c r="E245" s="323">
        <f>'[1]road inventory 2018'!C302</f>
        <v>3.38</v>
      </c>
      <c r="F245" s="323">
        <v>2.4660000000000002</v>
      </c>
      <c r="G245" s="323">
        <v>0</v>
      </c>
      <c r="H245" s="323">
        <v>0.91400000000000003</v>
      </c>
      <c r="I245" s="323">
        <v>0</v>
      </c>
      <c r="J245" s="325" t="s">
        <v>41</v>
      </c>
      <c r="K245" s="323">
        <f t="shared" si="14"/>
        <v>3.3800000000000003</v>
      </c>
      <c r="L245" s="326" t="s">
        <v>567</v>
      </c>
      <c r="M245" s="363"/>
      <c r="N245" s="328"/>
    </row>
    <row r="246" spans="1:15" ht="20.149999999999999" hidden="1" customHeight="1" x14ac:dyDescent="0.35">
      <c r="A246" s="329">
        <v>6</v>
      </c>
      <c r="B246" s="321">
        <v>229</v>
      </c>
      <c r="C246" s="336" t="s">
        <v>568</v>
      </c>
      <c r="D246" s="336"/>
      <c r="E246" s="323">
        <f>'[1]road inventory 2018'!C303</f>
        <v>0.1</v>
      </c>
      <c r="F246" s="323">
        <v>0</v>
      </c>
      <c r="G246" s="323">
        <v>0</v>
      </c>
      <c r="H246" s="323">
        <v>0</v>
      </c>
      <c r="I246" s="323">
        <v>0.1</v>
      </c>
      <c r="J246" s="325" t="s">
        <v>33</v>
      </c>
      <c r="K246" s="323">
        <f t="shared" si="14"/>
        <v>0.1</v>
      </c>
      <c r="L246" s="326" t="s">
        <v>569</v>
      </c>
      <c r="M246" s="363"/>
      <c r="N246" s="328"/>
    </row>
    <row r="247" spans="1:15" ht="20.149999999999999" hidden="1" customHeight="1" x14ac:dyDescent="0.35">
      <c r="A247" s="329">
        <v>7</v>
      </c>
      <c r="B247" s="321">
        <v>215</v>
      </c>
      <c r="C247" s="336" t="s">
        <v>570</v>
      </c>
      <c r="D247" s="336"/>
      <c r="E247" s="323">
        <f>'[1]road inventory 2018'!C307</f>
        <v>3.8</v>
      </c>
      <c r="F247" s="323">
        <v>1</v>
      </c>
      <c r="G247" s="323">
        <v>2.8</v>
      </c>
      <c r="H247" s="323">
        <v>0</v>
      </c>
      <c r="I247" s="323">
        <v>0</v>
      </c>
      <c r="J247" s="325" t="s">
        <v>41</v>
      </c>
      <c r="K247" s="323">
        <f t="shared" si="14"/>
        <v>3.8</v>
      </c>
      <c r="L247" s="326" t="s">
        <v>571</v>
      </c>
      <c r="M247" s="363"/>
      <c r="N247" s="328">
        <v>1</v>
      </c>
    </row>
    <row r="248" spans="1:15" ht="20.149999999999999" hidden="1" customHeight="1" x14ac:dyDescent="0.35">
      <c r="A248" s="329">
        <v>8</v>
      </c>
      <c r="B248" s="321">
        <v>208</v>
      </c>
      <c r="C248" s="336" t="s">
        <v>572</v>
      </c>
      <c r="D248" s="336"/>
      <c r="E248" s="323">
        <f>'[1]road inventory 2018'!C308</f>
        <v>4.3</v>
      </c>
      <c r="F248" s="323">
        <v>1</v>
      </c>
      <c r="G248" s="323">
        <v>0.25</v>
      </c>
      <c r="H248" s="323">
        <v>0</v>
      </c>
      <c r="I248" s="323">
        <v>3.05</v>
      </c>
      <c r="J248" s="325" t="s">
        <v>10</v>
      </c>
      <c r="K248" s="323">
        <f t="shared" si="14"/>
        <v>4.3</v>
      </c>
      <c r="L248" s="326" t="s">
        <v>573</v>
      </c>
      <c r="M248" s="363"/>
      <c r="N248" s="328">
        <v>1</v>
      </c>
    </row>
    <row r="249" spans="1:15" ht="20.149999999999999" hidden="1" customHeight="1" x14ac:dyDescent="0.35">
      <c r="A249" s="329">
        <v>9</v>
      </c>
      <c r="B249" s="321">
        <v>209</v>
      </c>
      <c r="C249" s="336" t="s">
        <v>294</v>
      </c>
      <c r="D249" s="336"/>
      <c r="E249" s="323">
        <f>'[1]road inventory 2018'!C309</f>
        <v>2.6</v>
      </c>
      <c r="F249" s="323">
        <f>0.866+1.334</f>
        <v>2.2000000000000002</v>
      </c>
      <c r="G249" s="323">
        <v>0</v>
      </c>
      <c r="H249" s="323">
        <v>0</v>
      </c>
      <c r="I249" s="323">
        <v>0.4</v>
      </c>
      <c r="J249" s="325" t="s">
        <v>12</v>
      </c>
      <c r="K249" s="323">
        <f t="shared" si="14"/>
        <v>2.6</v>
      </c>
      <c r="L249" s="326" t="s">
        <v>574</v>
      </c>
      <c r="M249" s="363"/>
      <c r="N249" s="328"/>
    </row>
    <row r="250" spans="1:15" ht="20.149999999999999" hidden="1" customHeight="1" x14ac:dyDescent="0.35">
      <c r="A250" s="329">
        <v>10</v>
      </c>
      <c r="B250" s="321">
        <v>210</v>
      </c>
      <c r="C250" s="336" t="s">
        <v>575</v>
      </c>
      <c r="D250" s="336"/>
      <c r="E250" s="323">
        <f>'[1]road inventory 2018'!C310</f>
        <v>0.8</v>
      </c>
      <c r="F250" s="323">
        <v>0.8</v>
      </c>
      <c r="G250" s="323">
        <v>0</v>
      </c>
      <c r="H250" s="323">
        <v>0</v>
      </c>
      <c r="I250" s="323">
        <v>0</v>
      </c>
      <c r="J250" s="325" t="s">
        <v>12</v>
      </c>
      <c r="K250" s="323">
        <f t="shared" si="14"/>
        <v>0.8</v>
      </c>
      <c r="L250" s="326" t="s">
        <v>576</v>
      </c>
      <c r="M250" s="363"/>
      <c r="N250" s="328"/>
    </row>
    <row r="251" spans="1:15" ht="20.149999999999999" hidden="1" customHeight="1" x14ac:dyDescent="0.35">
      <c r="A251" s="329">
        <v>11</v>
      </c>
      <c r="B251" s="321">
        <v>211</v>
      </c>
      <c r="C251" s="336" t="s">
        <v>577</v>
      </c>
      <c r="D251" s="336"/>
      <c r="E251" s="323">
        <f>'[1]road inventory 2018'!C311</f>
        <v>0.7</v>
      </c>
      <c r="F251" s="323">
        <v>0.7</v>
      </c>
      <c r="G251" s="323">
        <v>0</v>
      </c>
      <c r="H251" s="323">
        <v>0</v>
      </c>
      <c r="I251" s="323">
        <v>0</v>
      </c>
      <c r="J251" s="325" t="s">
        <v>12</v>
      </c>
      <c r="K251" s="323">
        <f t="shared" si="14"/>
        <v>0.7</v>
      </c>
      <c r="L251" s="326" t="s">
        <v>578</v>
      </c>
      <c r="M251" s="363"/>
      <c r="N251" s="328"/>
    </row>
    <row r="252" spans="1:15" s="317" customFormat="1" ht="20.149999999999999" hidden="1" customHeight="1" x14ac:dyDescent="0.35">
      <c r="B252" s="373"/>
      <c r="C252" s="374" t="s">
        <v>341</v>
      </c>
      <c r="D252" s="374"/>
      <c r="E252" s="375">
        <f>SUM(E241:E251)</f>
        <v>35.78</v>
      </c>
      <c r="F252" s="375">
        <f>SUM(F241:F251)</f>
        <v>19.315999999999999</v>
      </c>
      <c r="G252" s="375">
        <f>SUM(G241:G251)</f>
        <v>5.6</v>
      </c>
      <c r="H252" s="375">
        <f>SUM(H241:H251)</f>
        <v>0.91400000000000003</v>
      </c>
      <c r="I252" s="375">
        <f>SUM(I241:I251)</f>
        <v>9.9500000000000011</v>
      </c>
      <c r="J252" s="376"/>
      <c r="K252" s="375"/>
      <c r="L252" s="372"/>
      <c r="M252" s="453"/>
      <c r="N252" s="377"/>
      <c r="O252" s="320"/>
    </row>
    <row r="253" spans="1:15" ht="20.149999999999999" hidden="1" customHeight="1" x14ac:dyDescent="0.35">
      <c r="B253" s="321"/>
      <c r="C253" s="330"/>
      <c r="D253" s="330"/>
      <c r="E253" s="323"/>
      <c r="F253" s="323"/>
      <c r="G253" s="323"/>
      <c r="H253" s="323"/>
      <c r="I253" s="323"/>
      <c r="J253" s="325"/>
      <c r="K253" s="323"/>
      <c r="L253" s="326"/>
      <c r="M253" s="363"/>
      <c r="N253" s="328"/>
      <c r="O253" s="331"/>
    </row>
    <row r="254" spans="1:15" s="319" customFormat="1" ht="20.149999999999999" customHeight="1" x14ac:dyDescent="0.35">
      <c r="B254" s="390" t="s">
        <v>461</v>
      </c>
      <c r="C254" s="401"/>
      <c r="D254" s="401"/>
      <c r="E254" s="407"/>
      <c r="F254" s="408"/>
      <c r="G254" s="408"/>
      <c r="H254" s="408"/>
      <c r="I254" s="407"/>
      <c r="J254" s="372"/>
      <c r="K254" s="375"/>
      <c r="L254" s="400"/>
      <c r="M254" s="459"/>
      <c r="N254" s="409"/>
    </row>
    <row r="255" spans="1:15" ht="20.149999999999999" customHeight="1" x14ac:dyDescent="0.35">
      <c r="A255" s="329">
        <v>1</v>
      </c>
      <c r="B255" s="321">
        <v>89</v>
      </c>
      <c r="C255" s="336" t="s">
        <v>462</v>
      </c>
      <c r="D255" s="330">
        <v>0.63</v>
      </c>
      <c r="E255" s="323">
        <f>D255</f>
        <v>0.63</v>
      </c>
      <c r="F255" s="323">
        <v>0.28000000000000003</v>
      </c>
      <c r="G255" s="323">
        <v>0</v>
      </c>
      <c r="H255" s="323">
        <v>0</v>
      </c>
      <c r="I255" s="323">
        <f t="shared" ref="I255:I260" si="15">D255-F255</f>
        <v>0.35</v>
      </c>
      <c r="J255" s="326" t="s">
        <v>10</v>
      </c>
      <c r="K255" s="323">
        <f t="shared" ref="K255:K271" si="16">SUM(F255:I255)</f>
        <v>0.63</v>
      </c>
      <c r="L255" s="326" t="s">
        <v>360</v>
      </c>
      <c r="M255" s="363"/>
      <c r="N255" s="328"/>
    </row>
    <row r="256" spans="1:15" ht="20.149999999999999" customHeight="1" x14ac:dyDescent="0.35">
      <c r="A256" s="329">
        <v>2</v>
      </c>
      <c r="B256" s="321">
        <v>109</v>
      </c>
      <c r="C256" s="336" t="s">
        <v>285</v>
      </c>
      <c r="D256" s="336">
        <v>2.6</v>
      </c>
      <c r="E256" s="323">
        <f t="shared" ref="E256:E271" si="17">D256</f>
        <v>2.6</v>
      </c>
      <c r="F256" s="323">
        <v>0.22</v>
      </c>
      <c r="G256" s="323">
        <v>0</v>
      </c>
      <c r="H256" s="323">
        <v>0</v>
      </c>
      <c r="I256" s="323">
        <f t="shared" si="15"/>
        <v>2.38</v>
      </c>
      <c r="J256" s="326" t="s">
        <v>10</v>
      </c>
      <c r="K256" s="323">
        <f t="shared" si="16"/>
        <v>2.6</v>
      </c>
      <c r="L256" s="326" t="s">
        <v>463</v>
      </c>
      <c r="M256" s="363"/>
      <c r="N256" s="328"/>
    </row>
    <row r="257" spans="1:15" ht="20.149999999999999" customHeight="1" x14ac:dyDescent="0.35">
      <c r="A257" s="329">
        <v>3</v>
      </c>
      <c r="B257" s="321">
        <v>110</v>
      </c>
      <c r="C257" s="336" t="s">
        <v>65</v>
      </c>
      <c r="D257" s="336">
        <f>[27]CARRIAGEWAY!$D$13:$L$13</f>
        <v>7.04</v>
      </c>
      <c r="E257" s="323">
        <f t="shared" si="17"/>
        <v>7.04</v>
      </c>
      <c r="F257" s="323">
        <v>0.84</v>
      </c>
      <c r="G257" s="323">
        <v>0</v>
      </c>
      <c r="H257" s="323">
        <v>0</v>
      </c>
      <c r="I257" s="323">
        <f t="shared" si="15"/>
        <v>6.2</v>
      </c>
      <c r="J257" s="326" t="s">
        <v>12</v>
      </c>
      <c r="K257" s="323">
        <f t="shared" si="16"/>
        <v>7.04</v>
      </c>
      <c r="L257" s="326" t="s">
        <v>464</v>
      </c>
      <c r="M257" s="363"/>
      <c r="N257" s="328"/>
    </row>
    <row r="258" spans="1:15" ht="20.149999999999999" customHeight="1" x14ac:dyDescent="0.35">
      <c r="A258" s="329">
        <v>4</v>
      </c>
      <c r="B258" s="321">
        <v>111</v>
      </c>
      <c r="C258" s="336" t="s">
        <v>66</v>
      </c>
      <c r="D258" s="336">
        <f>[28]CARRIAGEWAY!$D$13:$L$13</f>
        <v>15.472</v>
      </c>
      <c r="E258" s="323">
        <f t="shared" si="17"/>
        <v>15.472</v>
      </c>
      <c r="F258" s="323">
        <v>1.0900000000000001</v>
      </c>
      <c r="G258" s="323">
        <v>0</v>
      </c>
      <c r="H258" s="323">
        <v>0</v>
      </c>
      <c r="I258" s="323">
        <f t="shared" si="15"/>
        <v>14.382</v>
      </c>
      <c r="J258" s="326" t="s">
        <v>12</v>
      </c>
      <c r="K258" s="323">
        <f t="shared" si="16"/>
        <v>15.472</v>
      </c>
      <c r="L258" s="326" t="s">
        <v>465</v>
      </c>
      <c r="M258" s="363"/>
      <c r="N258" s="328"/>
    </row>
    <row r="259" spans="1:15" ht="20.149999999999999" customHeight="1" x14ac:dyDescent="0.35">
      <c r="A259" s="329">
        <v>5</v>
      </c>
      <c r="B259" s="321">
        <v>112</v>
      </c>
      <c r="C259" s="336" t="s">
        <v>73</v>
      </c>
      <c r="D259" s="336">
        <f>[29]CARRIAGEWAY!$D$13:$L$13</f>
        <v>8.3879999999999999</v>
      </c>
      <c r="E259" s="323">
        <f t="shared" si="17"/>
        <v>8.3879999999999999</v>
      </c>
      <c r="F259" s="323">
        <v>0.21</v>
      </c>
      <c r="G259" s="323">
        <v>0</v>
      </c>
      <c r="H259" s="323">
        <v>0</v>
      </c>
      <c r="I259" s="323">
        <f t="shared" si="15"/>
        <v>8.177999999999999</v>
      </c>
      <c r="J259" s="326" t="s">
        <v>12</v>
      </c>
      <c r="K259" s="323">
        <f t="shared" si="16"/>
        <v>8.3879999999999999</v>
      </c>
      <c r="L259" s="326" t="s">
        <v>466</v>
      </c>
      <c r="M259" s="363"/>
      <c r="N259" s="328"/>
    </row>
    <row r="260" spans="1:15" ht="20.149999999999999" customHeight="1" x14ac:dyDescent="0.35">
      <c r="A260" s="329">
        <v>6</v>
      </c>
      <c r="B260" s="321">
        <v>113</v>
      </c>
      <c r="C260" s="336" t="s">
        <v>75</v>
      </c>
      <c r="D260" s="336">
        <f>[18]CARRIAGEWAY!$D$13:$L$13</f>
        <v>1.59</v>
      </c>
      <c r="E260" s="323">
        <f t="shared" si="17"/>
        <v>1.59</v>
      </c>
      <c r="F260" s="323">
        <v>0.1</v>
      </c>
      <c r="G260" s="323">
        <v>0</v>
      </c>
      <c r="H260" s="323">
        <v>0</v>
      </c>
      <c r="I260" s="323">
        <f t="shared" si="15"/>
        <v>1.49</v>
      </c>
      <c r="J260" s="326" t="s">
        <v>12</v>
      </c>
      <c r="K260" s="323">
        <f t="shared" si="16"/>
        <v>1.59</v>
      </c>
      <c r="L260" s="326" t="s">
        <v>467</v>
      </c>
      <c r="M260" s="363"/>
      <c r="N260" s="328"/>
    </row>
    <row r="261" spans="1:15" ht="20.149999999999999" customHeight="1" x14ac:dyDescent="0.35">
      <c r="A261" s="329">
        <v>7</v>
      </c>
      <c r="B261" s="321">
        <v>114</v>
      </c>
      <c r="C261" s="336" t="s">
        <v>468</v>
      </c>
      <c r="D261" s="336">
        <f>[30]CARRIAGEWAY!$D$13:$L$13</f>
        <v>9.5949999999999989</v>
      </c>
      <c r="E261" s="323">
        <f t="shared" si="17"/>
        <v>9.5949999999999989</v>
      </c>
      <c r="F261" s="323">
        <v>0</v>
      </c>
      <c r="G261" s="323">
        <v>0</v>
      </c>
      <c r="H261" s="323">
        <v>0</v>
      </c>
      <c r="I261" s="323">
        <f>D261</f>
        <v>9.5949999999999989</v>
      </c>
      <c r="J261" s="325" t="s">
        <v>12</v>
      </c>
      <c r="K261" s="323">
        <f t="shared" si="16"/>
        <v>9.5949999999999989</v>
      </c>
      <c r="L261" s="326" t="s">
        <v>469</v>
      </c>
      <c r="M261" s="363"/>
      <c r="N261" s="328"/>
    </row>
    <row r="262" spans="1:15" ht="20.149999999999999" customHeight="1" x14ac:dyDescent="0.35">
      <c r="A262" s="329">
        <v>8</v>
      </c>
      <c r="B262" s="321">
        <v>115</v>
      </c>
      <c r="C262" s="336" t="s">
        <v>77</v>
      </c>
      <c r="D262" s="336">
        <f>[31]CARRIAGEWAY!$D$13:$L$13</f>
        <v>11.143000000000001</v>
      </c>
      <c r="E262" s="323">
        <f t="shared" si="17"/>
        <v>11.143000000000001</v>
      </c>
      <c r="F262" s="323">
        <f>D262</f>
        <v>11.143000000000001</v>
      </c>
      <c r="G262" s="323">
        <v>0</v>
      </c>
      <c r="H262" s="323">
        <v>0</v>
      </c>
      <c r="I262" s="323">
        <v>0</v>
      </c>
      <c r="J262" s="326" t="s">
        <v>10</v>
      </c>
      <c r="K262" s="323">
        <f t="shared" si="16"/>
        <v>11.143000000000001</v>
      </c>
      <c r="L262" s="326" t="s">
        <v>470</v>
      </c>
      <c r="M262" s="363"/>
      <c r="N262" s="328"/>
    </row>
    <row r="263" spans="1:15" ht="20.149999999999999" customHeight="1" x14ac:dyDescent="0.35">
      <c r="A263" s="329">
        <v>9</v>
      </c>
      <c r="B263" s="321">
        <v>117</v>
      </c>
      <c r="C263" s="336" t="s">
        <v>79</v>
      </c>
      <c r="D263" s="336">
        <f>[32]CARRIAGEWAY!$D$13:$L$13</f>
        <v>8.0359999999999996</v>
      </c>
      <c r="E263" s="323">
        <f t="shared" si="17"/>
        <v>8.0359999999999996</v>
      </c>
      <c r="F263" s="323">
        <v>2.1800000000000002</v>
      </c>
      <c r="G263" s="323">
        <v>0</v>
      </c>
      <c r="H263" s="323">
        <v>0</v>
      </c>
      <c r="I263" s="323">
        <f>D263-F263</f>
        <v>5.8559999999999999</v>
      </c>
      <c r="J263" s="325" t="s">
        <v>12</v>
      </c>
      <c r="K263" s="323">
        <f t="shared" si="16"/>
        <v>8.0359999999999996</v>
      </c>
      <c r="L263" s="326" t="s">
        <v>471</v>
      </c>
      <c r="M263" s="363"/>
      <c r="N263" s="328"/>
    </row>
    <row r="264" spans="1:15" ht="20.149999999999999" customHeight="1" x14ac:dyDescent="0.35">
      <c r="A264" s="329">
        <v>10</v>
      </c>
      <c r="B264" s="321">
        <v>118</v>
      </c>
      <c r="C264" s="336" t="s">
        <v>83</v>
      </c>
      <c r="D264" s="336">
        <v>0.9</v>
      </c>
      <c r="E264" s="323">
        <f t="shared" si="17"/>
        <v>0.9</v>
      </c>
      <c r="F264" s="323">
        <v>0</v>
      </c>
      <c r="G264" s="323">
        <v>0</v>
      </c>
      <c r="H264" s="323">
        <v>0</v>
      </c>
      <c r="I264" s="323">
        <f>D264</f>
        <v>0.9</v>
      </c>
      <c r="J264" s="325" t="s">
        <v>41</v>
      </c>
      <c r="K264" s="323">
        <f t="shared" si="16"/>
        <v>0.9</v>
      </c>
      <c r="L264" s="326" t="s">
        <v>472</v>
      </c>
      <c r="M264" s="363" t="s">
        <v>848</v>
      </c>
      <c r="N264" s="328"/>
    </row>
    <row r="265" spans="1:15" ht="20.149999999999999" customHeight="1" x14ac:dyDescent="0.35">
      <c r="A265" s="329">
        <v>11</v>
      </c>
      <c r="B265" s="321">
        <v>132</v>
      </c>
      <c r="C265" s="336" t="s">
        <v>85</v>
      </c>
      <c r="D265" s="336">
        <f>[33]CARRIAGEWAY!$D$13:$L$13</f>
        <v>13.338000000000001</v>
      </c>
      <c r="E265" s="323">
        <f t="shared" si="17"/>
        <v>13.338000000000001</v>
      </c>
      <c r="F265" s="323">
        <v>9.7330000000000005</v>
      </c>
      <c r="G265" s="323">
        <v>0</v>
      </c>
      <c r="H265" s="323">
        <v>0</v>
      </c>
      <c r="I265" s="323">
        <f>D265-F265</f>
        <v>3.6050000000000004</v>
      </c>
      <c r="J265" s="325" t="s">
        <v>10</v>
      </c>
      <c r="K265" s="323">
        <f t="shared" si="16"/>
        <v>13.338000000000001</v>
      </c>
      <c r="L265" s="326" t="s">
        <v>473</v>
      </c>
      <c r="M265" s="363"/>
      <c r="N265" s="328">
        <f>1.895+2.42</f>
        <v>4.3149999999999995</v>
      </c>
    </row>
    <row r="266" spans="1:15" ht="20.149999999999999" customHeight="1" x14ac:dyDescent="0.35">
      <c r="A266" s="329">
        <v>12</v>
      </c>
      <c r="B266" s="321">
        <v>139</v>
      </c>
      <c r="C266" s="336" t="s">
        <v>474</v>
      </c>
      <c r="D266" s="336">
        <f>[34]CARRIAGEWAY!$D$13:$L$13</f>
        <v>9.1479999999999997</v>
      </c>
      <c r="E266" s="323">
        <f t="shared" si="17"/>
        <v>9.1479999999999997</v>
      </c>
      <c r="F266" s="323">
        <v>0</v>
      </c>
      <c r="G266" s="323">
        <v>0</v>
      </c>
      <c r="H266" s="323">
        <v>0</v>
      </c>
      <c r="I266" s="323">
        <f>D266</f>
        <v>9.1479999999999997</v>
      </c>
      <c r="J266" s="325" t="s">
        <v>12</v>
      </c>
      <c r="K266" s="323">
        <f t="shared" si="16"/>
        <v>9.1479999999999997</v>
      </c>
      <c r="L266" s="326" t="s">
        <v>475</v>
      </c>
      <c r="M266" s="363"/>
      <c r="N266" s="328"/>
    </row>
    <row r="267" spans="1:15" ht="20.149999999999999" customHeight="1" x14ac:dyDescent="0.35">
      <c r="A267" s="329">
        <v>13</v>
      </c>
      <c r="B267" s="321">
        <v>122</v>
      </c>
      <c r="C267" s="336" t="s">
        <v>476</v>
      </c>
      <c r="D267" s="336">
        <f>[35]CARRIAGEWAY!$D$13:$L$13</f>
        <v>3.8559999999999999</v>
      </c>
      <c r="E267" s="323">
        <f t="shared" si="17"/>
        <v>3.8559999999999999</v>
      </c>
      <c r="F267" s="323">
        <v>2.0139999999999998</v>
      </c>
      <c r="G267" s="323">
        <v>0</v>
      </c>
      <c r="H267" s="323">
        <v>0</v>
      </c>
      <c r="I267" s="323">
        <f>D267-F267</f>
        <v>1.8420000000000001</v>
      </c>
      <c r="J267" s="325" t="s">
        <v>12</v>
      </c>
      <c r="K267" s="323">
        <f t="shared" si="16"/>
        <v>3.8559999999999999</v>
      </c>
      <c r="L267" s="326" t="s">
        <v>477</v>
      </c>
      <c r="M267" s="350" t="s">
        <v>748</v>
      </c>
      <c r="N267" s="328">
        <v>2.0920000000000001</v>
      </c>
    </row>
    <row r="268" spans="1:15" ht="20.149999999999999" customHeight="1" x14ac:dyDescent="0.35">
      <c r="A268" s="329">
        <v>14</v>
      </c>
      <c r="B268" s="321">
        <v>216</v>
      </c>
      <c r="C268" s="336" t="s">
        <v>87</v>
      </c>
      <c r="D268" s="929">
        <f>[19]CARRIAGEWAY!$D$13:$L$13</f>
        <v>6.319</v>
      </c>
      <c r="E268" s="323">
        <f t="shared" si="17"/>
        <v>6.319</v>
      </c>
      <c r="F268" s="323">
        <v>0</v>
      </c>
      <c r="G268" s="323">
        <v>0</v>
      </c>
      <c r="H268" s="323">
        <v>0</v>
      </c>
      <c r="I268" s="323">
        <f>D268</f>
        <v>6.319</v>
      </c>
      <c r="J268" s="325" t="s">
        <v>12</v>
      </c>
      <c r="K268" s="323">
        <f t="shared" si="16"/>
        <v>6.319</v>
      </c>
      <c r="L268" s="326" t="s">
        <v>478</v>
      </c>
      <c r="M268" s="363"/>
      <c r="N268" s="328"/>
    </row>
    <row r="269" spans="1:15" ht="20.149999999999999" customHeight="1" x14ac:dyDescent="0.35">
      <c r="A269" s="329">
        <v>15</v>
      </c>
      <c r="B269" s="321">
        <v>133</v>
      </c>
      <c r="C269" s="336" t="s">
        <v>90</v>
      </c>
      <c r="D269" s="929">
        <f>[36]CARRIAGEWAY!$D$13:$L$13</f>
        <v>5.2159999999999993</v>
      </c>
      <c r="E269" s="323">
        <f t="shared" si="17"/>
        <v>5.2159999999999993</v>
      </c>
      <c r="F269" s="323">
        <v>0</v>
      </c>
      <c r="G269" s="323">
        <v>0</v>
      </c>
      <c r="H269" s="323">
        <v>0</v>
      </c>
      <c r="I269" s="323">
        <f>D269</f>
        <v>5.2159999999999993</v>
      </c>
      <c r="J269" s="325" t="s">
        <v>12</v>
      </c>
      <c r="K269" s="323">
        <f t="shared" si="16"/>
        <v>5.2159999999999993</v>
      </c>
      <c r="L269" s="326" t="s">
        <v>478</v>
      </c>
      <c r="M269" s="363"/>
      <c r="N269" s="328"/>
    </row>
    <row r="270" spans="1:15" ht="20.149999999999999" customHeight="1" x14ac:dyDescent="0.35">
      <c r="A270" s="329">
        <v>16</v>
      </c>
      <c r="B270" s="321">
        <v>123</v>
      </c>
      <c r="C270" s="336" t="s">
        <v>91</v>
      </c>
      <c r="D270" s="336">
        <f>[37]CARRIAGEWAY!$D$13:$L$13</f>
        <v>17.454000000000001</v>
      </c>
      <c r="E270" s="323">
        <f t="shared" si="17"/>
        <v>17.454000000000001</v>
      </c>
      <c r="F270" s="323">
        <v>9.9120000000000008</v>
      </c>
      <c r="G270" s="323">
        <v>0</v>
      </c>
      <c r="H270" s="323">
        <v>0</v>
      </c>
      <c r="I270" s="323">
        <f>D270-F270</f>
        <v>7.5419999999999998</v>
      </c>
      <c r="J270" s="325" t="s">
        <v>12</v>
      </c>
      <c r="K270" s="323">
        <f t="shared" si="16"/>
        <v>17.454000000000001</v>
      </c>
      <c r="L270" s="326" t="s">
        <v>475</v>
      </c>
      <c r="M270" s="363"/>
      <c r="N270" s="328">
        <v>12.19</v>
      </c>
    </row>
    <row r="271" spans="1:15" ht="20.149999999999999" customHeight="1" x14ac:dyDescent="0.35">
      <c r="A271" s="329">
        <v>17</v>
      </c>
      <c r="B271" s="321">
        <v>134</v>
      </c>
      <c r="C271" s="335" t="s">
        <v>284</v>
      </c>
      <c r="D271" s="928">
        <f>[20]CARRIAGEWAY!$D$13:$L$13</f>
        <v>8.4459999999999997</v>
      </c>
      <c r="E271" s="323">
        <f t="shared" si="17"/>
        <v>8.4459999999999997</v>
      </c>
      <c r="F271" s="323">
        <v>0</v>
      </c>
      <c r="G271" s="323">
        <v>0</v>
      </c>
      <c r="H271" s="323">
        <v>0</v>
      </c>
      <c r="I271" s="323">
        <f>D271</f>
        <v>8.4459999999999997</v>
      </c>
      <c r="J271" s="325" t="s">
        <v>12</v>
      </c>
      <c r="K271" s="323">
        <f t="shared" si="16"/>
        <v>8.4459999999999997</v>
      </c>
      <c r="L271" s="326"/>
      <c r="M271" s="363"/>
      <c r="N271" s="328"/>
    </row>
    <row r="272" spans="1:15" s="317" customFormat="1" ht="20.149999999999999" customHeight="1" x14ac:dyDescent="0.35">
      <c r="B272" s="373"/>
      <c r="C272" s="374" t="s">
        <v>341</v>
      </c>
      <c r="D272" s="374">
        <f t="shared" ref="D272:I272" si="18">SUM(D255:D271)</f>
        <v>129.17099999999999</v>
      </c>
      <c r="E272" s="375">
        <f t="shared" si="18"/>
        <v>129.17099999999999</v>
      </c>
      <c r="F272" s="375">
        <f t="shared" si="18"/>
        <v>37.722000000000001</v>
      </c>
      <c r="G272" s="375">
        <f t="shared" si="18"/>
        <v>0</v>
      </c>
      <c r="H272" s="375">
        <f t="shared" si="18"/>
        <v>0</v>
      </c>
      <c r="I272" s="375">
        <f t="shared" si="18"/>
        <v>91.448999999999984</v>
      </c>
      <c r="J272" s="376"/>
      <c r="K272" s="375"/>
      <c r="L272" s="372"/>
      <c r="M272" s="453">
        <f>F272+I272</f>
        <v>129.17099999999999</v>
      </c>
      <c r="N272" s="377"/>
      <c r="O272" s="320"/>
    </row>
    <row r="273" spans="1:15" ht="20.149999999999999" customHeight="1" x14ac:dyDescent="0.35">
      <c r="B273" s="321"/>
      <c r="C273" s="330"/>
      <c r="D273" s="330"/>
      <c r="E273" s="323"/>
      <c r="F273" s="323"/>
      <c r="G273" s="323"/>
      <c r="H273" s="323"/>
      <c r="I273" s="323"/>
      <c r="J273" s="325"/>
      <c r="K273" s="323"/>
      <c r="L273" s="326"/>
      <c r="M273" s="363"/>
      <c r="N273" s="328"/>
      <c r="O273" s="331"/>
    </row>
    <row r="274" spans="1:15" s="317" customFormat="1" ht="20.149999999999999" customHeight="1" x14ac:dyDescent="0.35">
      <c r="B274" s="389" t="s">
        <v>479</v>
      </c>
      <c r="C274" s="378"/>
      <c r="D274" s="378"/>
      <c r="E274" s="375"/>
      <c r="F274" s="375"/>
      <c r="G274" s="375"/>
      <c r="H274" s="375"/>
      <c r="I274" s="375"/>
      <c r="J274" s="376"/>
      <c r="K274" s="375"/>
      <c r="L274" s="400"/>
      <c r="M274" s="453"/>
      <c r="N274" s="377"/>
    </row>
    <row r="275" spans="1:15" ht="20.149999999999999" customHeight="1" x14ac:dyDescent="0.35">
      <c r="A275" s="329">
        <v>1</v>
      </c>
      <c r="B275" s="321">
        <v>136</v>
      </c>
      <c r="C275" s="336" t="s">
        <v>93</v>
      </c>
      <c r="D275" s="336">
        <f>[38]CARRIAGEWAY!$D$13:$L$13</f>
        <v>11.460999999999999</v>
      </c>
      <c r="E275" s="323">
        <f>D275</f>
        <v>11.460999999999999</v>
      </c>
      <c r="F275" s="323">
        <v>10.11</v>
      </c>
      <c r="G275" s="323">
        <v>0</v>
      </c>
      <c r="H275" s="323">
        <v>0</v>
      </c>
      <c r="I275" s="323">
        <f>D275-F275</f>
        <v>1.3509999999999991</v>
      </c>
      <c r="J275" s="326" t="s">
        <v>10</v>
      </c>
      <c r="K275" s="323">
        <f t="shared" ref="K275:K282" si="19">SUM(F275:I275)</f>
        <v>11.460999999999999</v>
      </c>
      <c r="L275" s="326" t="s">
        <v>480</v>
      </c>
      <c r="M275" s="363"/>
      <c r="N275" s="328"/>
    </row>
    <row r="276" spans="1:15" ht="20.149999999999999" customHeight="1" x14ac:dyDescent="0.35">
      <c r="A276" s="329">
        <v>2</v>
      </c>
      <c r="B276" s="321">
        <v>137</v>
      </c>
      <c r="C276" s="336" t="s">
        <v>95</v>
      </c>
      <c r="D276" s="336">
        <f>[39]CARRIAGEWAY!$D$13:$L$13</f>
        <v>14.598999999999998</v>
      </c>
      <c r="E276" s="323">
        <f t="shared" ref="E276:E282" si="20">D276</f>
        <v>14.598999999999998</v>
      </c>
      <c r="F276" s="323">
        <v>9.9</v>
      </c>
      <c r="G276" s="323">
        <v>0</v>
      </c>
      <c r="H276" s="323">
        <v>0</v>
      </c>
      <c r="I276" s="323">
        <f>D276-F276</f>
        <v>4.6989999999999981</v>
      </c>
      <c r="J276" s="326" t="s">
        <v>10</v>
      </c>
      <c r="K276" s="323">
        <f t="shared" si="19"/>
        <v>14.598999999999998</v>
      </c>
      <c r="L276" s="326" t="s">
        <v>481</v>
      </c>
      <c r="M276" s="363"/>
      <c r="N276" s="328"/>
    </row>
    <row r="277" spans="1:15" ht="20.149999999999999" customHeight="1" x14ac:dyDescent="0.35">
      <c r="A277" s="329">
        <v>3</v>
      </c>
      <c r="B277" s="321">
        <v>119</v>
      </c>
      <c r="C277" s="336" t="s">
        <v>97</v>
      </c>
      <c r="D277" s="336">
        <f>[40]CARRIAGEWAY!$D$13:$L$13</f>
        <v>5.5349999999999993</v>
      </c>
      <c r="E277" s="323">
        <f t="shared" si="20"/>
        <v>5.5349999999999993</v>
      </c>
      <c r="F277" s="323">
        <v>0</v>
      </c>
      <c r="G277" s="323">
        <v>0</v>
      </c>
      <c r="H277" s="323">
        <v>0</v>
      </c>
      <c r="I277" s="323">
        <f>D277</f>
        <v>5.5349999999999993</v>
      </c>
      <c r="J277" s="326" t="s">
        <v>33</v>
      </c>
      <c r="K277" s="323">
        <f t="shared" si="19"/>
        <v>5.5349999999999993</v>
      </c>
      <c r="L277" s="326" t="s">
        <v>482</v>
      </c>
      <c r="M277" s="363"/>
      <c r="N277" s="328"/>
    </row>
    <row r="278" spans="1:15" ht="20.149999999999999" customHeight="1" x14ac:dyDescent="0.35">
      <c r="A278" s="329">
        <v>4</v>
      </c>
      <c r="B278" s="321">
        <v>120</v>
      </c>
      <c r="C278" s="336" t="s">
        <v>99</v>
      </c>
      <c r="D278" s="336">
        <f>[22]CARRIAGEWAY!$D$13:$L$13</f>
        <v>10.984</v>
      </c>
      <c r="E278" s="323">
        <f t="shared" si="20"/>
        <v>10.984</v>
      </c>
      <c r="F278" s="323">
        <f>D278</f>
        <v>10.984</v>
      </c>
      <c r="G278" s="323">
        <v>0</v>
      </c>
      <c r="H278" s="323">
        <v>0</v>
      </c>
      <c r="I278" s="323">
        <v>0</v>
      </c>
      <c r="J278" s="326" t="s">
        <v>10</v>
      </c>
      <c r="K278" s="323">
        <f t="shared" si="19"/>
        <v>10.984</v>
      </c>
      <c r="L278" s="326" t="s">
        <v>483</v>
      </c>
      <c r="M278" s="363"/>
      <c r="N278" s="328"/>
    </row>
    <row r="279" spans="1:15" ht="20.149999999999999" customHeight="1" x14ac:dyDescent="0.35">
      <c r="A279" s="329">
        <v>5</v>
      </c>
      <c r="B279" s="321">
        <v>140</v>
      </c>
      <c r="C279" s="336" t="s">
        <v>101</v>
      </c>
      <c r="D279" s="336">
        <f>[41]CARRIAGEWAY!$D$13:$L$13</f>
        <v>20.084</v>
      </c>
      <c r="E279" s="323">
        <f t="shared" si="20"/>
        <v>20.084</v>
      </c>
      <c r="F279" s="323">
        <v>1.2909999999999999</v>
      </c>
      <c r="G279" s="323">
        <v>0</v>
      </c>
      <c r="H279" s="323">
        <v>0</v>
      </c>
      <c r="I279" s="323">
        <f>D279-F279</f>
        <v>18.792999999999999</v>
      </c>
      <c r="J279" s="326" t="s">
        <v>12</v>
      </c>
      <c r="K279" s="323">
        <f t="shared" si="19"/>
        <v>20.084</v>
      </c>
      <c r="L279" s="326"/>
      <c r="M279" s="363"/>
      <c r="N279" s="328"/>
    </row>
    <row r="280" spans="1:15" ht="20.149999999999999" customHeight="1" x14ac:dyDescent="0.35">
      <c r="A280" s="329">
        <v>6</v>
      </c>
      <c r="B280" s="321">
        <v>138</v>
      </c>
      <c r="C280" s="336" t="s">
        <v>103</v>
      </c>
      <c r="D280" s="336">
        <f>[42]CARRIAGEWAY!$D$13:$L$13</f>
        <v>5.6609999999999996</v>
      </c>
      <c r="E280" s="323">
        <f t="shared" si="20"/>
        <v>5.6609999999999996</v>
      </c>
      <c r="F280" s="323">
        <v>0</v>
      </c>
      <c r="G280" s="323">
        <v>0</v>
      </c>
      <c r="H280" s="323">
        <v>0</v>
      </c>
      <c r="I280" s="323">
        <f>D280</f>
        <v>5.6609999999999996</v>
      </c>
      <c r="J280" s="325" t="s">
        <v>12</v>
      </c>
      <c r="K280" s="323">
        <f t="shared" si="19"/>
        <v>5.6609999999999996</v>
      </c>
      <c r="L280" s="326" t="s">
        <v>484</v>
      </c>
      <c r="M280" s="363"/>
      <c r="N280" s="328"/>
    </row>
    <row r="281" spans="1:15" ht="20.149999999999999" customHeight="1" x14ac:dyDescent="0.35">
      <c r="A281" s="329">
        <v>7</v>
      </c>
      <c r="B281" s="321">
        <v>124</v>
      </c>
      <c r="C281" s="336" t="s">
        <v>485</v>
      </c>
      <c r="D281" s="336">
        <f>[43]CARRIAGEWAY!$D$13:$L$13</f>
        <v>17.052</v>
      </c>
      <c r="E281" s="323">
        <f t="shared" si="20"/>
        <v>17.052</v>
      </c>
      <c r="F281" s="323">
        <v>3.6110000000000002</v>
      </c>
      <c r="G281" s="323">
        <v>0</v>
      </c>
      <c r="H281" s="323">
        <v>0</v>
      </c>
      <c r="I281" s="323">
        <f>D281-F281</f>
        <v>13.440999999999999</v>
      </c>
      <c r="J281" s="325" t="s">
        <v>12</v>
      </c>
      <c r="K281" s="323">
        <f t="shared" si="19"/>
        <v>17.052</v>
      </c>
      <c r="L281" s="326"/>
      <c r="M281" s="363"/>
      <c r="N281" s="328"/>
    </row>
    <row r="282" spans="1:15" ht="20.149999999999999" customHeight="1" x14ac:dyDescent="0.35">
      <c r="A282" s="329">
        <v>8</v>
      </c>
      <c r="B282" s="321">
        <v>141</v>
      </c>
      <c r="C282" s="336" t="s">
        <v>486</v>
      </c>
      <c r="D282" s="336">
        <f>[44]CARRIAGEWAY!$D$13:$L$13</f>
        <v>1.925</v>
      </c>
      <c r="E282" s="323">
        <f t="shared" si="20"/>
        <v>1.925</v>
      </c>
      <c r="F282" s="323">
        <v>0</v>
      </c>
      <c r="G282" s="323">
        <v>0</v>
      </c>
      <c r="H282" s="323">
        <v>0</v>
      </c>
      <c r="I282" s="323">
        <f>D282</f>
        <v>1.925</v>
      </c>
      <c r="J282" s="325" t="s">
        <v>12</v>
      </c>
      <c r="K282" s="323">
        <f t="shared" si="19"/>
        <v>1.925</v>
      </c>
      <c r="L282" s="326" t="s">
        <v>487</v>
      </c>
      <c r="M282" s="363"/>
      <c r="N282" s="328"/>
    </row>
    <row r="283" spans="1:15" s="317" customFormat="1" ht="20.149999999999999" customHeight="1" x14ac:dyDescent="0.35">
      <c r="B283" s="373"/>
      <c r="C283" s="374" t="s">
        <v>341</v>
      </c>
      <c r="D283" s="374">
        <f t="shared" ref="D283:I283" si="21">SUM(D275:D282)</f>
        <v>87.301000000000002</v>
      </c>
      <c r="E283" s="375">
        <f t="shared" si="21"/>
        <v>87.301000000000002</v>
      </c>
      <c r="F283" s="375">
        <f t="shared" si="21"/>
        <v>35.895999999999994</v>
      </c>
      <c r="G283" s="375">
        <f t="shared" si="21"/>
        <v>0</v>
      </c>
      <c r="H283" s="375">
        <f t="shared" si="21"/>
        <v>0</v>
      </c>
      <c r="I283" s="375">
        <f t="shared" si="21"/>
        <v>51.404999999999987</v>
      </c>
      <c r="J283" s="376"/>
      <c r="K283" s="375"/>
      <c r="L283" s="372"/>
      <c r="M283" s="453">
        <f>F283+I283</f>
        <v>87.300999999999988</v>
      </c>
      <c r="N283" s="377"/>
      <c r="O283" s="320"/>
    </row>
    <row r="284" spans="1:15" ht="20.149999999999999" customHeight="1" x14ac:dyDescent="0.35">
      <c r="B284" s="321"/>
      <c r="C284" s="330"/>
      <c r="D284" s="330"/>
      <c r="E284" s="323"/>
      <c r="F284" s="323"/>
      <c r="G284" s="323"/>
      <c r="H284" s="323"/>
      <c r="I284" s="323"/>
      <c r="J284" s="325"/>
      <c r="K284" s="323"/>
      <c r="L284" s="326"/>
      <c r="M284" s="363"/>
      <c r="N284" s="328"/>
      <c r="O284" s="331"/>
    </row>
    <row r="285" spans="1:15" s="317" customFormat="1" ht="20.149999999999999" customHeight="1" x14ac:dyDescent="0.35">
      <c r="B285" s="390" t="s">
        <v>488</v>
      </c>
      <c r="C285" s="378"/>
      <c r="D285" s="378"/>
      <c r="E285" s="375"/>
      <c r="F285" s="375"/>
      <c r="G285" s="375"/>
      <c r="H285" s="375"/>
      <c r="I285" s="375"/>
      <c r="J285" s="376"/>
      <c r="K285" s="375"/>
      <c r="L285" s="400"/>
      <c r="M285" s="453"/>
      <c r="N285" s="377"/>
    </row>
    <row r="286" spans="1:15" ht="20.149999999999999" customHeight="1" x14ac:dyDescent="0.35">
      <c r="A286" s="329">
        <v>1</v>
      </c>
      <c r="B286" s="321">
        <v>142</v>
      </c>
      <c r="C286" s="336" t="s">
        <v>286</v>
      </c>
      <c r="D286" s="336"/>
      <c r="E286" s="323">
        <f>'[1]road inventory 2018'!C218</f>
        <v>19.299999999999997</v>
      </c>
      <c r="F286" s="323">
        <v>3</v>
      </c>
      <c r="G286" s="323">
        <v>0</v>
      </c>
      <c r="H286" s="323">
        <v>0</v>
      </c>
      <c r="I286" s="323">
        <v>16.3</v>
      </c>
      <c r="J286" s="325" t="s">
        <v>12</v>
      </c>
      <c r="K286" s="323">
        <f t="shared" ref="K286:K293" si="22">SUM(F286:I286)</f>
        <v>19.3</v>
      </c>
      <c r="L286" s="326" t="s">
        <v>489</v>
      </c>
      <c r="M286" s="363"/>
      <c r="N286" s="328">
        <v>3</v>
      </c>
    </row>
    <row r="287" spans="1:15" ht="20.149999999999999" customHeight="1" x14ac:dyDescent="0.35">
      <c r="A287" s="329">
        <v>2</v>
      </c>
      <c r="B287" s="321">
        <v>143</v>
      </c>
      <c r="C287" s="336" t="s">
        <v>287</v>
      </c>
      <c r="D287" s="336"/>
      <c r="E287" s="323">
        <f>'[1]road inventory 2018'!C219</f>
        <v>8.7999999999999989</v>
      </c>
      <c r="F287" s="323">
        <v>0.2</v>
      </c>
      <c r="G287" s="323">
        <v>0</v>
      </c>
      <c r="H287" s="323">
        <v>0</v>
      </c>
      <c r="I287" s="323">
        <v>8.6</v>
      </c>
      <c r="J287" s="325" t="s">
        <v>12</v>
      </c>
      <c r="K287" s="323">
        <f t="shared" si="22"/>
        <v>8.7999999999999989</v>
      </c>
      <c r="L287" s="326" t="s">
        <v>490</v>
      </c>
      <c r="M287" s="363"/>
      <c r="N287" s="328"/>
    </row>
    <row r="288" spans="1:15" ht="20.149999999999999" customHeight="1" x14ac:dyDescent="0.35">
      <c r="A288" s="329">
        <v>3</v>
      </c>
      <c r="B288" s="321">
        <v>144</v>
      </c>
      <c r="C288" s="336" t="s">
        <v>288</v>
      </c>
      <c r="D288" s="336"/>
      <c r="E288" s="323">
        <f>'[1]road inventory 2018'!C220</f>
        <v>7.8999999999999995</v>
      </c>
      <c r="F288" s="323">
        <v>1.75</v>
      </c>
      <c r="G288" s="323">
        <v>0</v>
      </c>
      <c r="H288" s="323">
        <v>0</v>
      </c>
      <c r="I288" s="323">
        <v>6.15</v>
      </c>
      <c r="J288" s="325" t="s">
        <v>12</v>
      </c>
      <c r="K288" s="323">
        <f t="shared" si="22"/>
        <v>7.9</v>
      </c>
      <c r="L288" s="326" t="s">
        <v>491</v>
      </c>
      <c r="M288" s="363"/>
      <c r="N288" s="328"/>
    </row>
    <row r="289" spans="1:15" ht="20.149999999999999" customHeight="1" x14ac:dyDescent="0.35">
      <c r="A289" s="329">
        <v>4</v>
      </c>
      <c r="B289" s="321">
        <v>121</v>
      </c>
      <c r="C289" s="336" t="s">
        <v>104</v>
      </c>
      <c r="D289" s="336"/>
      <c r="E289" s="323">
        <f>'[1]road inventory 2018'!C221</f>
        <v>23.2</v>
      </c>
      <c r="F289" s="323">
        <v>3.6030000000000002</v>
      </c>
      <c r="G289" s="323">
        <v>0</v>
      </c>
      <c r="H289" s="323">
        <v>1.72</v>
      </c>
      <c r="I289" s="323">
        <v>17.876999999999999</v>
      </c>
      <c r="J289" s="325" t="s">
        <v>12</v>
      </c>
      <c r="K289" s="323">
        <f t="shared" si="22"/>
        <v>23.2</v>
      </c>
      <c r="L289" s="326" t="s">
        <v>492</v>
      </c>
      <c r="M289" s="363"/>
      <c r="N289" s="328">
        <v>3.6030000000000002</v>
      </c>
    </row>
    <row r="290" spans="1:15" ht="20.149999999999999" customHeight="1" x14ac:dyDescent="0.35">
      <c r="A290" s="329">
        <v>5</v>
      </c>
      <c r="B290" s="321">
        <v>145</v>
      </c>
      <c r="C290" s="336" t="s">
        <v>109</v>
      </c>
      <c r="D290" s="336"/>
      <c r="E290" s="323">
        <f>'[1]road inventory 2018'!C222</f>
        <v>3.3</v>
      </c>
      <c r="F290" s="323">
        <v>0</v>
      </c>
      <c r="G290" s="323">
        <v>0</v>
      </c>
      <c r="H290" s="323">
        <v>0</v>
      </c>
      <c r="I290" s="323">
        <v>3.3</v>
      </c>
      <c r="J290" s="325" t="s">
        <v>41</v>
      </c>
      <c r="K290" s="323">
        <f t="shared" si="22"/>
        <v>3.3</v>
      </c>
      <c r="L290" s="326"/>
      <c r="M290" s="363"/>
      <c r="N290" s="328"/>
    </row>
    <row r="291" spans="1:15" ht="20.149999999999999" customHeight="1" x14ac:dyDescent="0.35">
      <c r="A291" s="329">
        <v>6</v>
      </c>
      <c r="B291" s="321">
        <v>126</v>
      </c>
      <c r="C291" s="336" t="s">
        <v>110</v>
      </c>
      <c r="D291" s="336"/>
      <c r="E291" s="323">
        <f>'[1]road inventory 2018'!C223</f>
        <v>9.6</v>
      </c>
      <c r="F291" s="323">
        <v>9.6</v>
      </c>
      <c r="G291" s="323">
        <v>0</v>
      </c>
      <c r="H291" s="323">
        <v>0</v>
      </c>
      <c r="I291" s="323">
        <v>0</v>
      </c>
      <c r="J291" s="325" t="s">
        <v>10</v>
      </c>
      <c r="K291" s="323">
        <f t="shared" si="22"/>
        <v>9.6</v>
      </c>
      <c r="L291" s="326" t="s">
        <v>493</v>
      </c>
      <c r="M291" s="363"/>
      <c r="N291" s="328">
        <v>9.9499999999999993</v>
      </c>
    </row>
    <row r="292" spans="1:15" ht="20.149999999999999" customHeight="1" x14ac:dyDescent="0.35">
      <c r="A292" s="329">
        <v>7</v>
      </c>
      <c r="B292" s="321">
        <v>146</v>
      </c>
      <c r="C292" s="336" t="s">
        <v>115</v>
      </c>
      <c r="D292" s="336"/>
      <c r="E292" s="323">
        <f>'[1]road inventory 2018'!C224</f>
        <v>8.3000000000000007</v>
      </c>
      <c r="F292" s="323">
        <v>0</v>
      </c>
      <c r="G292" s="323">
        <v>0</v>
      </c>
      <c r="H292" s="323">
        <v>0</v>
      </c>
      <c r="I292" s="323">
        <v>8.3000000000000007</v>
      </c>
      <c r="J292" s="325" t="s">
        <v>12</v>
      </c>
      <c r="K292" s="323">
        <f t="shared" si="22"/>
        <v>8.3000000000000007</v>
      </c>
      <c r="L292" s="326"/>
      <c r="M292" s="363"/>
      <c r="N292" s="328"/>
      <c r="O292" s="331">
        <f>E224+E225+E226</f>
        <v>20.7</v>
      </c>
    </row>
    <row r="293" spans="1:15" ht="20.149999999999999" customHeight="1" x14ac:dyDescent="0.35">
      <c r="A293" s="329">
        <v>8</v>
      </c>
      <c r="B293" s="321">
        <v>147</v>
      </c>
      <c r="C293" s="336" t="s">
        <v>289</v>
      </c>
      <c r="D293" s="336"/>
      <c r="E293" s="323">
        <f>'[1]road inventory 2018'!C225</f>
        <v>4.2</v>
      </c>
      <c r="F293" s="323">
        <v>0.2</v>
      </c>
      <c r="G293" s="323">
        <v>0</v>
      </c>
      <c r="H293" s="323">
        <v>0</v>
      </c>
      <c r="I293" s="323">
        <v>4</v>
      </c>
      <c r="J293" s="325" t="s">
        <v>10</v>
      </c>
      <c r="K293" s="323">
        <f t="shared" si="22"/>
        <v>4.2</v>
      </c>
      <c r="L293" s="326"/>
      <c r="M293" s="363"/>
      <c r="N293" s="328"/>
    </row>
    <row r="294" spans="1:15" s="317" customFormat="1" ht="20.149999999999999" customHeight="1" x14ac:dyDescent="0.35">
      <c r="B294" s="373"/>
      <c r="C294" s="374" t="s">
        <v>341</v>
      </c>
      <c r="D294" s="374"/>
      <c r="E294" s="375">
        <f>SUM(E286:E293)</f>
        <v>84.59999999999998</v>
      </c>
      <c r="F294" s="375">
        <f>SUM(F286:F293)</f>
        <v>18.352999999999998</v>
      </c>
      <c r="G294" s="375">
        <f>SUM(G286:G293)</f>
        <v>0</v>
      </c>
      <c r="H294" s="375">
        <f>SUM(H286:H293)</f>
        <v>1.72</v>
      </c>
      <c r="I294" s="375">
        <f>SUM(I286:I293)</f>
        <v>64.526999999999987</v>
      </c>
      <c r="J294" s="376"/>
      <c r="K294" s="375"/>
      <c r="L294" s="372"/>
      <c r="M294" s="460"/>
      <c r="N294" s="410"/>
    </row>
    <row r="295" spans="1:15" s="317" customFormat="1" ht="20.149999999999999" customHeight="1" x14ac:dyDescent="0.35">
      <c r="B295" s="394"/>
      <c r="C295" s="395" t="s">
        <v>754</v>
      </c>
      <c r="D295" s="395">
        <f>D230+D238+D272+D283</f>
        <v>318.786</v>
      </c>
      <c r="E295" s="396">
        <f>E230+E238+E272+E283+E294</f>
        <v>424.08599999999996</v>
      </c>
      <c r="F295" s="396"/>
      <c r="G295" s="396"/>
      <c r="H295" s="396"/>
      <c r="I295" s="396"/>
      <c r="J295" s="397"/>
      <c r="K295" s="396">
        <f>SUM(K6:K294)</f>
        <v>1229.5511999999994</v>
      </c>
      <c r="L295" s="393"/>
      <c r="M295" s="461"/>
      <c r="N295" s="398">
        <f>COUNT(N8:N292)</f>
        <v>26</v>
      </c>
      <c r="O295" s="320"/>
    </row>
    <row r="296" spans="1:15" ht="18" customHeight="1" x14ac:dyDescent="0.35">
      <c r="E296" s="331"/>
      <c r="G296" s="331"/>
      <c r="K296" s="331"/>
      <c r="N296" s="327">
        <f>SUM(N6:N291)</f>
        <v>111.256</v>
      </c>
    </row>
    <row r="297" spans="1:15" ht="18" customHeight="1" x14ac:dyDescent="0.35"/>
    <row r="298" spans="1:15" ht="18" customHeight="1" x14ac:dyDescent="0.35">
      <c r="B298" s="329"/>
      <c r="C298" s="355" t="s">
        <v>755</v>
      </c>
      <c r="D298" s="355"/>
      <c r="G298" s="331" t="s">
        <v>757</v>
      </c>
      <c r="K298" s="331"/>
    </row>
    <row r="299" spans="1:15" ht="18" customHeight="1" x14ac:dyDescent="0.35">
      <c r="B299" s="329"/>
      <c r="C299" s="355"/>
      <c r="D299" s="355"/>
      <c r="G299" s="331"/>
      <c r="H299" s="331"/>
      <c r="I299" s="331"/>
      <c r="K299" s="331"/>
      <c r="L299" s="328"/>
      <c r="M299" s="363"/>
      <c r="N299" s="328"/>
    </row>
    <row r="300" spans="1:15" ht="18" customHeight="1" x14ac:dyDescent="0.35">
      <c r="B300" s="329"/>
      <c r="C300" s="355"/>
      <c r="D300" s="355"/>
      <c r="G300" s="331"/>
      <c r="I300" s="331"/>
      <c r="K300" s="331"/>
    </row>
    <row r="301" spans="1:15" ht="18" customHeight="1" x14ac:dyDescent="0.35">
      <c r="B301" s="329"/>
      <c r="C301" s="356" t="s">
        <v>150</v>
      </c>
      <c r="D301" s="356"/>
      <c r="G301" s="360" t="s">
        <v>153</v>
      </c>
    </row>
    <row r="302" spans="1:15" s="354" customFormat="1" ht="18" customHeight="1" x14ac:dyDescent="0.35">
      <c r="C302" s="355" t="s">
        <v>857</v>
      </c>
      <c r="D302" s="355"/>
      <c r="G302" s="350" t="s">
        <v>155</v>
      </c>
      <c r="H302" s="329"/>
      <c r="I302" s="329"/>
      <c r="J302" s="329"/>
      <c r="K302" s="331"/>
      <c r="L302" s="327"/>
      <c r="M302" s="452"/>
      <c r="N302" s="327"/>
    </row>
    <row r="303" spans="1:15" s="354" customFormat="1" ht="18" customHeight="1" x14ac:dyDescent="0.35">
      <c r="C303" s="355"/>
      <c r="D303" s="355"/>
      <c r="G303" s="332"/>
      <c r="H303" s="329"/>
      <c r="I303" s="329"/>
      <c r="J303" s="329"/>
      <c r="K303" s="329"/>
      <c r="L303" s="327"/>
      <c r="M303" s="452"/>
      <c r="N303" s="327"/>
    </row>
    <row r="304" spans="1:15" s="354" customFormat="1" ht="18" customHeight="1" x14ac:dyDescent="0.35">
      <c r="C304" s="355"/>
      <c r="D304" s="355"/>
      <c r="G304" s="332"/>
      <c r="H304" s="329"/>
      <c r="I304" s="329"/>
      <c r="J304" s="329"/>
      <c r="K304" s="329"/>
      <c r="L304" s="327"/>
      <c r="M304" s="452"/>
      <c r="N304" s="327"/>
    </row>
    <row r="305" spans="3:17" s="354" customFormat="1" ht="15" customHeight="1" x14ac:dyDescent="0.35">
      <c r="C305" s="355" t="s">
        <v>756</v>
      </c>
      <c r="D305" s="355"/>
      <c r="G305" s="350" t="s">
        <v>759</v>
      </c>
      <c r="H305" s="329"/>
      <c r="I305" s="329"/>
      <c r="J305" s="329"/>
      <c r="K305" s="329"/>
      <c r="L305" s="327"/>
      <c r="M305" s="452" t="s">
        <v>308</v>
      </c>
      <c r="N305" s="327" t="s">
        <v>309</v>
      </c>
      <c r="O305" s="354" t="s">
        <v>310</v>
      </c>
      <c r="P305" s="354" t="s">
        <v>311</v>
      </c>
    </row>
    <row r="306" spans="3:17" s="354" customFormat="1" ht="15" customHeight="1" x14ac:dyDescent="0.35">
      <c r="C306" s="355"/>
      <c r="D306" s="355"/>
      <c r="G306" s="332"/>
      <c r="H306" s="329"/>
      <c r="I306" s="329"/>
      <c r="J306" s="329"/>
      <c r="K306" s="329"/>
      <c r="L306" s="327"/>
      <c r="M306" s="363">
        <f>F32+F37+F54+F88+F118+F128+F132+F145+F150+F164+F175+F179+F195+F202+F213+F230+F238+F252+F272+F283+F294</f>
        <v>440.50819999999999</v>
      </c>
      <c r="N306" s="328">
        <f>G294+G283+G272+G252+G238+G230+G213+G202+G195+G179+G175+G164+G150+G145+G132+G128+G118+G88+G54+G37+G32</f>
        <v>10.742999999999999</v>
      </c>
      <c r="O306" s="755">
        <f>H294+H283+H272+H252+H238+H230+H213+H202+H195+H179+H175+H164+H150+H145+H132+H128+H118+H88+H54+H37+H32</f>
        <v>10.684000000000001</v>
      </c>
      <c r="P306" s="755">
        <f>I294+I283+I272+I252+I238+I230+I213+I202+I195+I179+I175+I164+I150+I145+I132+I128+I118+I88+I54+I37+I32</f>
        <v>767.61599999999999</v>
      </c>
      <c r="Q306" s="756">
        <f>SUM(M306:P306)</f>
        <v>1229.5511999999999</v>
      </c>
    </row>
    <row r="307" spans="3:17" s="354" customFormat="1" ht="15" customHeight="1" x14ac:dyDescent="0.35">
      <c r="C307" s="355"/>
      <c r="D307" s="355"/>
      <c r="G307" s="350"/>
      <c r="H307" s="329"/>
      <c r="I307" s="329"/>
      <c r="J307" s="329"/>
      <c r="K307" s="329"/>
      <c r="L307" s="327"/>
      <c r="M307" s="452"/>
      <c r="N307" s="327"/>
    </row>
    <row r="308" spans="3:17" s="354" customFormat="1" ht="15" customHeight="1" x14ac:dyDescent="0.35">
      <c r="C308" s="356" t="s">
        <v>147</v>
      </c>
      <c r="D308" s="356"/>
      <c r="G308" s="318" t="s">
        <v>852</v>
      </c>
      <c r="H308" s="329"/>
      <c r="I308" s="329"/>
      <c r="J308" s="329"/>
      <c r="K308" s="329"/>
      <c r="L308" s="327"/>
      <c r="M308" s="452"/>
      <c r="N308" s="327"/>
    </row>
    <row r="309" spans="3:17" s="354" customFormat="1" ht="15" customHeight="1" x14ac:dyDescent="0.35">
      <c r="C309" s="355" t="s">
        <v>149</v>
      </c>
      <c r="D309" s="355"/>
      <c r="G309" s="332" t="s">
        <v>853</v>
      </c>
      <c r="H309" s="329"/>
      <c r="I309" s="329"/>
      <c r="J309" s="329"/>
      <c r="K309" s="362"/>
      <c r="L309" s="327"/>
      <c r="M309" s="452"/>
      <c r="N309" s="327"/>
    </row>
    <row r="310" spans="3:17" s="354" customFormat="1" ht="15" customHeight="1" x14ac:dyDescent="0.35">
      <c r="C310" s="327"/>
      <c r="D310" s="327"/>
      <c r="G310" s="332" t="s">
        <v>858</v>
      </c>
      <c r="H310" s="329"/>
      <c r="I310" s="329"/>
      <c r="J310" s="329"/>
      <c r="K310" s="329"/>
      <c r="L310" s="327"/>
      <c r="M310" s="452"/>
      <c r="N310" s="327"/>
    </row>
    <row r="311" spans="3:17" s="354" customFormat="1" ht="15" customHeight="1" x14ac:dyDescent="0.35">
      <c r="C311" s="328"/>
      <c r="D311" s="328"/>
      <c r="E311" s="329"/>
      <c r="F311" s="329"/>
      <c r="G311" s="329"/>
      <c r="H311" s="329"/>
      <c r="I311" s="329"/>
      <c r="J311" s="329"/>
      <c r="K311" s="329"/>
      <c r="L311" s="327"/>
      <c r="M311" s="452"/>
      <c r="N311" s="327"/>
    </row>
    <row r="312" spans="3:17" s="354" customFormat="1" ht="15" customHeight="1" x14ac:dyDescent="0.35">
      <c r="C312" s="935" t="s">
        <v>152</v>
      </c>
      <c r="D312" s="328"/>
      <c r="F312" s="329"/>
      <c r="G312" s="329"/>
      <c r="H312" s="329"/>
      <c r="I312" s="329"/>
      <c r="J312" s="329"/>
      <c r="K312" s="329"/>
      <c r="L312" s="327"/>
      <c r="M312" s="452"/>
      <c r="N312" s="327"/>
    </row>
    <row r="313" spans="3:17" s="354" customFormat="1" ht="15" customHeight="1" x14ac:dyDescent="0.35">
      <c r="C313" s="327"/>
      <c r="D313" s="327"/>
      <c r="E313" s="329"/>
      <c r="F313" s="329"/>
      <c r="G313" s="329"/>
      <c r="H313" s="329"/>
      <c r="I313" s="329"/>
      <c r="J313" s="329"/>
      <c r="K313" s="329"/>
      <c r="L313" s="327"/>
      <c r="M313" s="452"/>
      <c r="N313" s="327"/>
    </row>
    <row r="314" spans="3:17" s="354" customFormat="1" ht="15" customHeight="1" x14ac:dyDescent="0.35">
      <c r="C314" s="327"/>
      <c r="D314" s="327"/>
      <c r="E314" s="329"/>
      <c r="F314" s="329"/>
      <c r="G314" s="329"/>
      <c r="H314" s="329"/>
      <c r="I314" s="329"/>
      <c r="J314" s="329"/>
      <c r="K314" s="329"/>
      <c r="L314" s="327"/>
      <c r="M314" s="452"/>
      <c r="N314" s="327"/>
    </row>
    <row r="315" spans="3:17" s="354" customFormat="1" ht="18" customHeight="1" x14ac:dyDescent="0.35">
      <c r="C315" s="327"/>
      <c r="D315" s="327"/>
      <c r="E315" s="318" t="s">
        <v>855</v>
      </c>
      <c r="F315" s="329"/>
      <c r="G315" s="329"/>
      <c r="H315" s="329"/>
      <c r="I315" s="329"/>
      <c r="J315" s="329"/>
      <c r="K315" s="329"/>
      <c r="L315" s="327"/>
      <c r="M315" s="452"/>
      <c r="N315" s="327"/>
    </row>
    <row r="316" spans="3:17" s="354" customFormat="1" ht="18" customHeight="1" x14ac:dyDescent="0.35">
      <c r="C316" s="327"/>
      <c r="D316" s="327"/>
      <c r="E316" s="1292" t="s">
        <v>763</v>
      </c>
      <c r="F316" s="1292"/>
      <c r="G316" s="329"/>
      <c r="H316" s="329"/>
      <c r="I316" s="329"/>
      <c r="J316" s="329"/>
      <c r="K316" s="329"/>
      <c r="L316" s="327"/>
      <c r="M316" s="452"/>
      <c r="N316" s="327"/>
    </row>
    <row r="324" spans="3:4" x14ac:dyDescent="0.35">
      <c r="C324" s="327" t="s">
        <v>849</v>
      </c>
      <c r="D324" s="328">
        <f>D283+D272+D238+D230</f>
        <v>318.78599999999994</v>
      </c>
    </row>
  </sheetData>
  <autoFilter ref="J1:J316" xr:uid="{00000000-0009-0000-0000-000014000000}"/>
  <mergeCells count="8">
    <mergeCell ref="E316:F316"/>
    <mergeCell ref="B1:J1"/>
    <mergeCell ref="B2:J2"/>
    <mergeCell ref="B3:J3"/>
    <mergeCell ref="D5:D6"/>
    <mergeCell ref="E5:E6"/>
    <mergeCell ref="F5:I5"/>
    <mergeCell ref="J5:J6"/>
  </mergeCells>
  <printOptions horizontalCentered="1"/>
  <pageMargins left="0" right="0" top="1" bottom="0.54" header="0.41" footer="0"/>
  <pageSetup paperSize="14" scale="64" fitToWidth="0" fitToHeight="0" orientation="portrait" useFirstPageNumber="1" horizontalDpi="300" verticalDpi="300" r:id="rId1"/>
  <headerFooter scaleWithDoc="0" alignWithMargins="0">
    <oddFooter>&amp;RPage &amp;P of &amp;N</oddFooter>
    <firstFooter>&amp;R&amp;P</firstFooter>
  </headerFooter>
  <rowBreaks count="2" manualBreakCount="2">
    <brk id="284" min="1" max="9" man="1"/>
    <brk id="295" min="1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tabColor rgb="FFC00000"/>
  </sheetPr>
  <dimension ref="A1:S327"/>
  <sheetViews>
    <sheetView view="pageBreakPreview" topLeftCell="B1" zoomScale="85" zoomScaleNormal="70" zoomScaleSheetLayoutView="85" zoomScalePageLayoutView="30" workbookViewId="0">
      <pane ySplit="7" topLeftCell="A277" activePane="bottomLeft" state="frozen"/>
      <selection pane="bottomLeft" activeCell="C304" sqref="C304"/>
    </sheetView>
  </sheetViews>
  <sheetFormatPr defaultRowHeight="18" x14ac:dyDescent="0.35"/>
  <cols>
    <col min="1" max="1" width="9.1796875" style="329"/>
    <col min="2" max="2" width="20.7265625" style="354" customWidth="1"/>
    <col min="3" max="3" width="50.7265625" style="327" customWidth="1"/>
    <col min="4" max="4" width="17.7265625" style="327" customWidth="1"/>
    <col min="5" max="5" width="12.81640625" style="329" customWidth="1"/>
    <col min="6" max="6" width="14.81640625" style="329" customWidth="1"/>
    <col min="7" max="7" width="12" style="329" customWidth="1"/>
    <col min="8" max="8" width="9.54296875" style="329" customWidth="1"/>
    <col min="9" max="9" width="12.54296875" style="329" customWidth="1"/>
    <col min="10" max="10" width="14.453125" style="329" customWidth="1"/>
    <col min="11" max="11" width="12.81640625" style="329" customWidth="1"/>
    <col min="12" max="12" width="23.7265625" style="327" customWidth="1"/>
    <col min="13" max="13" width="21.26953125" style="452" customWidth="1"/>
    <col min="14" max="14" width="22.54296875" style="327" customWidth="1"/>
    <col min="15" max="15" width="20" style="329" customWidth="1"/>
    <col min="16" max="16" width="15.54296875" style="329" customWidth="1"/>
    <col min="17" max="17" width="16.26953125" style="329" customWidth="1"/>
    <col min="18" max="18" width="9.1796875" style="329" customWidth="1"/>
    <col min="19" max="19" width="9.7265625" style="329" customWidth="1"/>
    <col min="20" max="21" width="9.1796875" style="329" customWidth="1"/>
    <col min="22" max="257" width="9.1796875" style="329"/>
    <col min="258" max="258" width="13.26953125" style="329" customWidth="1"/>
    <col min="259" max="259" width="27.453125" style="329" customWidth="1"/>
    <col min="260" max="261" width="9.54296875" style="329" customWidth="1"/>
    <col min="262" max="262" width="9.7265625" style="329" customWidth="1"/>
    <col min="263" max="263" width="9.54296875" style="329" customWidth="1"/>
    <col min="264" max="264" width="12.54296875" style="329" customWidth="1"/>
    <col min="265" max="265" width="10" style="329" customWidth="1"/>
    <col min="266" max="266" width="9.7265625" style="329" customWidth="1"/>
    <col min="267" max="269" width="9.1796875" style="329" customWidth="1"/>
    <col min="270" max="513" width="9.1796875" style="329"/>
    <col min="514" max="514" width="13.26953125" style="329" customWidth="1"/>
    <col min="515" max="515" width="27.453125" style="329" customWidth="1"/>
    <col min="516" max="517" width="9.54296875" style="329" customWidth="1"/>
    <col min="518" max="518" width="9.7265625" style="329" customWidth="1"/>
    <col min="519" max="519" width="9.54296875" style="329" customWidth="1"/>
    <col min="520" max="520" width="12.54296875" style="329" customWidth="1"/>
    <col min="521" max="521" width="10" style="329" customWidth="1"/>
    <col min="522" max="522" width="9.7265625" style="329" customWidth="1"/>
    <col min="523" max="525" width="9.1796875" style="329" customWidth="1"/>
    <col min="526" max="769" width="9.1796875" style="329"/>
    <col min="770" max="770" width="13.26953125" style="329" customWidth="1"/>
    <col min="771" max="771" width="27.453125" style="329" customWidth="1"/>
    <col min="772" max="773" width="9.54296875" style="329" customWidth="1"/>
    <col min="774" max="774" width="9.7265625" style="329" customWidth="1"/>
    <col min="775" max="775" width="9.54296875" style="329" customWidth="1"/>
    <col min="776" max="776" width="12.54296875" style="329" customWidth="1"/>
    <col min="777" max="777" width="10" style="329" customWidth="1"/>
    <col min="778" max="778" width="9.7265625" style="329" customWidth="1"/>
    <col min="779" max="781" width="9.1796875" style="329" customWidth="1"/>
    <col min="782" max="1025" width="9.1796875" style="329"/>
    <col min="1026" max="1026" width="13.26953125" style="329" customWidth="1"/>
    <col min="1027" max="1027" width="27.453125" style="329" customWidth="1"/>
    <col min="1028" max="1029" width="9.54296875" style="329" customWidth="1"/>
    <col min="1030" max="1030" width="9.7265625" style="329" customWidth="1"/>
    <col min="1031" max="1031" width="9.54296875" style="329" customWidth="1"/>
    <col min="1032" max="1032" width="12.54296875" style="329" customWidth="1"/>
    <col min="1033" max="1033" width="10" style="329" customWidth="1"/>
    <col min="1034" max="1034" width="9.7265625" style="329" customWidth="1"/>
    <col min="1035" max="1037" width="9.1796875" style="329" customWidth="1"/>
    <col min="1038" max="1281" width="9.1796875" style="329"/>
    <col min="1282" max="1282" width="13.26953125" style="329" customWidth="1"/>
    <col min="1283" max="1283" width="27.453125" style="329" customWidth="1"/>
    <col min="1284" max="1285" width="9.54296875" style="329" customWidth="1"/>
    <col min="1286" max="1286" width="9.7265625" style="329" customWidth="1"/>
    <col min="1287" max="1287" width="9.54296875" style="329" customWidth="1"/>
    <col min="1288" max="1288" width="12.54296875" style="329" customWidth="1"/>
    <col min="1289" max="1289" width="10" style="329" customWidth="1"/>
    <col min="1290" max="1290" width="9.7265625" style="329" customWidth="1"/>
    <col min="1291" max="1293" width="9.1796875" style="329" customWidth="1"/>
    <col min="1294" max="1537" width="9.1796875" style="329"/>
    <col min="1538" max="1538" width="13.26953125" style="329" customWidth="1"/>
    <col min="1539" max="1539" width="27.453125" style="329" customWidth="1"/>
    <col min="1540" max="1541" width="9.54296875" style="329" customWidth="1"/>
    <col min="1542" max="1542" width="9.7265625" style="329" customWidth="1"/>
    <col min="1543" max="1543" width="9.54296875" style="329" customWidth="1"/>
    <col min="1544" max="1544" width="12.54296875" style="329" customWidth="1"/>
    <col min="1545" max="1545" width="10" style="329" customWidth="1"/>
    <col min="1546" max="1546" width="9.7265625" style="329" customWidth="1"/>
    <col min="1547" max="1549" width="9.1796875" style="329" customWidth="1"/>
    <col min="1550" max="1793" width="9.1796875" style="329"/>
    <col min="1794" max="1794" width="13.26953125" style="329" customWidth="1"/>
    <col min="1795" max="1795" width="27.453125" style="329" customWidth="1"/>
    <col min="1796" max="1797" width="9.54296875" style="329" customWidth="1"/>
    <col min="1798" max="1798" width="9.7265625" style="329" customWidth="1"/>
    <col min="1799" max="1799" width="9.54296875" style="329" customWidth="1"/>
    <col min="1800" max="1800" width="12.54296875" style="329" customWidth="1"/>
    <col min="1801" max="1801" width="10" style="329" customWidth="1"/>
    <col min="1802" max="1802" width="9.7265625" style="329" customWidth="1"/>
    <col min="1803" max="1805" width="9.1796875" style="329" customWidth="1"/>
    <col min="1806" max="2049" width="9.1796875" style="329"/>
    <col min="2050" max="2050" width="13.26953125" style="329" customWidth="1"/>
    <col min="2051" max="2051" width="27.453125" style="329" customWidth="1"/>
    <col min="2052" max="2053" width="9.54296875" style="329" customWidth="1"/>
    <col min="2054" max="2054" width="9.7265625" style="329" customWidth="1"/>
    <col min="2055" max="2055" width="9.54296875" style="329" customWidth="1"/>
    <col min="2056" max="2056" width="12.54296875" style="329" customWidth="1"/>
    <col min="2057" max="2057" width="10" style="329" customWidth="1"/>
    <col min="2058" max="2058" width="9.7265625" style="329" customWidth="1"/>
    <col min="2059" max="2061" width="9.1796875" style="329" customWidth="1"/>
    <col min="2062" max="2305" width="9.1796875" style="329"/>
    <col min="2306" max="2306" width="13.26953125" style="329" customWidth="1"/>
    <col min="2307" max="2307" width="27.453125" style="329" customWidth="1"/>
    <col min="2308" max="2309" width="9.54296875" style="329" customWidth="1"/>
    <col min="2310" max="2310" width="9.7265625" style="329" customWidth="1"/>
    <col min="2311" max="2311" width="9.54296875" style="329" customWidth="1"/>
    <col min="2312" max="2312" width="12.54296875" style="329" customWidth="1"/>
    <col min="2313" max="2313" width="10" style="329" customWidth="1"/>
    <col min="2314" max="2314" width="9.7265625" style="329" customWidth="1"/>
    <col min="2315" max="2317" width="9.1796875" style="329" customWidth="1"/>
    <col min="2318" max="2561" width="9.1796875" style="329"/>
    <col min="2562" max="2562" width="13.26953125" style="329" customWidth="1"/>
    <col min="2563" max="2563" width="27.453125" style="329" customWidth="1"/>
    <col min="2564" max="2565" width="9.54296875" style="329" customWidth="1"/>
    <col min="2566" max="2566" width="9.7265625" style="329" customWidth="1"/>
    <col min="2567" max="2567" width="9.54296875" style="329" customWidth="1"/>
    <col min="2568" max="2568" width="12.54296875" style="329" customWidth="1"/>
    <col min="2569" max="2569" width="10" style="329" customWidth="1"/>
    <col min="2570" max="2570" width="9.7265625" style="329" customWidth="1"/>
    <col min="2571" max="2573" width="9.1796875" style="329" customWidth="1"/>
    <col min="2574" max="2817" width="9.1796875" style="329"/>
    <col min="2818" max="2818" width="13.26953125" style="329" customWidth="1"/>
    <col min="2819" max="2819" width="27.453125" style="329" customWidth="1"/>
    <col min="2820" max="2821" width="9.54296875" style="329" customWidth="1"/>
    <col min="2822" max="2822" width="9.7265625" style="329" customWidth="1"/>
    <col min="2823" max="2823" width="9.54296875" style="329" customWidth="1"/>
    <col min="2824" max="2824" width="12.54296875" style="329" customWidth="1"/>
    <col min="2825" max="2825" width="10" style="329" customWidth="1"/>
    <col min="2826" max="2826" width="9.7265625" style="329" customWidth="1"/>
    <col min="2827" max="2829" width="9.1796875" style="329" customWidth="1"/>
    <col min="2830" max="3073" width="9.1796875" style="329"/>
    <col min="3074" max="3074" width="13.26953125" style="329" customWidth="1"/>
    <col min="3075" max="3075" width="27.453125" style="329" customWidth="1"/>
    <col min="3076" max="3077" width="9.54296875" style="329" customWidth="1"/>
    <col min="3078" max="3078" width="9.7265625" style="329" customWidth="1"/>
    <col min="3079" max="3079" width="9.54296875" style="329" customWidth="1"/>
    <col min="3080" max="3080" width="12.54296875" style="329" customWidth="1"/>
    <col min="3081" max="3081" width="10" style="329" customWidth="1"/>
    <col min="3082" max="3082" width="9.7265625" style="329" customWidth="1"/>
    <col min="3083" max="3085" width="9.1796875" style="329" customWidth="1"/>
    <col min="3086" max="3329" width="9.1796875" style="329"/>
    <col min="3330" max="3330" width="13.26953125" style="329" customWidth="1"/>
    <col min="3331" max="3331" width="27.453125" style="329" customWidth="1"/>
    <col min="3332" max="3333" width="9.54296875" style="329" customWidth="1"/>
    <col min="3334" max="3334" width="9.7265625" style="329" customWidth="1"/>
    <col min="3335" max="3335" width="9.54296875" style="329" customWidth="1"/>
    <col min="3336" max="3336" width="12.54296875" style="329" customWidth="1"/>
    <col min="3337" max="3337" width="10" style="329" customWidth="1"/>
    <col min="3338" max="3338" width="9.7265625" style="329" customWidth="1"/>
    <col min="3339" max="3341" width="9.1796875" style="329" customWidth="1"/>
    <col min="3342" max="3585" width="9.1796875" style="329"/>
    <col min="3586" max="3586" width="13.26953125" style="329" customWidth="1"/>
    <col min="3587" max="3587" width="27.453125" style="329" customWidth="1"/>
    <col min="3588" max="3589" width="9.54296875" style="329" customWidth="1"/>
    <col min="3590" max="3590" width="9.7265625" style="329" customWidth="1"/>
    <col min="3591" max="3591" width="9.54296875" style="329" customWidth="1"/>
    <col min="3592" max="3592" width="12.54296875" style="329" customWidth="1"/>
    <col min="3593" max="3593" width="10" style="329" customWidth="1"/>
    <col min="3594" max="3594" width="9.7265625" style="329" customWidth="1"/>
    <col min="3595" max="3597" width="9.1796875" style="329" customWidth="1"/>
    <col min="3598" max="3841" width="9.1796875" style="329"/>
    <col min="3842" max="3842" width="13.26953125" style="329" customWidth="1"/>
    <col min="3843" max="3843" width="27.453125" style="329" customWidth="1"/>
    <col min="3844" max="3845" width="9.54296875" style="329" customWidth="1"/>
    <col min="3846" max="3846" width="9.7265625" style="329" customWidth="1"/>
    <col min="3847" max="3847" width="9.54296875" style="329" customWidth="1"/>
    <col min="3848" max="3848" width="12.54296875" style="329" customWidth="1"/>
    <col min="3849" max="3849" width="10" style="329" customWidth="1"/>
    <col min="3850" max="3850" width="9.7265625" style="329" customWidth="1"/>
    <col min="3851" max="3853" width="9.1796875" style="329" customWidth="1"/>
    <col min="3854" max="4097" width="9.1796875" style="329"/>
    <col min="4098" max="4098" width="13.26953125" style="329" customWidth="1"/>
    <col min="4099" max="4099" width="27.453125" style="329" customWidth="1"/>
    <col min="4100" max="4101" width="9.54296875" style="329" customWidth="1"/>
    <col min="4102" max="4102" width="9.7265625" style="329" customWidth="1"/>
    <col min="4103" max="4103" width="9.54296875" style="329" customWidth="1"/>
    <col min="4104" max="4104" width="12.54296875" style="329" customWidth="1"/>
    <col min="4105" max="4105" width="10" style="329" customWidth="1"/>
    <col min="4106" max="4106" width="9.7265625" style="329" customWidth="1"/>
    <col min="4107" max="4109" width="9.1796875" style="329" customWidth="1"/>
    <col min="4110" max="4353" width="9.1796875" style="329"/>
    <col min="4354" max="4354" width="13.26953125" style="329" customWidth="1"/>
    <col min="4355" max="4355" width="27.453125" style="329" customWidth="1"/>
    <col min="4356" max="4357" width="9.54296875" style="329" customWidth="1"/>
    <col min="4358" max="4358" width="9.7265625" style="329" customWidth="1"/>
    <col min="4359" max="4359" width="9.54296875" style="329" customWidth="1"/>
    <col min="4360" max="4360" width="12.54296875" style="329" customWidth="1"/>
    <col min="4361" max="4361" width="10" style="329" customWidth="1"/>
    <col min="4362" max="4362" width="9.7265625" style="329" customWidth="1"/>
    <col min="4363" max="4365" width="9.1796875" style="329" customWidth="1"/>
    <col min="4366" max="4609" width="9.1796875" style="329"/>
    <col min="4610" max="4610" width="13.26953125" style="329" customWidth="1"/>
    <col min="4611" max="4611" width="27.453125" style="329" customWidth="1"/>
    <col min="4612" max="4613" width="9.54296875" style="329" customWidth="1"/>
    <col min="4614" max="4614" width="9.7265625" style="329" customWidth="1"/>
    <col min="4615" max="4615" width="9.54296875" style="329" customWidth="1"/>
    <col min="4616" max="4616" width="12.54296875" style="329" customWidth="1"/>
    <col min="4617" max="4617" width="10" style="329" customWidth="1"/>
    <col min="4618" max="4618" width="9.7265625" style="329" customWidth="1"/>
    <col min="4619" max="4621" width="9.1796875" style="329" customWidth="1"/>
    <col min="4622" max="4865" width="9.1796875" style="329"/>
    <col min="4866" max="4866" width="13.26953125" style="329" customWidth="1"/>
    <col min="4867" max="4867" width="27.453125" style="329" customWidth="1"/>
    <col min="4868" max="4869" width="9.54296875" style="329" customWidth="1"/>
    <col min="4870" max="4870" width="9.7265625" style="329" customWidth="1"/>
    <col min="4871" max="4871" width="9.54296875" style="329" customWidth="1"/>
    <col min="4872" max="4872" width="12.54296875" style="329" customWidth="1"/>
    <col min="4873" max="4873" width="10" style="329" customWidth="1"/>
    <col min="4874" max="4874" width="9.7265625" style="329" customWidth="1"/>
    <col min="4875" max="4877" width="9.1796875" style="329" customWidth="1"/>
    <col min="4878" max="5121" width="9.1796875" style="329"/>
    <col min="5122" max="5122" width="13.26953125" style="329" customWidth="1"/>
    <col min="5123" max="5123" width="27.453125" style="329" customWidth="1"/>
    <col min="5124" max="5125" width="9.54296875" style="329" customWidth="1"/>
    <col min="5126" max="5126" width="9.7265625" style="329" customWidth="1"/>
    <col min="5127" max="5127" width="9.54296875" style="329" customWidth="1"/>
    <col min="5128" max="5128" width="12.54296875" style="329" customWidth="1"/>
    <col min="5129" max="5129" width="10" style="329" customWidth="1"/>
    <col min="5130" max="5130" width="9.7265625" style="329" customWidth="1"/>
    <col min="5131" max="5133" width="9.1796875" style="329" customWidth="1"/>
    <col min="5134" max="5377" width="9.1796875" style="329"/>
    <col min="5378" max="5378" width="13.26953125" style="329" customWidth="1"/>
    <col min="5379" max="5379" width="27.453125" style="329" customWidth="1"/>
    <col min="5380" max="5381" width="9.54296875" style="329" customWidth="1"/>
    <col min="5382" max="5382" width="9.7265625" style="329" customWidth="1"/>
    <col min="5383" max="5383" width="9.54296875" style="329" customWidth="1"/>
    <col min="5384" max="5384" width="12.54296875" style="329" customWidth="1"/>
    <col min="5385" max="5385" width="10" style="329" customWidth="1"/>
    <col min="5386" max="5386" width="9.7265625" style="329" customWidth="1"/>
    <col min="5387" max="5389" width="9.1796875" style="329" customWidth="1"/>
    <col min="5390" max="5633" width="9.1796875" style="329"/>
    <col min="5634" max="5634" width="13.26953125" style="329" customWidth="1"/>
    <col min="5635" max="5635" width="27.453125" style="329" customWidth="1"/>
    <col min="5636" max="5637" width="9.54296875" style="329" customWidth="1"/>
    <col min="5638" max="5638" width="9.7265625" style="329" customWidth="1"/>
    <col min="5639" max="5639" width="9.54296875" style="329" customWidth="1"/>
    <col min="5640" max="5640" width="12.54296875" style="329" customWidth="1"/>
    <col min="5641" max="5641" width="10" style="329" customWidth="1"/>
    <col min="5642" max="5642" width="9.7265625" style="329" customWidth="1"/>
    <col min="5643" max="5645" width="9.1796875" style="329" customWidth="1"/>
    <col min="5646" max="5889" width="9.1796875" style="329"/>
    <col min="5890" max="5890" width="13.26953125" style="329" customWidth="1"/>
    <col min="5891" max="5891" width="27.453125" style="329" customWidth="1"/>
    <col min="5892" max="5893" width="9.54296875" style="329" customWidth="1"/>
    <col min="5894" max="5894" width="9.7265625" style="329" customWidth="1"/>
    <col min="5895" max="5895" width="9.54296875" style="329" customWidth="1"/>
    <col min="5896" max="5896" width="12.54296875" style="329" customWidth="1"/>
    <col min="5897" max="5897" width="10" style="329" customWidth="1"/>
    <col min="5898" max="5898" width="9.7265625" style="329" customWidth="1"/>
    <col min="5899" max="5901" width="9.1796875" style="329" customWidth="1"/>
    <col min="5902" max="6145" width="9.1796875" style="329"/>
    <col min="6146" max="6146" width="13.26953125" style="329" customWidth="1"/>
    <col min="6147" max="6147" width="27.453125" style="329" customWidth="1"/>
    <col min="6148" max="6149" width="9.54296875" style="329" customWidth="1"/>
    <col min="6150" max="6150" width="9.7265625" style="329" customWidth="1"/>
    <col min="6151" max="6151" width="9.54296875" style="329" customWidth="1"/>
    <col min="6152" max="6152" width="12.54296875" style="329" customWidth="1"/>
    <col min="6153" max="6153" width="10" style="329" customWidth="1"/>
    <col min="6154" max="6154" width="9.7265625" style="329" customWidth="1"/>
    <col min="6155" max="6157" width="9.1796875" style="329" customWidth="1"/>
    <col min="6158" max="6401" width="9.1796875" style="329"/>
    <col min="6402" max="6402" width="13.26953125" style="329" customWidth="1"/>
    <col min="6403" max="6403" width="27.453125" style="329" customWidth="1"/>
    <col min="6404" max="6405" width="9.54296875" style="329" customWidth="1"/>
    <col min="6406" max="6406" width="9.7265625" style="329" customWidth="1"/>
    <col min="6407" max="6407" width="9.54296875" style="329" customWidth="1"/>
    <col min="6408" max="6408" width="12.54296875" style="329" customWidth="1"/>
    <col min="6409" max="6409" width="10" style="329" customWidth="1"/>
    <col min="6410" max="6410" width="9.7265625" style="329" customWidth="1"/>
    <col min="6411" max="6413" width="9.1796875" style="329" customWidth="1"/>
    <col min="6414" max="6657" width="9.1796875" style="329"/>
    <col min="6658" max="6658" width="13.26953125" style="329" customWidth="1"/>
    <col min="6659" max="6659" width="27.453125" style="329" customWidth="1"/>
    <col min="6660" max="6661" width="9.54296875" style="329" customWidth="1"/>
    <col min="6662" max="6662" width="9.7265625" style="329" customWidth="1"/>
    <col min="6663" max="6663" width="9.54296875" style="329" customWidth="1"/>
    <col min="6664" max="6664" width="12.54296875" style="329" customWidth="1"/>
    <col min="6665" max="6665" width="10" style="329" customWidth="1"/>
    <col min="6666" max="6666" width="9.7265625" style="329" customWidth="1"/>
    <col min="6667" max="6669" width="9.1796875" style="329" customWidth="1"/>
    <col min="6670" max="6913" width="9.1796875" style="329"/>
    <col min="6914" max="6914" width="13.26953125" style="329" customWidth="1"/>
    <col min="6915" max="6915" width="27.453125" style="329" customWidth="1"/>
    <col min="6916" max="6917" width="9.54296875" style="329" customWidth="1"/>
    <col min="6918" max="6918" width="9.7265625" style="329" customWidth="1"/>
    <col min="6919" max="6919" width="9.54296875" style="329" customWidth="1"/>
    <col min="6920" max="6920" width="12.54296875" style="329" customWidth="1"/>
    <col min="6921" max="6921" width="10" style="329" customWidth="1"/>
    <col min="6922" max="6922" width="9.7265625" style="329" customWidth="1"/>
    <col min="6923" max="6925" width="9.1796875" style="329" customWidth="1"/>
    <col min="6926" max="7169" width="9.1796875" style="329"/>
    <col min="7170" max="7170" width="13.26953125" style="329" customWidth="1"/>
    <col min="7171" max="7171" width="27.453125" style="329" customWidth="1"/>
    <col min="7172" max="7173" width="9.54296875" style="329" customWidth="1"/>
    <col min="7174" max="7174" width="9.7265625" style="329" customWidth="1"/>
    <col min="7175" max="7175" width="9.54296875" style="329" customWidth="1"/>
    <col min="7176" max="7176" width="12.54296875" style="329" customWidth="1"/>
    <col min="7177" max="7177" width="10" style="329" customWidth="1"/>
    <col min="7178" max="7178" width="9.7265625" style="329" customWidth="1"/>
    <col min="7179" max="7181" width="9.1796875" style="329" customWidth="1"/>
    <col min="7182" max="7425" width="9.1796875" style="329"/>
    <col min="7426" max="7426" width="13.26953125" style="329" customWidth="1"/>
    <col min="7427" max="7427" width="27.453125" style="329" customWidth="1"/>
    <col min="7428" max="7429" width="9.54296875" style="329" customWidth="1"/>
    <col min="7430" max="7430" width="9.7265625" style="329" customWidth="1"/>
    <col min="7431" max="7431" width="9.54296875" style="329" customWidth="1"/>
    <col min="7432" max="7432" width="12.54296875" style="329" customWidth="1"/>
    <col min="7433" max="7433" width="10" style="329" customWidth="1"/>
    <col min="7434" max="7434" width="9.7265625" style="329" customWidth="1"/>
    <col min="7435" max="7437" width="9.1796875" style="329" customWidth="1"/>
    <col min="7438" max="7681" width="9.1796875" style="329"/>
    <col min="7682" max="7682" width="13.26953125" style="329" customWidth="1"/>
    <col min="7683" max="7683" width="27.453125" style="329" customWidth="1"/>
    <col min="7684" max="7685" width="9.54296875" style="329" customWidth="1"/>
    <col min="7686" max="7686" width="9.7265625" style="329" customWidth="1"/>
    <col min="7687" max="7687" width="9.54296875" style="329" customWidth="1"/>
    <col min="7688" max="7688" width="12.54296875" style="329" customWidth="1"/>
    <col min="7689" max="7689" width="10" style="329" customWidth="1"/>
    <col min="7690" max="7690" width="9.7265625" style="329" customWidth="1"/>
    <col min="7691" max="7693" width="9.1796875" style="329" customWidth="1"/>
    <col min="7694" max="7937" width="9.1796875" style="329"/>
    <col min="7938" max="7938" width="13.26953125" style="329" customWidth="1"/>
    <col min="7939" max="7939" width="27.453125" style="329" customWidth="1"/>
    <col min="7940" max="7941" width="9.54296875" style="329" customWidth="1"/>
    <col min="7942" max="7942" width="9.7265625" style="329" customWidth="1"/>
    <col min="7943" max="7943" width="9.54296875" style="329" customWidth="1"/>
    <col min="7944" max="7944" width="12.54296875" style="329" customWidth="1"/>
    <col min="7945" max="7945" width="10" style="329" customWidth="1"/>
    <col min="7946" max="7946" width="9.7265625" style="329" customWidth="1"/>
    <col min="7947" max="7949" width="9.1796875" style="329" customWidth="1"/>
    <col min="7950" max="8193" width="9.1796875" style="329"/>
    <col min="8194" max="8194" width="13.26953125" style="329" customWidth="1"/>
    <col min="8195" max="8195" width="27.453125" style="329" customWidth="1"/>
    <col min="8196" max="8197" width="9.54296875" style="329" customWidth="1"/>
    <col min="8198" max="8198" width="9.7265625" style="329" customWidth="1"/>
    <col min="8199" max="8199" width="9.54296875" style="329" customWidth="1"/>
    <col min="8200" max="8200" width="12.54296875" style="329" customWidth="1"/>
    <col min="8201" max="8201" width="10" style="329" customWidth="1"/>
    <col min="8202" max="8202" width="9.7265625" style="329" customWidth="1"/>
    <col min="8203" max="8205" width="9.1796875" style="329" customWidth="1"/>
    <col min="8206" max="8449" width="9.1796875" style="329"/>
    <col min="8450" max="8450" width="13.26953125" style="329" customWidth="1"/>
    <col min="8451" max="8451" width="27.453125" style="329" customWidth="1"/>
    <col min="8452" max="8453" width="9.54296875" style="329" customWidth="1"/>
    <col min="8454" max="8454" width="9.7265625" style="329" customWidth="1"/>
    <col min="8455" max="8455" width="9.54296875" style="329" customWidth="1"/>
    <col min="8456" max="8456" width="12.54296875" style="329" customWidth="1"/>
    <col min="8457" max="8457" width="10" style="329" customWidth="1"/>
    <col min="8458" max="8458" width="9.7265625" style="329" customWidth="1"/>
    <col min="8459" max="8461" width="9.1796875" style="329" customWidth="1"/>
    <col min="8462" max="8705" width="9.1796875" style="329"/>
    <col min="8706" max="8706" width="13.26953125" style="329" customWidth="1"/>
    <col min="8707" max="8707" width="27.453125" style="329" customWidth="1"/>
    <col min="8708" max="8709" width="9.54296875" style="329" customWidth="1"/>
    <col min="8710" max="8710" width="9.7265625" style="329" customWidth="1"/>
    <col min="8711" max="8711" width="9.54296875" style="329" customWidth="1"/>
    <col min="8712" max="8712" width="12.54296875" style="329" customWidth="1"/>
    <col min="8713" max="8713" width="10" style="329" customWidth="1"/>
    <col min="8714" max="8714" width="9.7265625" style="329" customWidth="1"/>
    <col min="8715" max="8717" width="9.1796875" style="329" customWidth="1"/>
    <col min="8718" max="8961" width="9.1796875" style="329"/>
    <col min="8962" max="8962" width="13.26953125" style="329" customWidth="1"/>
    <col min="8963" max="8963" width="27.453125" style="329" customWidth="1"/>
    <col min="8964" max="8965" width="9.54296875" style="329" customWidth="1"/>
    <col min="8966" max="8966" width="9.7265625" style="329" customWidth="1"/>
    <col min="8967" max="8967" width="9.54296875" style="329" customWidth="1"/>
    <col min="8968" max="8968" width="12.54296875" style="329" customWidth="1"/>
    <col min="8969" max="8969" width="10" style="329" customWidth="1"/>
    <col min="8970" max="8970" width="9.7265625" style="329" customWidth="1"/>
    <col min="8971" max="8973" width="9.1796875" style="329" customWidth="1"/>
    <col min="8974" max="9217" width="9.1796875" style="329"/>
    <col min="9218" max="9218" width="13.26953125" style="329" customWidth="1"/>
    <col min="9219" max="9219" width="27.453125" style="329" customWidth="1"/>
    <col min="9220" max="9221" width="9.54296875" style="329" customWidth="1"/>
    <col min="9222" max="9222" width="9.7265625" style="329" customWidth="1"/>
    <col min="9223" max="9223" width="9.54296875" style="329" customWidth="1"/>
    <col min="9224" max="9224" width="12.54296875" style="329" customWidth="1"/>
    <col min="9225" max="9225" width="10" style="329" customWidth="1"/>
    <col min="9226" max="9226" width="9.7265625" style="329" customWidth="1"/>
    <col min="9227" max="9229" width="9.1796875" style="329" customWidth="1"/>
    <col min="9230" max="9473" width="9.1796875" style="329"/>
    <col min="9474" max="9474" width="13.26953125" style="329" customWidth="1"/>
    <col min="9475" max="9475" width="27.453125" style="329" customWidth="1"/>
    <col min="9476" max="9477" width="9.54296875" style="329" customWidth="1"/>
    <col min="9478" max="9478" width="9.7265625" style="329" customWidth="1"/>
    <col min="9479" max="9479" width="9.54296875" style="329" customWidth="1"/>
    <col min="9480" max="9480" width="12.54296875" style="329" customWidth="1"/>
    <col min="9481" max="9481" width="10" style="329" customWidth="1"/>
    <col min="9482" max="9482" width="9.7265625" style="329" customWidth="1"/>
    <col min="9483" max="9485" width="9.1796875" style="329" customWidth="1"/>
    <col min="9486" max="9729" width="9.1796875" style="329"/>
    <col min="9730" max="9730" width="13.26953125" style="329" customWidth="1"/>
    <col min="9731" max="9731" width="27.453125" style="329" customWidth="1"/>
    <col min="9732" max="9733" width="9.54296875" style="329" customWidth="1"/>
    <col min="9734" max="9734" width="9.7265625" style="329" customWidth="1"/>
    <col min="9735" max="9735" width="9.54296875" style="329" customWidth="1"/>
    <col min="9736" max="9736" width="12.54296875" style="329" customWidth="1"/>
    <col min="9737" max="9737" width="10" style="329" customWidth="1"/>
    <col min="9738" max="9738" width="9.7265625" style="329" customWidth="1"/>
    <col min="9739" max="9741" width="9.1796875" style="329" customWidth="1"/>
    <col min="9742" max="9985" width="9.1796875" style="329"/>
    <col min="9986" max="9986" width="13.26953125" style="329" customWidth="1"/>
    <col min="9987" max="9987" width="27.453125" style="329" customWidth="1"/>
    <col min="9988" max="9989" width="9.54296875" style="329" customWidth="1"/>
    <col min="9990" max="9990" width="9.7265625" style="329" customWidth="1"/>
    <col min="9991" max="9991" width="9.54296875" style="329" customWidth="1"/>
    <col min="9992" max="9992" width="12.54296875" style="329" customWidth="1"/>
    <col min="9993" max="9993" width="10" style="329" customWidth="1"/>
    <col min="9994" max="9994" width="9.7265625" style="329" customWidth="1"/>
    <col min="9995" max="9997" width="9.1796875" style="329" customWidth="1"/>
    <col min="9998" max="10241" width="9.1796875" style="329"/>
    <col min="10242" max="10242" width="13.26953125" style="329" customWidth="1"/>
    <col min="10243" max="10243" width="27.453125" style="329" customWidth="1"/>
    <col min="10244" max="10245" width="9.54296875" style="329" customWidth="1"/>
    <col min="10246" max="10246" width="9.7265625" style="329" customWidth="1"/>
    <col min="10247" max="10247" width="9.54296875" style="329" customWidth="1"/>
    <col min="10248" max="10248" width="12.54296875" style="329" customWidth="1"/>
    <col min="10249" max="10249" width="10" style="329" customWidth="1"/>
    <col min="10250" max="10250" width="9.7265625" style="329" customWidth="1"/>
    <col min="10251" max="10253" width="9.1796875" style="329" customWidth="1"/>
    <col min="10254" max="10497" width="9.1796875" style="329"/>
    <col min="10498" max="10498" width="13.26953125" style="329" customWidth="1"/>
    <col min="10499" max="10499" width="27.453125" style="329" customWidth="1"/>
    <col min="10500" max="10501" width="9.54296875" style="329" customWidth="1"/>
    <col min="10502" max="10502" width="9.7265625" style="329" customWidth="1"/>
    <col min="10503" max="10503" width="9.54296875" style="329" customWidth="1"/>
    <col min="10504" max="10504" width="12.54296875" style="329" customWidth="1"/>
    <col min="10505" max="10505" width="10" style="329" customWidth="1"/>
    <col min="10506" max="10506" width="9.7265625" style="329" customWidth="1"/>
    <col min="10507" max="10509" width="9.1796875" style="329" customWidth="1"/>
    <col min="10510" max="10753" width="9.1796875" style="329"/>
    <col min="10754" max="10754" width="13.26953125" style="329" customWidth="1"/>
    <col min="10755" max="10755" width="27.453125" style="329" customWidth="1"/>
    <col min="10756" max="10757" width="9.54296875" style="329" customWidth="1"/>
    <col min="10758" max="10758" width="9.7265625" style="329" customWidth="1"/>
    <col min="10759" max="10759" width="9.54296875" style="329" customWidth="1"/>
    <col min="10760" max="10760" width="12.54296875" style="329" customWidth="1"/>
    <col min="10761" max="10761" width="10" style="329" customWidth="1"/>
    <col min="10762" max="10762" width="9.7265625" style="329" customWidth="1"/>
    <col min="10763" max="10765" width="9.1796875" style="329" customWidth="1"/>
    <col min="10766" max="11009" width="9.1796875" style="329"/>
    <col min="11010" max="11010" width="13.26953125" style="329" customWidth="1"/>
    <col min="11011" max="11011" width="27.453125" style="329" customWidth="1"/>
    <col min="11012" max="11013" width="9.54296875" style="329" customWidth="1"/>
    <col min="11014" max="11014" width="9.7265625" style="329" customWidth="1"/>
    <col min="11015" max="11015" width="9.54296875" style="329" customWidth="1"/>
    <col min="11016" max="11016" width="12.54296875" style="329" customWidth="1"/>
    <col min="11017" max="11017" width="10" style="329" customWidth="1"/>
    <col min="11018" max="11018" width="9.7265625" style="329" customWidth="1"/>
    <col min="11019" max="11021" width="9.1796875" style="329" customWidth="1"/>
    <col min="11022" max="11265" width="9.1796875" style="329"/>
    <col min="11266" max="11266" width="13.26953125" style="329" customWidth="1"/>
    <col min="11267" max="11267" width="27.453125" style="329" customWidth="1"/>
    <col min="11268" max="11269" width="9.54296875" style="329" customWidth="1"/>
    <col min="11270" max="11270" width="9.7265625" style="329" customWidth="1"/>
    <col min="11271" max="11271" width="9.54296875" style="329" customWidth="1"/>
    <col min="11272" max="11272" width="12.54296875" style="329" customWidth="1"/>
    <col min="11273" max="11273" width="10" style="329" customWidth="1"/>
    <col min="11274" max="11274" width="9.7265625" style="329" customWidth="1"/>
    <col min="11275" max="11277" width="9.1796875" style="329" customWidth="1"/>
    <col min="11278" max="11521" width="9.1796875" style="329"/>
    <col min="11522" max="11522" width="13.26953125" style="329" customWidth="1"/>
    <col min="11523" max="11523" width="27.453125" style="329" customWidth="1"/>
    <col min="11524" max="11525" width="9.54296875" style="329" customWidth="1"/>
    <col min="11526" max="11526" width="9.7265625" style="329" customWidth="1"/>
    <col min="11527" max="11527" width="9.54296875" style="329" customWidth="1"/>
    <col min="11528" max="11528" width="12.54296875" style="329" customWidth="1"/>
    <col min="11529" max="11529" width="10" style="329" customWidth="1"/>
    <col min="11530" max="11530" width="9.7265625" style="329" customWidth="1"/>
    <col min="11531" max="11533" width="9.1796875" style="329" customWidth="1"/>
    <col min="11534" max="11777" width="9.1796875" style="329"/>
    <col min="11778" max="11778" width="13.26953125" style="329" customWidth="1"/>
    <col min="11779" max="11779" width="27.453125" style="329" customWidth="1"/>
    <col min="11780" max="11781" width="9.54296875" style="329" customWidth="1"/>
    <col min="11782" max="11782" width="9.7265625" style="329" customWidth="1"/>
    <col min="11783" max="11783" width="9.54296875" style="329" customWidth="1"/>
    <col min="11784" max="11784" width="12.54296875" style="329" customWidth="1"/>
    <col min="11785" max="11785" width="10" style="329" customWidth="1"/>
    <col min="11786" max="11786" width="9.7265625" style="329" customWidth="1"/>
    <col min="11787" max="11789" width="9.1796875" style="329" customWidth="1"/>
    <col min="11790" max="12033" width="9.1796875" style="329"/>
    <col min="12034" max="12034" width="13.26953125" style="329" customWidth="1"/>
    <col min="12035" max="12035" width="27.453125" style="329" customWidth="1"/>
    <col min="12036" max="12037" width="9.54296875" style="329" customWidth="1"/>
    <col min="12038" max="12038" width="9.7265625" style="329" customWidth="1"/>
    <col min="12039" max="12039" width="9.54296875" style="329" customWidth="1"/>
    <col min="12040" max="12040" width="12.54296875" style="329" customWidth="1"/>
    <col min="12041" max="12041" width="10" style="329" customWidth="1"/>
    <col min="12042" max="12042" width="9.7265625" style="329" customWidth="1"/>
    <col min="12043" max="12045" width="9.1796875" style="329" customWidth="1"/>
    <col min="12046" max="12289" width="9.1796875" style="329"/>
    <col min="12290" max="12290" width="13.26953125" style="329" customWidth="1"/>
    <col min="12291" max="12291" width="27.453125" style="329" customWidth="1"/>
    <col min="12292" max="12293" width="9.54296875" style="329" customWidth="1"/>
    <col min="12294" max="12294" width="9.7265625" style="329" customWidth="1"/>
    <col min="12295" max="12295" width="9.54296875" style="329" customWidth="1"/>
    <col min="12296" max="12296" width="12.54296875" style="329" customWidth="1"/>
    <col min="12297" max="12297" width="10" style="329" customWidth="1"/>
    <col min="12298" max="12298" width="9.7265625" style="329" customWidth="1"/>
    <col min="12299" max="12301" width="9.1796875" style="329" customWidth="1"/>
    <col min="12302" max="12545" width="9.1796875" style="329"/>
    <col min="12546" max="12546" width="13.26953125" style="329" customWidth="1"/>
    <col min="12547" max="12547" width="27.453125" style="329" customWidth="1"/>
    <col min="12548" max="12549" width="9.54296875" style="329" customWidth="1"/>
    <col min="12550" max="12550" width="9.7265625" style="329" customWidth="1"/>
    <col min="12551" max="12551" width="9.54296875" style="329" customWidth="1"/>
    <col min="12552" max="12552" width="12.54296875" style="329" customWidth="1"/>
    <col min="12553" max="12553" width="10" style="329" customWidth="1"/>
    <col min="12554" max="12554" width="9.7265625" style="329" customWidth="1"/>
    <col min="12555" max="12557" width="9.1796875" style="329" customWidth="1"/>
    <col min="12558" max="12801" width="9.1796875" style="329"/>
    <col min="12802" max="12802" width="13.26953125" style="329" customWidth="1"/>
    <col min="12803" max="12803" width="27.453125" style="329" customWidth="1"/>
    <col min="12804" max="12805" width="9.54296875" style="329" customWidth="1"/>
    <col min="12806" max="12806" width="9.7265625" style="329" customWidth="1"/>
    <col min="12807" max="12807" width="9.54296875" style="329" customWidth="1"/>
    <col min="12808" max="12808" width="12.54296875" style="329" customWidth="1"/>
    <col min="12809" max="12809" width="10" style="329" customWidth="1"/>
    <col min="12810" max="12810" width="9.7265625" style="329" customWidth="1"/>
    <col min="12811" max="12813" width="9.1796875" style="329" customWidth="1"/>
    <col min="12814" max="13057" width="9.1796875" style="329"/>
    <col min="13058" max="13058" width="13.26953125" style="329" customWidth="1"/>
    <col min="13059" max="13059" width="27.453125" style="329" customWidth="1"/>
    <col min="13060" max="13061" width="9.54296875" style="329" customWidth="1"/>
    <col min="13062" max="13062" width="9.7265625" style="329" customWidth="1"/>
    <col min="13063" max="13063" width="9.54296875" style="329" customWidth="1"/>
    <col min="13064" max="13064" width="12.54296875" style="329" customWidth="1"/>
    <col min="13065" max="13065" width="10" style="329" customWidth="1"/>
    <col min="13066" max="13066" width="9.7265625" style="329" customWidth="1"/>
    <col min="13067" max="13069" width="9.1796875" style="329" customWidth="1"/>
    <col min="13070" max="13313" width="9.1796875" style="329"/>
    <col min="13314" max="13314" width="13.26953125" style="329" customWidth="1"/>
    <col min="13315" max="13315" width="27.453125" style="329" customWidth="1"/>
    <col min="13316" max="13317" width="9.54296875" style="329" customWidth="1"/>
    <col min="13318" max="13318" width="9.7265625" style="329" customWidth="1"/>
    <col min="13319" max="13319" width="9.54296875" style="329" customWidth="1"/>
    <col min="13320" max="13320" width="12.54296875" style="329" customWidth="1"/>
    <col min="13321" max="13321" width="10" style="329" customWidth="1"/>
    <col min="13322" max="13322" width="9.7265625" style="329" customWidth="1"/>
    <col min="13323" max="13325" width="9.1796875" style="329" customWidth="1"/>
    <col min="13326" max="13569" width="9.1796875" style="329"/>
    <col min="13570" max="13570" width="13.26953125" style="329" customWidth="1"/>
    <col min="13571" max="13571" width="27.453125" style="329" customWidth="1"/>
    <col min="13572" max="13573" width="9.54296875" style="329" customWidth="1"/>
    <col min="13574" max="13574" width="9.7265625" style="329" customWidth="1"/>
    <col min="13575" max="13575" width="9.54296875" style="329" customWidth="1"/>
    <col min="13576" max="13576" width="12.54296875" style="329" customWidth="1"/>
    <col min="13577" max="13577" width="10" style="329" customWidth="1"/>
    <col min="13578" max="13578" width="9.7265625" style="329" customWidth="1"/>
    <col min="13579" max="13581" width="9.1796875" style="329" customWidth="1"/>
    <col min="13582" max="13825" width="9.1796875" style="329"/>
    <col min="13826" max="13826" width="13.26953125" style="329" customWidth="1"/>
    <col min="13827" max="13827" width="27.453125" style="329" customWidth="1"/>
    <col min="13828" max="13829" width="9.54296875" style="329" customWidth="1"/>
    <col min="13830" max="13830" width="9.7265625" style="329" customWidth="1"/>
    <col min="13831" max="13831" width="9.54296875" style="329" customWidth="1"/>
    <col min="13832" max="13832" width="12.54296875" style="329" customWidth="1"/>
    <col min="13833" max="13833" width="10" style="329" customWidth="1"/>
    <col min="13834" max="13834" width="9.7265625" style="329" customWidth="1"/>
    <col min="13835" max="13837" width="9.1796875" style="329" customWidth="1"/>
    <col min="13838" max="14081" width="9.1796875" style="329"/>
    <col min="14082" max="14082" width="13.26953125" style="329" customWidth="1"/>
    <col min="14083" max="14083" width="27.453125" style="329" customWidth="1"/>
    <col min="14084" max="14085" width="9.54296875" style="329" customWidth="1"/>
    <col min="14086" max="14086" width="9.7265625" style="329" customWidth="1"/>
    <col min="14087" max="14087" width="9.54296875" style="329" customWidth="1"/>
    <col min="14088" max="14088" width="12.54296875" style="329" customWidth="1"/>
    <col min="14089" max="14089" width="10" style="329" customWidth="1"/>
    <col min="14090" max="14090" width="9.7265625" style="329" customWidth="1"/>
    <col min="14091" max="14093" width="9.1796875" style="329" customWidth="1"/>
    <col min="14094" max="14337" width="9.1796875" style="329"/>
    <col min="14338" max="14338" width="13.26953125" style="329" customWidth="1"/>
    <col min="14339" max="14339" width="27.453125" style="329" customWidth="1"/>
    <col min="14340" max="14341" width="9.54296875" style="329" customWidth="1"/>
    <col min="14342" max="14342" width="9.7265625" style="329" customWidth="1"/>
    <col min="14343" max="14343" width="9.54296875" style="329" customWidth="1"/>
    <col min="14344" max="14344" width="12.54296875" style="329" customWidth="1"/>
    <col min="14345" max="14345" width="10" style="329" customWidth="1"/>
    <col min="14346" max="14346" width="9.7265625" style="329" customWidth="1"/>
    <col min="14347" max="14349" width="9.1796875" style="329" customWidth="1"/>
    <col min="14350" max="14593" width="9.1796875" style="329"/>
    <col min="14594" max="14594" width="13.26953125" style="329" customWidth="1"/>
    <col min="14595" max="14595" width="27.453125" style="329" customWidth="1"/>
    <col min="14596" max="14597" width="9.54296875" style="329" customWidth="1"/>
    <col min="14598" max="14598" width="9.7265625" style="329" customWidth="1"/>
    <col min="14599" max="14599" width="9.54296875" style="329" customWidth="1"/>
    <col min="14600" max="14600" width="12.54296875" style="329" customWidth="1"/>
    <col min="14601" max="14601" width="10" style="329" customWidth="1"/>
    <col min="14602" max="14602" width="9.7265625" style="329" customWidth="1"/>
    <col min="14603" max="14605" width="9.1796875" style="329" customWidth="1"/>
    <col min="14606" max="14849" width="9.1796875" style="329"/>
    <col min="14850" max="14850" width="13.26953125" style="329" customWidth="1"/>
    <col min="14851" max="14851" width="27.453125" style="329" customWidth="1"/>
    <col min="14852" max="14853" width="9.54296875" style="329" customWidth="1"/>
    <col min="14854" max="14854" width="9.7265625" style="329" customWidth="1"/>
    <col min="14855" max="14855" width="9.54296875" style="329" customWidth="1"/>
    <col min="14856" max="14856" width="12.54296875" style="329" customWidth="1"/>
    <col min="14857" max="14857" width="10" style="329" customWidth="1"/>
    <col min="14858" max="14858" width="9.7265625" style="329" customWidth="1"/>
    <col min="14859" max="14861" width="9.1796875" style="329" customWidth="1"/>
    <col min="14862" max="15105" width="9.1796875" style="329"/>
    <col min="15106" max="15106" width="13.26953125" style="329" customWidth="1"/>
    <col min="15107" max="15107" width="27.453125" style="329" customWidth="1"/>
    <col min="15108" max="15109" width="9.54296875" style="329" customWidth="1"/>
    <col min="15110" max="15110" width="9.7265625" style="329" customWidth="1"/>
    <col min="15111" max="15111" width="9.54296875" style="329" customWidth="1"/>
    <col min="15112" max="15112" width="12.54296875" style="329" customWidth="1"/>
    <col min="15113" max="15113" width="10" style="329" customWidth="1"/>
    <col min="15114" max="15114" width="9.7265625" style="329" customWidth="1"/>
    <col min="15115" max="15117" width="9.1796875" style="329" customWidth="1"/>
    <col min="15118" max="15361" width="9.1796875" style="329"/>
    <col min="15362" max="15362" width="13.26953125" style="329" customWidth="1"/>
    <col min="15363" max="15363" width="27.453125" style="329" customWidth="1"/>
    <col min="15364" max="15365" width="9.54296875" style="329" customWidth="1"/>
    <col min="15366" max="15366" width="9.7265625" style="329" customWidth="1"/>
    <col min="15367" max="15367" width="9.54296875" style="329" customWidth="1"/>
    <col min="15368" max="15368" width="12.54296875" style="329" customWidth="1"/>
    <col min="15369" max="15369" width="10" style="329" customWidth="1"/>
    <col min="15370" max="15370" width="9.7265625" style="329" customWidth="1"/>
    <col min="15371" max="15373" width="9.1796875" style="329" customWidth="1"/>
    <col min="15374" max="15617" width="9.1796875" style="329"/>
    <col min="15618" max="15618" width="13.26953125" style="329" customWidth="1"/>
    <col min="15619" max="15619" width="27.453125" style="329" customWidth="1"/>
    <col min="15620" max="15621" width="9.54296875" style="329" customWidth="1"/>
    <col min="15622" max="15622" width="9.7265625" style="329" customWidth="1"/>
    <col min="15623" max="15623" width="9.54296875" style="329" customWidth="1"/>
    <col min="15624" max="15624" width="12.54296875" style="329" customWidth="1"/>
    <col min="15625" max="15625" width="10" style="329" customWidth="1"/>
    <col min="15626" max="15626" width="9.7265625" style="329" customWidth="1"/>
    <col min="15627" max="15629" width="9.1796875" style="329" customWidth="1"/>
    <col min="15630" max="15873" width="9.1796875" style="329"/>
    <col min="15874" max="15874" width="13.26953125" style="329" customWidth="1"/>
    <col min="15875" max="15875" width="27.453125" style="329" customWidth="1"/>
    <col min="15876" max="15877" width="9.54296875" style="329" customWidth="1"/>
    <col min="15878" max="15878" width="9.7265625" style="329" customWidth="1"/>
    <col min="15879" max="15879" width="9.54296875" style="329" customWidth="1"/>
    <col min="15880" max="15880" width="12.54296875" style="329" customWidth="1"/>
    <col min="15881" max="15881" width="10" style="329" customWidth="1"/>
    <col min="15882" max="15882" width="9.7265625" style="329" customWidth="1"/>
    <col min="15883" max="15885" width="9.1796875" style="329" customWidth="1"/>
    <col min="15886" max="16129" width="9.1796875" style="329"/>
    <col min="16130" max="16130" width="13.26953125" style="329" customWidth="1"/>
    <col min="16131" max="16131" width="27.453125" style="329" customWidth="1"/>
    <col min="16132" max="16133" width="9.54296875" style="329" customWidth="1"/>
    <col min="16134" max="16134" width="9.7265625" style="329" customWidth="1"/>
    <col min="16135" max="16135" width="9.54296875" style="329" customWidth="1"/>
    <col min="16136" max="16136" width="12.54296875" style="329" customWidth="1"/>
    <col min="16137" max="16137" width="10" style="329" customWidth="1"/>
    <col min="16138" max="16138" width="9.7265625" style="329" customWidth="1"/>
    <col min="16139" max="16141" width="9.1796875" style="329" customWidth="1"/>
    <col min="16142" max="16384" width="9.1796875" style="329"/>
  </cols>
  <sheetData>
    <row r="1" spans="1:19" x14ac:dyDescent="0.35">
      <c r="B1" s="1120" t="s">
        <v>0</v>
      </c>
      <c r="C1" s="1120"/>
      <c r="D1" s="1120"/>
      <c r="E1" s="1120"/>
      <c r="F1" s="1120"/>
      <c r="G1" s="1120"/>
      <c r="H1" s="1120"/>
      <c r="I1" s="1120"/>
      <c r="J1" s="1120"/>
      <c r="K1" s="361"/>
      <c r="L1" s="329"/>
      <c r="M1" s="355"/>
      <c r="N1" s="354"/>
    </row>
    <row r="2" spans="1:19" x14ac:dyDescent="0.35">
      <c r="B2" s="1120" t="s">
        <v>297</v>
      </c>
      <c r="C2" s="1120"/>
      <c r="D2" s="1120"/>
      <c r="E2" s="1120"/>
      <c r="F2" s="1120"/>
      <c r="G2" s="1120"/>
      <c r="H2" s="1120"/>
      <c r="I2" s="1120"/>
      <c r="J2" s="1120"/>
      <c r="K2" s="361"/>
      <c r="L2" s="329"/>
      <c r="M2" s="355"/>
      <c r="N2" s="354"/>
    </row>
    <row r="3" spans="1:19" x14ac:dyDescent="0.35">
      <c r="B3" s="1119" t="s">
        <v>867</v>
      </c>
      <c r="C3" s="1119"/>
      <c r="D3" s="1119"/>
      <c r="E3" s="1119"/>
      <c r="F3" s="1119"/>
      <c r="G3" s="1119"/>
      <c r="H3" s="1119"/>
      <c r="I3" s="1119"/>
      <c r="J3" s="1119"/>
      <c r="K3" s="361"/>
      <c r="L3" s="329"/>
      <c r="M3" s="355"/>
      <c r="N3" s="354"/>
    </row>
    <row r="4" spans="1:19" x14ac:dyDescent="0.35">
      <c r="B4" s="371"/>
      <c r="C4" s="371"/>
      <c r="D4" s="371"/>
      <c r="E4" s="371"/>
      <c r="F4" s="371"/>
      <c r="G4" s="371"/>
      <c r="H4" s="371"/>
      <c r="I4" s="371"/>
      <c r="J4" s="371"/>
      <c r="K4" s="361"/>
      <c r="L4" s="371"/>
      <c r="M4" s="355"/>
      <c r="N4" s="354"/>
    </row>
    <row r="5" spans="1:19" x14ac:dyDescent="0.35">
      <c r="B5" s="371"/>
      <c r="C5" s="371"/>
      <c r="D5" s="371"/>
      <c r="E5" s="371"/>
      <c r="F5" s="371"/>
      <c r="G5" s="371"/>
      <c r="H5" s="371"/>
      <c r="I5" s="371"/>
      <c r="J5" s="371"/>
      <c r="K5" s="361"/>
      <c r="L5" s="371"/>
      <c r="M5" s="355"/>
      <c r="N5" s="354"/>
    </row>
    <row r="6" spans="1:19" s="317" customFormat="1" ht="20.149999999999999" customHeight="1" x14ac:dyDescent="0.35">
      <c r="B6" s="366" t="s">
        <v>302</v>
      </c>
      <c r="C6" s="365" t="s">
        <v>28</v>
      </c>
      <c r="D6" s="1255" t="s">
        <v>860</v>
      </c>
      <c r="E6" s="1252" t="s">
        <v>729</v>
      </c>
      <c r="F6" s="1253" t="s">
        <v>728</v>
      </c>
      <c r="G6" s="1253"/>
      <c r="H6" s="1253"/>
      <c r="I6" s="1253"/>
      <c r="J6" s="1254" t="s">
        <v>29</v>
      </c>
      <c r="K6" s="364" t="s">
        <v>303</v>
      </c>
      <c r="L6" s="365" t="s">
        <v>306</v>
      </c>
      <c r="M6" s="451"/>
      <c r="N6" s="319"/>
    </row>
    <row r="7" spans="1:19" s="317" customFormat="1" ht="19.5" customHeight="1" x14ac:dyDescent="0.35">
      <c r="B7" s="368"/>
      <c r="C7" s="369"/>
      <c r="D7" s="1256"/>
      <c r="E7" s="1252"/>
      <c r="F7" s="370" t="s">
        <v>308</v>
      </c>
      <c r="G7" s="370" t="s">
        <v>309</v>
      </c>
      <c r="H7" s="370" t="s">
        <v>310</v>
      </c>
      <c r="I7" s="370" t="s">
        <v>311</v>
      </c>
      <c r="J7" s="1254"/>
      <c r="K7" s="364"/>
      <c r="L7" s="367"/>
      <c r="M7" s="451"/>
      <c r="N7" s="319"/>
      <c r="O7" s="320"/>
      <c r="Q7" s="320"/>
    </row>
    <row r="8" spans="1:19" ht="18.75" hidden="1" customHeight="1" x14ac:dyDescent="0.35">
      <c r="B8" s="384" t="s">
        <v>3</v>
      </c>
      <c r="C8" s="382"/>
      <c r="D8" s="382"/>
      <c r="E8" s="382"/>
      <c r="F8" s="382"/>
      <c r="G8" s="382"/>
      <c r="H8" s="382"/>
      <c r="I8" s="382"/>
      <c r="J8" s="383"/>
      <c r="L8" s="329"/>
    </row>
    <row r="9" spans="1:19" ht="20.149999999999999" hidden="1" customHeight="1" x14ac:dyDescent="0.35">
      <c r="A9" s="329">
        <v>1</v>
      </c>
      <c r="B9" s="321">
        <v>219</v>
      </c>
      <c r="C9" s="330" t="s">
        <v>214</v>
      </c>
      <c r="D9" s="330"/>
      <c r="E9" s="323">
        <f>'[1]road inventory 2018'!C10</f>
        <v>0.65</v>
      </c>
      <c r="F9" s="323">
        <v>0.25</v>
      </c>
      <c r="G9" s="323">
        <v>0</v>
      </c>
      <c r="H9" s="323">
        <v>0</v>
      </c>
      <c r="I9" s="323">
        <v>0.4</v>
      </c>
      <c r="J9" s="325" t="s">
        <v>12</v>
      </c>
      <c r="K9" s="323">
        <f t="shared" ref="K9:K32" si="0">SUM(F9:I9)</f>
        <v>0.65</v>
      </c>
      <c r="L9" s="326" t="s">
        <v>313</v>
      </c>
      <c r="M9" s="363"/>
      <c r="N9" s="328"/>
    </row>
    <row r="10" spans="1:19" ht="20.149999999999999" hidden="1" customHeight="1" x14ac:dyDescent="0.35">
      <c r="A10" s="329">
        <v>2</v>
      </c>
      <c r="B10" s="321">
        <v>1</v>
      </c>
      <c r="C10" s="330" t="s">
        <v>314</v>
      </c>
      <c r="D10" s="330"/>
      <c r="E10" s="323">
        <f>'[1]road inventory 2018'!C11</f>
        <v>5.5</v>
      </c>
      <c r="F10" s="323">
        <v>4.88</v>
      </c>
      <c r="G10" s="323">
        <v>0</v>
      </c>
      <c r="H10" s="323">
        <v>0</v>
      </c>
      <c r="I10" s="323">
        <v>0.62</v>
      </c>
      <c r="J10" s="326" t="s">
        <v>10</v>
      </c>
      <c r="K10" s="323">
        <f t="shared" si="0"/>
        <v>5.5</v>
      </c>
      <c r="L10" s="326" t="s">
        <v>315</v>
      </c>
      <c r="M10" s="363"/>
      <c r="N10" s="328"/>
      <c r="O10" s="331"/>
      <c r="Q10" s="331"/>
      <c r="S10" s="331"/>
    </row>
    <row r="11" spans="1:19" ht="20.149999999999999" hidden="1" customHeight="1" x14ac:dyDescent="0.35">
      <c r="A11" s="329">
        <v>3</v>
      </c>
      <c r="B11" s="321">
        <v>2</v>
      </c>
      <c r="C11" s="330" t="s">
        <v>212</v>
      </c>
      <c r="D11" s="330"/>
      <c r="E11" s="323">
        <f>'[1]road inventory 2018'!C12</f>
        <v>0.8</v>
      </c>
      <c r="F11" s="323">
        <v>7.0000000000000007E-2</v>
      </c>
      <c r="G11" s="323">
        <v>0</v>
      </c>
      <c r="H11" s="323">
        <v>0</v>
      </c>
      <c r="I11" s="323">
        <v>0.73</v>
      </c>
      <c r="J11" s="326" t="s">
        <v>12</v>
      </c>
      <c r="K11" s="323">
        <f t="shared" si="0"/>
        <v>0.8</v>
      </c>
      <c r="L11" s="326" t="s">
        <v>316</v>
      </c>
      <c r="M11" s="363"/>
      <c r="N11" s="328"/>
    </row>
    <row r="12" spans="1:19" ht="20.149999999999999" hidden="1" customHeight="1" x14ac:dyDescent="0.35">
      <c r="A12" s="329">
        <v>4</v>
      </c>
      <c r="B12" s="321">
        <v>3</v>
      </c>
      <c r="C12" s="330" t="s">
        <v>217</v>
      </c>
      <c r="D12" s="330"/>
      <c r="E12" s="323">
        <f>'[1]road inventory 2018'!C13</f>
        <v>4.9000000000000004</v>
      </c>
      <c r="F12" s="323">
        <v>0</v>
      </c>
      <c r="G12" s="323">
        <v>0</v>
      </c>
      <c r="H12" s="323">
        <v>0</v>
      </c>
      <c r="I12" s="323">
        <v>4.9000000000000004</v>
      </c>
      <c r="J12" s="325" t="s">
        <v>12</v>
      </c>
      <c r="K12" s="323">
        <f t="shared" si="0"/>
        <v>4.9000000000000004</v>
      </c>
      <c r="L12" s="326" t="s">
        <v>318</v>
      </c>
      <c r="M12" s="363"/>
      <c r="N12" s="328"/>
      <c r="O12" s="331"/>
    </row>
    <row r="13" spans="1:19" ht="20.149999999999999" hidden="1" customHeight="1" x14ac:dyDescent="0.35">
      <c r="A13" s="329">
        <v>5</v>
      </c>
      <c r="B13" s="321">
        <v>4</v>
      </c>
      <c r="C13" s="330" t="s">
        <v>211</v>
      </c>
      <c r="D13" s="330"/>
      <c r="E13" s="323">
        <f>'[1]road inventory 2018'!C14</f>
        <v>2.7</v>
      </c>
      <c r="F13" s="323">
        <v>0</v>
      </c>
      <c r="G13" s="323">
        <v>0</v>
      </c>
      <c r="H13" s="323">
        <v>0</v>
      </c>
      <c r="I13" s="323">
        <v>2.7</v>
      </c>
      <c r="J13" s="325" t="s">
        <v>12</v>
      </c>
      <c r="K13" s="323">
        <f t="shared" si="0"/>
        <v>2.7</v>
      </c>
      <c r="L13" s="326" t="s">
        <v>320</v>
      </c>
      <c r="M13" s="363"/>
      <c r="N13" s="328"/>
    </row>
    <row r="14" spans="1:19" ht="20.149999999999999" hidden="1" customHeight="1" x14ac:dyDescent="0.35">
      <c r="A14" s="329">
        <v>6</v>
      </c>
      <c r="B14" s="321">
        <v>93</v>
      </c>
      <c r="C14" s="330" t="s">
        <v>13</v>
      </c>
      <c r="D14" s="330"/>
      <c r="E14" s="323">
        <f>'[1]road inventory 2018'!C15</f>
        <v>3.9</v>
      </c>
      <c r="F14" s="323">
        <v>3.79</v>
      </c>
      <c r="G14" s="323">
        <v>0</v>
      </c>
      <c r="H14" s="323">
        <v>0</v>
      </c>
      <c r="I14" s="323">
        <v>0.11</v>
      </c>
      <c r="J14" s="325" t="s">
        <v>12</v>
      </c>
      <c r="K14" s="323">
        <f t="shared" si="0"/>
        <v>3.9</v>
      </c>
      <c r="L14" s="326" t="s">
        <v>320</v>
      </c>
      <c r="M14" s="363"/>
      <c r="N14" s="328"/>
      <c r="O14" s="331"/>
      <c r="Q14" s="331"/>
    </row>
    <row r="15" spans="1:19" ht="20.149999999999999" hidden="1" customHeight="1" x14ac:dyDescent="0.35">
      <c r="A15" s="329">
        <v>7</v>
      </c>
      <c r="B15" s="321">
        <v>218</v>
      </c>
      <c r="C15" s="330" t="s">
        <v>213</v>
      </c>
      <c r="D15" s="330"/>
      <c r="E15" s="323">
        <f>'[1]road inventory 2018'!C16</f>
        <v>5.8</v>
      </c>
      <c r="F15" s="323">
        <v>0</v>
      </c>
      <c r="G15" s="323">
        <v>0</v>
      </c>
      <c r="H15" s="323">
        <v>0</v>
      </c>
      <c r="I15" s="323">
        <v>5.8</v>
      </c>
      <c r="J15" s="325" t="s">
        <v>12</v>
      </c>
      <c r="K15" s="323">
        <f t="shared" si="0"/>
        <v>5.8</v>
      </c>
      <c r="L15" s="326" t="s">
        <v>316</v>
      </c>
      <c r="M15" s="363"/>
      <c r="N15" s="328"/>
      <c r="P15" s="329" t="s">
        <v>299</v>
      </c>
      <c r="Q15" s="327" t="s">
        <v>846</v>
      </c>
    </row>
    <row r="16" spans="1:19" ht="20.149999999999999" hidden="1" customHeight="1" x14ac:dyDescent="0.35">
      <c r="A16" s="329">
        <v>8</v>
      </c>
      <c r="B16" s="321">
        <v>5</v>
      </c>
      <c r="C16" s="330" t="s">
        <v>16</v>
      </c>
      <c r="D16" s="330"/>
      <c r="E16" s="323">
        <f>'[1]road inventory 2018'!C17</f>
        <v>2.8</v>
      </c>
      <c r="F16" s="323">
        <v>2.8</v>
      </c>
      <c r="G16" s="323">
        <v>0</v>
      </c>
      <c r="H16" s="323">
        <v>0</v>
      </c>
      <c r="I16" s="323">
        <v>0</v>
      </c>
      <c r="J16" s="325" t="s">
        <v>12</v>
      </c>
      <c r="K16" s="323">
        <f t="shared" si="0"/>
        <v>2.8</v>
      </c>
      <c r="L16" s="326" t="s">
        <v>320</v>
      </c>
      <c r="M16" s="363"/>
      <c r="N16" s="328"/>
      <c r="O16" s="331"/>
      <c r="P16" s="320">
        <f>E33+E38+E56+E91+E121+E131+E135+E148</f>
        <v>476.25</v>
      </c>
      <c r="Q16" s="331">
        <f>P16+O235</f>
        <v>900.33600000000001</v>
      </c>
    </row>
    <row r="17" spans="1:17" ht="20.149999999999999" hidden="1" customHeight="1" x14ac:dyDescent="0.35">
      <c r="A17" s="329">
        <v>9</v>
      </c>
      <c r="B17" s="321">
        <v>6</v>
      </c>
      <c r="C17" s="939" t="s">
        <v>220</v>
      </c>
      <c r="D17" s="330"/>
      <c r="E17" s="323">
        <f>'[1]road inventory 2018'!C18</f>
        <v>3.9</v>
      </c>
      <c r="F17" s="323">
        <f>2.6+0.9</f>
        <v>3.5</v>
      </c>
      <c r="G17" s="323">
        <v>0</v>
      </c>
      <c r="H17" s="323">
        <v>0</v>
      </c>
      <c r="I17" s="323">
        <v>0.4</v>
      </c>
      <c r="J17" s="325" t="s">
        <v>10</v>
      </c>
      <c r="K17" s="323">
        <f t="shared" si="0"/>
        <v>3.9</v>
      </c>
      <c r="L17" s="326" t="s">
        <v>315</v>
      </c>
      <c r="M17" s="363"/>
      <c r="N17" s="328"/>
      <c r="Q17" s="331">
        <f>Q16+P207</f>
        <v>1250.1510000000001</v>
      </c>
    </row>
    <row r="18" spans="1:17" ht="20.149999999999999" hidden="1" customHeight="1" x14ac:dyDescent="0.35">
      <c r="A18" s="329">
        <v>10</v>
      </c>
      <c r="B18" s="321">
        <v>7</v>
      </c>
      <c r="C18" s="330" t="s">
        <v>205</v>
      </c>
      <c r="D18" s="330"/>
      <c r="E18" s="323">
        <f>'[1]road inventory 2018'!C19</f>
        <v>1.1000000000000001</v>
      </c>
      <c r="F18" s="323">
        <v>1.1000000000000001</v>
      </c>
      <c r="G18" s="323">
        <v>0</v>
      </c>
      <c r="H18" s="323">
        <v>0</v>
      </c>
      <c r="I18" s="323">
        <v>0</v>
      </c>
      <c r="J18" s="325" t="s">
        <v>12</v>
      </c>
      <c r="K18" s="323">
        <f t="shared" si="0"/>
        <v>1.1000000000000001</v>
      </c>
      <c r="L18" s="326" t="s">
        <v>321</v>
      </c>
      <c r="M18" s="363">
        <f>E21+E22+E23+E24+E25+E26+E27+E28+E30+E31+E17+E19</f>
        <v>49.800000000000004</v>
      </c>
      <c r="N18" s="328">
        <f>E33-M18</f>
        <v>48.750000000000007</v>
      </c>
      <c r="O18" s="331">
        <f>M18+N18</f>
        <v>98.550000000000011</v>
      </c>
    </row>
    <row r="19" spans="1:17" ht="20.149999999999999" hidden="1" customHeight="1" x14ac:dyDescent="0.35">
      <c r="A19" s="329">
        <v>11</v>
      </c>
      <c r="B19" s="321">
        <v>8</v>
      </c>
      <c r="C19" s="939" t="s">
        <v>324</v>
      </c>
      <c r="D19" s="330"/>
      <c r="E19" s="323">
        <f>'[1]road inventory 2018'!C20</f>
        <v>0.6</v>
      </c>
      <c r="F19" s="323">
        <v>0.6</v>
      </c>
      <c r="G19" s="323">
        <v>0</v>
      </c>
      <c r="H19" s="323">
        <v>0</v>
      </c>
      <c r="I19" s="323">
        <v>0</v>
      </c>
      <c r="J19" s="325" t="s">
        <v>12</v>
      </c>
      <c r="K19" s="323">
        <f t="shared" si="0"/>
        <v>0.6</v>
      </c>
      <c r="L19" s="326" t="s">
        <v>325</v>
      </c>
      <c r="M19" s="363"/>
      <c r="N19" s="328"/>
      <c r="O19" s="331"/>
      <c r="Q19" s="331"/>
    </row>
    <row r="20" spans="1:17" ht="20.149999999999999" hidden="1" customHeight="1" x14ac:dyDescent="0.35">
      <c r="A20" s="329">
        <v>12</v>
      </c>
      <c r="B20" s="321">
        <v>9</v>
      </c>
      <c r="C20" s="330" t="s">
        <v>19</v>
      </c>
      <c r="D20" s="330"/>
      <c r="E20" s="323">
        <f>'[1]road inventory 2018'!C21</f>
        <v>9</v>
      </c>
      <c r="F20" s="323">
        <v>8.6460000000000008</v>
      </c>
      <c r="G20" s="323">
        <v>0</v>
      </c>
      <c r="H20" s="323">
        <v>0</v>
      </c>
      <c r="I20" s="323">
        <v>0.35399999999999998</v>
      </c>
      <c r="J20" s="325" t="s">
        <v>10</v>
      </c>
      <c r="K20" s="323">
        <f t="shared" si="0"/>
        <v>9</v>
      </c>
      <c r="L20" s="326" t="s">
        <v>326</v>
      </c>
      <c r="M20" s="363"/>
      <c r="N20" s="328">
        <v>8.6460000000000008</v>
      </c>
      <c r="O20" s="331"/>
      <c r="Q20" s="331"/>
    </row>
    <row r="21" spans="1:17" ht="20.149999999999999" hidden="1" customHeight="1" x14ac:dyDescent="0.35">
      <c r="A21" s="329">
        <v>13</v>
      </c>
      <c r="B21" s="321">
        <v>10</v>
      </c>
      <c r="C21" s="939" t="s">
        <v>23</v>
      </c>
      <c r="D21" s="330"/>
      <c r="E21" s="323">
        <f>'[1]road inventory 2018'!C22</f>
        <v>13.6</v>
      </c>
      <c r="F21" s="323">
        <f>8.47+1.31+0.34</f>
        <v>10.120000000000001</v>
      </c>
      <c r="G21" s="323">
        <v>0</v>
      </c>
      <c r="H21" s="323">
        <v>0</v>
      </c>
      <c r="I21" s="323">
        <v>3.48</v>
      </c>
      <c r="J21" s="325" t="s">
        <v>10</v>
      </c>
      <c r="K21" s="323">
        <f t="shared" si="0"/>
        <v>13.600000000000001</v>
      </c>
      <c r="L21" s="326" t="s">
        <v>327</v>
      </c>
      <c r="M21" s="363"/>
      <c r="N21" s="328"/>
      <c r="O21" s="331"/>
      <c r="Q21" s="331"/>
    </row>
    <row r="22" spans="1:17" ht="20.149999999999999" hidden="1" customHeight="1" x14ac:dyDescent="0.35">
      <c r="A22" s="329">
        <v>14</v>
      </c>
      <c r="B22" s="321">
        <v>11</v>
      </c>
      <c r="C22" s="939" t="s">
        <v>223</v>
      </c>
      <c r="D22" s="330"/>
      <c r="E22" s="323">
        <f>'[1]road inventory 2018'!C23</f>
        <v>2.2000000000000002</v>
      </c>
      <c r="F22" s="323">
        <v>1.3</v>
      </c>
      <c r="G22" s="323">
        <v>0</v>
      </c>
      <c r="H22" s="323">
        <v>0</v>
      </c>
      <c r="I22" s="323">
        <v>0.9</v>
      </c>
      <c r="J22" s="325" t="s">
        <v>12</v>
      </c>
      <c r="K22" s="323">
        <f t="shared" si="0"/>
        <v>2.2000000000000002</v>
      </c>
      <c r="L22" s="326" t="s">
        <v>328</v>
      </c>
      <c r="M22" s="363"/>
      <c r="N22" s="328"/>
      <c r="O22" s="333"/>
      <c r="Q22" s="333"/>
    </row>
    <row r="23" spans="1:17" ht="20.149999999999999" hidden="1" customHeight="1" x14ac:dyDescent="0.35">
      <c r="A23" s="329">
        <v>15</v>
      </c>
      <c r="B23" s="321">
        <v>13</v>
      </c>
      <c r="C23" s="939" t="s">
        <v>218</v>
      </c>
      <c r="D23" s="330"/>
      <c r="E23" s="323">
        <f>'[1]road inventory 2018'!C24</f>
        <v>1.7</v>
      </c>
      <c r="F23" s="323">
        <v>0</v>
      </c>
      <c r="G23" s="323">
        <v>0</v>
      </c>
      <c r="H23" s="323">
        <v>0</v>
      </c>
      <c r="I23" s="323">
        <v>1.7</v>
      </c>
      <c r="J23" s="325" t="s">
        <v>33</v>
      </c>
      <c r="K23" s="323">
        <f t="shared" si="0"/>
        <v>1.7</v>
      </c>
      <c r="L23" s="326" t="s">
        <v>329</v>
      </c>
      <c r="M23" s="363"/>
      <c r="N23" s="328"/>
      <c r="O23" s="331"/>
      <c r="Q23" s="331"/>
    </row>
    <row r="24" spans="1:17" ht="20.149999999999999" hidden="1" customHeight="1" x14ac:dyDescent="0.35">
      <c r="A24" s="329">
        <v>16</v>
      </c>
      <c r="B24" s="321">
        <v>12</v>
      </c>
      <c r="C24" s="939" t="s">
        <v>222</v>
      </c>
      <c r="D24" s="330"/>
      <c r="E24" s="323">
        <f>'[1]road inventory 2018'!C25</f>
        <v>1.6</v>
      </c>
      <c r="F24" s="323">
        <v>0</v>
      </c>
      <c r="G24" s="323">
        <v>0</v>
      </c>
      <c r="H24" s="323">
        <v>0</v>
      </c>
      <c r="I24" s="323">
        <v>1.6</v>
      </c>
      <c r="J24" s="325" t="s">
        <v>33</v>
      </c>
      <c r="K24" s="323">
        <f t="shared" si="0"/>
        <v>1.6</v>
      </c>
      <c r="L24" s="326" t="s">
        <v>331</v>
      </c>
      <c r="M24" s="363"/>
      <c r="N24" s="328"/>
      <c r="O24" s="331"/>
      <c r="Q24" s="331"/>
    </row>
    <row r="25" spans="1:17" ht="20.149999999999999" hidden="1" customHeight="1" x14ac:dyDescent="0.35">
      <c r="A25" s="329">
        <v>17</v>
      </c>
      <c r="B25" s="321">
        <v>220</v>
      </c>
      <c r="C25" s="939" t="s">
        <v>221</v>
      </c>
      <c r="D25" s="330"/>
      <c r="E25" s="323">
        <f>'[1]road inventory 2018'!C26</f>
        <v>2.2999999999999998</v>
      </c>
      <c r="F25" s="323">
        <v>0</v>
      </c>
      <c r="G25" s="323">
        <v>0</v>
      </c>
      <c r="H25" s="323">
        <v>0</v>
      </c>
      <c r="I25" s="323">
        <v>2.2999999999999998</v>
      </c>
      <c r="J25" s="325" t="s">
        <v>33</v>
      </c>
      <c r="K25" s="323">
        <f t="shared" si="0"/>
        <v>2.2999999999999998</v>
      </c>
      <c r="L25" s="326" t="s">
        <v>333</v>
      </c>
      <c r="M25" s="363"/>
      <c r="N25" s="328"/>
      <c r="O25" s="331"/>
      <c r="Q25" s="331"/>
    </row>
    <row r="26" spans="1:17" ht="20.149999999999999" hidden="1" customHeight="1" x14ac:dyDescent="0.35">
      <c r="A26" s="329">
        <v>18</v>
      </c>
      <c r="B26" s="321">
        <v>14</v>
      </c>
      <c r="C26" s="939" t="s">
        <v>215</v>
      </c>
      <c r="D26" s="330"/>
      <c r="E26" s="323">
        <f>'[1]road inventory 2018'!C27</f>
        <v>4</v>
      </c>
      <c r="F26" s="323">
        <v>4</v>
      </c>
      <c r="G26" s="323">
        <v>0</v>
      </c>
      <c r="H26" s="323">
        <v>0</v>
      </c>
      <c r="I26" s="323">
        <v>0</v>
      </c>
      <c r="J26" s="325" t="s">
        <v>12</v>
      </c>
      <c r="K26" s="323">
        <f t="shared" si="0"/>
        <v>4</v>
      </c>
      <c r="L26" s="326" t="s">
        <v>327</v>
      </c>
      <c r="M26" s="363"/>
      <c r="N26" s="328"/>
      <c r="O26" s="331"/>
      <c r="Q26" s="331"/>
    </row>
    <row r="27" spans="1:17" ht="20.149999999999999" hidden="1" customHeight="1" x14ac:dyDescent="0.35">
      <c r="A27" s="329">
        <v>19</v>
      </c>
      <c r="B27" s="321">
        <v>15</v>
      </c>
      <c r="C27" s="939" t="s">
        <v>334</v>
      </c>
      <c r="D27" s="330"/>
      <c r="E27" s="323">
        <v>3.2</v>
      </c>
      <c r="F27" s="323">
        <v>0</v>
      </c>
      <c r="G27" s="323">
        <v>0</v>
      </c>
      <c r="H27" s="323">
        <v>0</v>
      </c>
      <c r="I27" s="323">
        <v>3.2</v>
      </c>
      <c r="J27" s="325" t="s">
        <v>33</v>
      </c>
      <c r="K27" s="323">
        <f t="shared" si="0"/>
        <v>3.2</v>
      </c>
      <c r="L27" s="326" t="s">
        <v>335</v>
      </c>
      <c r="M27" s="336" t="s">
        <v>336</v>
      </c>
      <c r="N27" s="328"/>
      <c r="O27" s="331"/>
      <c r="Q27" s="331"/>
    </row>
    <row r="28" spans="1:17" ht="20.149999999999999" hidden="1" customHeight="1" x14ac:dyDescent="0.35">
      <c r="A28" s="329">
        <v>20</v>
      </c>
      <c r="B28" s="321">
        <v>16</v>
      </c>
      <c r="C28" s="939" t="s">
        <v>25</v>
      </c>
      <c r="D28" s="330"/>
      <c r="E28" s="323">
        <f>'[1]road inventory 2018'!C29</f>
        <v>1</v>
      </c>
      <c r="F28" s="323">
        <v>0</v>
      </c>
      <c r="G28" s="323">
        <v>0</v>
      </c>
      <c r="H28" s="323">
        <v>0</v>
      </c>
      <c r="I28" s="323">
        <v>1</v>
      </c>
      <c r="J28" s="325" t="s">
        <v>12</v>
      </c>
      <c r="K28" s="323">
        <f t="shared" si="0"/>
        <v>1</v>
      </c>
      <c r="L28" s="326" t="s">
        <v>337</v>
      </c>
      <c r="M28" s="363"/>
      <c r="N28" s="328"/>
      <c r="O28" s="331"/>
      <c r="Q28" s="331"/>
    </row>
    <row r="29" spans="1:17" ht="20.149999999999999" hidden="1" customHeight="1" x14ac:dyDescent="0.35">
      <c r="A29" s="329">
        <v>21</v>
      </c>
      <c r="B29" s="321">
        <v>17</v>
      </c>
      <c r="C29" s="330" t="s">
        <v>216</v>
      </c>
      <c r="D29" s="330"/>
      <c r="E29" s="323">
        <f>'[1]road inventory 2018'!C30</f>
        <v>4</v>
      </c>
      <c r="F29" s="323">
        <v>1.4219999999999999</v>
      </c>
      <c r="G29" s="323">
        <v>0</v>
      </c>
      <c r="H29" s="323">
        <v>0</v>
      </c>
      <c r="I29" s="323">
        <v>2.5779999999999998</v>
      </c>
      <c r="J29" s="325" t="s">
        <v>10</v>
      </c>
      <c r="K29" s="323">
        <f t="shared" si="0"/>
        <v>4</v>
      </c>
      <c r="L29" s="326" t="s">
        <v>339</v>
      </c>
      <c r="M29" s="363"/>
      <c r="N29" s="328">
        <v>1.4219999999999999</v>
      </c>
      <c r="O29" s="331"/>
      <c r="Q29" s="331"/>
    </row>
    <row r="30" spans="1:17" ht="20.149999999999999" hidden="1" customHeight="1" x14ac:dyDescent="0.35">
      <c r="A30" s="329">
        <v>22</v>
      </c>
      <c r="B30" s="321">
        <v>18</v>
      </c>
      <c r="C30" s="939" t="s">
        <v>27</v>
      </c>
      <c r="D30" s="330"/>
      <c r="E30" s="323">
        <f>'[1]road inventory 2018'!C31</f>
        <v>10.5</v>
      </c>
      <c r="F30" s="323">
        <v>10.5</v>
      </c>
      <c r="G30" s="323">
        <v>0</v>
      </c>
      <c r="H30" s="323">
        <v>0</v>
      </c>
      <c r="I30" s="323">
        <v>0</v>
      </c>
      <c r="J30" s="325" t="s">
        <v>12</v>
      </c>
      <c r="K30" s="323">
        <f t="shared" si="0"/>
        <v>10.5</v>
      </c>
      <c r="L30" s="326" t="s">
        <v>335</v>
      </c>
      <c r="M30" s="363" t="s">
        <v>749</v>
      </c>
      <c r="N30" s="328">
        <v>2</v>
      </c>
      <c r="O30" s="331"/>
      <c r="Q30" s="331"/>
    </row>
    <row r="31" spans="1:17" ht="20.149999999999999" hidden="1" customHeight="1" x14ac:dyDescent="0.35">
      <c r="A31" s="329">
        <v>23</v>
      </c>
      <c r="B31" s="321">
        <v>221</v>
      </c>
      <c r="C31" s="939" t="s">
        <v>219</v>
      </c>
      <c r="D31" s="330"/>
      <c r="E31" s="323">
        <f>'[1]road inventory 2018'!C32</f>
        <v>5.2</v>
      </c>
      <c r="F31" s="323">
        <v>1.17</v>
      </c>
      <c r="G31" s="323">
        <v>0</v>
      </c>
      <c r="H31" s="323">
        <v>0</v>
      </c>
      <c r="I31" s="323">
        <v>4.03</v>
      </c>
      <c r="J31" s="325" t="s">
        <v>12</v>
      </c>
      <c r="K31" s="323">
        <f t="shared" si="0"/>
        <v>5.2</v>
      </c>
      <c r="L31" s="326" t="s">
        <v>340</v>
      </c>
      <c r="M31" s="363"/>
      <c r="N31" s="328"/>
      <c r="O31" s="331"/>
      <c r="Q31" s="331"/>
    </row>
    <row r="32" spans="1:17" ht="20.149999999999999" hidden="1" customHeight="1" x14ac:dyDescent="0.35">
      <c r="A32" s="329">
        <v>24</v>
      </c>
      <c r="B32" s="321">
        <v>20</v>
      </c>
      <c r="C32" s="938" t="s">
        <v>208</v>
      </c>
      <c r="D32" s="330"/>
      <c r="E32" s="323">
        <f>'[1]road inventory 2018'!C33</f>
        <v>7.6</v>
      </c>
      <c r="F32" s="323">
        <v>1.9</v>
      </c>
      <c r="G32" s="323">
        <v>0</v>
      </c>
      <c r="H32" s="323">
        <v>4.53</v>
      </c>
      <c r="I32" s="323">
        <v>1.17</v>
      </c>
      <c r="J32" s="325" t="s">
        <v>41</v>
      </c>
      <c r="K32" s="323">
        <f t="shared" si="0"/>
        <v>7.6</v>
      </c>
      <c r="L32" s="326"/>
      <c r="M32" s="363"/>
      <c r="N32" s="328"/>
      <c r="O32" s="331"/>
    </row>
    <row r="33" spans="1:15" s="317" customFormat="1" ht="20.149999999999999" hidden="1" customHeight="1" x14ac:dyDescent="0.35">
      <c r="B33" s="373"/>
      <c r="C33" s="374" t="s">
        <v>341</v>
      </c>
      <c r="D33" s="374"/>
      <c r="E33" s="375">
        <f>SUM(E9:E32)</f>
        <v>98.550000000000011</v>
      </c>
      <c r="F33" s="375">
        <f>SUM(F9:F32)</f>
        <v>56.047999999999995</v>
      </c>
      <c r="G33" s="375">
        <f>SUM(G9:G32)</f>
        <v>0</v>
      </c>
      <c r="H33" s="375">
        <f>SUM(H9:H32)</f>
        <v>4.53</v>
      </c>
      <c r="I33" s="375">
        <f>SUM(I9:I32)</f>
        <v>37.972000000000008</v>
      </c>
      <c r="J33" s="376"/>
      <c r="K33" s="375"/>
      <c r="L33" s="372"/>
      <c r="M33" s="453"/>
      <c r="N33" s="377"/>
      <c r="O33" s="320"/>
    </row>
    <row r="34" spans="1:15" ht="20.149999999999999" hidden="1" customHeight="1" x14ac:dyDescent="0.35">
      <c r="B34" s="321"/>
      <c r="C34" s="330"/>
      <c r="D34" s="330"/>
      <c r="E34" s="323"/>
      <c r="F34" s="323"/>
      <c r="G34" s="323"/>
      <c r="H34" s="323"/>
      <c r="I34" s="323"/>
      <c r="J34" s="325"/>
      <c r="K34" s="323"/>
      <c r="L34" s="326"/>
      <c r="M34" s="363"/>
      <c r="N34" s="328"/>
      <c r="O34" s="331"/>
    </row>
    <row r="35" spans="1:15" ht="20.149999999999999" hidden="1" customHeight="1" x14ac:dyDescent="0.35">
      <c r="B35" s="381" t="s">
        <v>455</v>
      </c>
      <c r="C35" s="379"/>
      <c r="D35" s="379"/>
      <c r="E35" s="379"/>
      <c r="F35" s="379"/>
      <c r="G35" s="379"/>
      <c r="H35" s="379"/>
      <c r="I35" s="379"/>
      <c r="J35" s="380"/>
      <c r="K35" s="323"/>
      <c r="L35" s="329"/>
      <c r="M35" s="363"/>
      <c r="N35" s="328"/>
    </row>
    <row r="36" spans="1:15" ht="20.149999999999999" hidden="1" customHeight="1" x14ac:dyDescent="0.35">
      <c r="A36" s="329">
        <v>1</v>
      </c>
      <c r="B36" s="321">
        <v>91</v>
      </c>
      <c r="C36" s="335" t="s">
        <v>62</v>
      </c>
      <c r="D36" s="335"/>
      <c r="E36" s="323">
        <f>'[1]road inventory 2018'!C169</f>
        <v>12.9</v>
      </c>
      <c r="F36" s="323">
        <f>0.04+0.29+0.12+1.23+1+3+1+1.23+0.77+1+0.77+0.86 +0.9</f>
        <v>12.209999999999999</v>
      </c>
      <c r="G36" s="323">
        <v>0</v>
      </c>
      <c r="H36" s="323">
        <v>0</v>
      </c>
      <c r="I36" s="323">
        <f>0.06+0.26+0.36+0.01</f>
        <v>0.69</v>
      </c>
      <c r="J36" s="325" t="s">
        <v>10</v>
      </c>
      <c r="K36" s="323">
        <f>SUM(F36:I36)</f>
        <v>12.899999999999999</v>
      </c>
      <c r="L36" s="326" t="s">
        <v>726</v>
      </c>
      <c r="M36" s="363"/>
      <c r="N36" s="328"/>
    </row>
    <row r="37" spans="1:15" ht="20.149999999999999" hidden="1" customHeight="1" x14ac:dyDescent="0.35">
      <c r="A37" s="329">
        <v>2</v>
      </c>
      <c r="B37" s="321">
        <v>92</v>
      </c>
      <c r="C37" s="335" t="s">
        <v>457</v>
      </c>
      <c r="D37" s="335"/>
      <c r="E37" s="323">
        <f>'[1]road inventory 2018'!C170</f>
        <v>5.6</v>
      </c>
      <c r="F37" s="323">
        <v>5.6</v>
      </c>
      <c r="G37" s="323">
        <v>0</v>
      </c>
      <c r="H37" s="323">
        <v>0</v>
      </c>
      <c r="I37" s="323">
        <v>0</v>
      </c>
      <c r="J37" s="325" t="s">
        <v>12</v>
      </c>
      <c r="K37" s="323">
        <f>SUM(F37:I37)</f>
        <v>5.6</v>
      </c>
      <c r="L37" s="325" t="s">
        <v>727</v>
      </c>
      <c r="M37" s="363"/>
      <c r="N37" s="328"/>
    </row>
    <row r="38" spans="1:15" s="317" customFormat="1" ht="20.149999999999999" hidden="1" customHeight="1" x14ac:dyDescent="0.35">
      <c r="B38" s="373"/>
      <c r="C38" s="374" t="s">
        <v>341</v>
      </c>
      <c r="D38" s="374"/>
      <c r="E38" s="375">
        <f>SUM(E36:E37)</f>
        <v>18.5</v>
      </c>
      <c r="F38" s="375">
        <f>SUM(F36:F37)</f>
        <v>17.809999999999999</v>
      </c>
      <c r="G38" s="375">
        <f>SUM(G36:G37)</f>
        <v>0</v>
      </c>
      <c r="H38" s="375">
        <f>SUM(H36:H37)</f>
        <v>0</v>
      </c>
      <c r="I38" s="375">
        <f>SUM(I36:I37)</f>
        <v>0.69</v>
      </c>
      <c r="J38" s="376"/>
      <c r="K38" s="375"/>
      <c r="L38" s="372"/>
      <c r="M38" s="453"/>
      <c r="N38" s="377"/>
      <c r="O38" s="320"/>
    </row>
    <row r="39" spans="1:15" ht="20.149999999999999" hidden="1" customHeight="1" x14ac:dyDescent="0.35">
      <c r="B39" s="321"/>
      <c r="C39" s="330"/>
      <c r="D39" s="330"/>
      <c r="E39" s="323"/>
      <c r="F39" s="323"/>
      <c r="G39" s="323"/>
      <c r="H39" s="323"/>
      <c r="I39" s="323"/>
      <c r="J39" s="325"/>
      <c r="K39" s="323"/>
      <c r="L39" s="326"/>
      <c r="M39" s="363"/>
      <c r="N39" s="328"/>
      <c r="O39" s="331"/>
    </row>
    <row r="40" spans="1:15" ht="20.149999999999999" customHeight="1" x14ac:dyDescent="0.35">
      <c r="B40" s="389" t="s">
        <v>441</v>
      </c>
      <c r="C40" s="388"/>
      <c r="D40" s="388"/>
      <c r="E40" s="385"/>
      <c r="F40" s="385"/>
      <c r="G40" s="385"/>
      <c r="H40" s="385"/>
      <c r="I40" s="385"/>
      <c r="J40" s="386"/>
      <c r="K40" s="385"/>
      <c r="L40" s="388"/>
      <c r="M40" s="454"/>
      <c r="N40" s="387"/>
    </row>
    <row r="41" spans="1:15" ht="20.149999999999999" customHeight="1" x14ac:dyDescent="0.35">
      <c r="A41" s="329">
        <v>1</v>
      </c>
      <c r="B41" s="321">
        <v>95</v>
      </c>
      <c r="C41" s="335" t="s">
        <v>276</v>
      </c>
      <c r="D41" s="940">
        <v>2.0249999999999999</v>
      </c>
      <c r="E41" s="323">
        <v>2</v>
      </c>
      <c r="F41" s="323">
        <v>1.018</v>
      </c>
      <c r="G41" s="323">
        <v>0</v>
      </c>
      <c r="H41" s="323">
        <v>0</v>
      </c>
      <c r="I41" s="323">
        <f t="shared" ref="I41:I48" si="1">D41-F41</f>
        <v>1.0069999999999999</v>
      </c>
      <c r="J41" s="325" t="s">
        <v>12</v>
      </c>
      <c r="K41" s="323">
        <f t="shared" ref="K41:K55" si="2">SUM(F41:I41)</f>
        <v>2.0249999999999999</v>
      </c>
      <c r="L41" s="326" t="s">
        <v>442</v>
      </c>
      <c r="M41" s="350" t="s">
        <v>862</v>
      </c>
      <c r="N41" s="328"/>
    </row>
    <row r="42" spans="1:15" ht="20.149999999999999" customHeight="1" x14ac:dyDescent="0.35">
      <c r="A42" s="329">
        <v>2</v>
      </c>
      <c r="B42" s="321"/>
      <c r="C42" s="335" t="s">
        <v>861</v>
      </c>
      <c r="D42" s="940">
        <v>1.07</v>
      </c>
      <c r="E42" s="323">
        <v>1</v>
      </c>
      <c r="F42" s="323">
        <v>0.28999999999999998</v>
      </c>
      <c r="G42" s="323">
        <v>0</v>
      </c>
      <c r="H42" s="323">
        <v>0</v>
      </c>
      <c r="I42" s="323">
        <f t="shared" si="1"/>
        <v>0.78</v>
      </c>
      <c r="J42" s="325" t="s">
        <v>33</v>
      </c>
      <c r="K42" s="323">
        <f>SUM(F42:I42)</f>
        <v>1.07</v>
      </c>
      <c r="L42" s="326" t="s">
        <v>442</v>
      </c>
      <c r="M42" s="350" t="s">
        <v>862</v>
      </c>
      <c r="N42" s="328"/>
    </row>
    <row r="43" spans="1:15" ht="20.149999999999999" customHeight="1" x14ac:dyDescent="0.35">
      <c r="A43" s="329">
        <v>3</v>
      </c>
      <c r="B43" s="321">
        <v>77</v>
      </c>
      <c r="C43" s="941" t="s">
        <v>271</v>
      </c>
      <c r="D43" s="940">
        <v>0.7</v>
      </c>
      <c r="E43" s="323">
        <f>'[1]road inventory 2018'!C150</f>
        <v>0.7</v>
      </c>
      <c r="F43" s="323">
        <v>0.7</v>
      </c>
      <c r="G43" s="323">
        <v>0</v>
      </c>
      <c r="H43" s="323">
        <v>0</v>
      </c>
      <c r="I43" s="323">
        <f t="shared" si="1"/>
        <v>0</v>
      </c>
      <c r="J43" s="325" t="s">
        <v>10</v>
      </c>
      <c r="K43" s="323">
        <f t="shared" si="2"/>
        <v>0.7</v>
      </c>
      <c r="L43" s="326" t="s">
        <v>443</v>
      </c>
      <c r="M43" s="350" t="s">
        <v>862</v>
      </c>
      <c r="N43" s="328"/>
    </row>
    <row r="44" spans="1:15" ht="20.149999999999999" customHeight="1" x14ac:dyDescent="0.35">
      <c r="A44" s="329">
        <v>4</v>
      </c>
      <c r="B44" s="321">
        <v>94</v>
      </c>
      <c r="C44" s="335" t="s">
        <v>278</v>
      </c>
      <c r="D44" s="940">
        <v>0.63400000000000001</v>
      </c>
      <c r="E44" s="323">
        <f>'[1]road inventory 2018'!C151</f>
        <v>0.6</v>
      </c>
      <c r="F44" s="323">
        <v>0</v>
      </c>
      <c r="G44" s="323">
        <v>0</v>
      </c>
      <c r="H44" s="323">
        <v>0</v>
      </c>
      <c r="I44" s="323">
        <f t="shared" si="1"/>
        <v>0.63400000000000001</v>
      </c>
      <c r="J44" s="325" t="s">
        <v>12</v>
      </c>
      <c r="K44" s="323">
        <f t="shared" si="2"/>
        <v>0.63400000000000001</v>
      </c>
      <c r="L44" s="326" t="s">
        <v>444</v>
      </c>
      <c r="M44" s="350" t="s">
        <v>862</v>
      </c>
      <c r="N44" s="328"/>
    </row>
    <row r="45" spans="1:15" ht="20.149999999999999" customHeight="1" x14ac:dyDescent="0.35">
      <c r="A45" s="329">
        <v>5</v>
      </c>
      <c r="B45" s="321">
        <v>78</v>
      </c>
      <c r="C45" s="335" t="s">
        <v>277</v>
      </c>
      <c r="D45" s="940">
        <v>3.8530000000000002</v>
      </c>
      <c r="E45" s="323">
        <f>'[1]road inventory 2018'!C152</f>
        <v>3.8</v>
      </c>
      <c r="F45" s="323">
        <v>0.69199999999999995</v>
      </c>
      <c r="G45" s="323">
        <v>0</v>
      </c>
      <c r="H45" s="323">
        <v>0</v>
      </c>
      <c r="I45" s="323">
        <f t="shared" si="1"/>
        <v>3.1610000000000005</v>
      </c>
      <c r="J45" s="325" t="s">
        <v>12</v>
      </c>
      <c r="K45" s="323">
        <f t="shared" si="2"/>
        <v>3.8530000000000006</v>
      </c>
      <c r="L45" s="326" t="s">
        <v>445</v>
      </c>
      <c r="M45" s="350" t="s">
        <v>862</v>
      </c>
      <c r="N45" s="328"/>
    </row>
    <row r="46" spans="1:15" ht="20.149999999999999" customHeight="1" x14ac:dyDescent="0.35">
      <c r="A46" s="329">
        <v>6</v>
      </c>
      <c r="B46" s="321">
        <v>79</v>
      </c>
      <c r="C46" s="335" t="s">
        <v>272</v>
      </c>
      <c r="D46" s="940">
        <v>1.9430000000000001</v>
      </c>
      <c r="E46" s="323">
        <f>'[1]road inventory 2018'!C153</f>
        <v>1.9000000000000001</v>
      </c>
      <c r="F46" s="323">
        <v>0.12</v>
      </c>
      <c r="G46" s="323">
        <v>0</v>
      </c>
      <c r="H46" s="323">
        <v>0</v>
      </c>
      <c r="I46" s="323">
        <f t="shared" si="1"/>
        <v>1.823</v>
      </c>
      <c r="J46" s="325" t="s">
        <v>33</v>
      </c>
      <c r="K46" s="323">
        <f t="shared" si="2"/>
        <v>1.9430000000000001</v>
      </c>
      <c r="L46" s="326" t="s">
        <v>446</v>
      </c>
      <c r="M46" s="350" t="s">
        <v>862</v>
      </c>
      <c r="N46" s="328"/>
    </row>
    <row r="47" spans="1:15" ht="20.149999999999999" customHeight="1" x14ac:dyDescent="0.35">
      <c r="A47" s="329">
        <v>7</v>
      </c>
      <c r="B47" s="321">
        <v>80</v>
      </c>
      <c r="C47" s="335" t="s">
        <v>282</v>
      </c>
      <c r="D47" s="940">
        <v>15.707000000000001</v>
      </c>
      <c r="E47" s="323">
        <f>'[1]road inventory 2018'!C154</f>
        <v>15.7</v>
      </c>
      <c r="F47" s="323">
        <f>0.859+0.105+0.029+0.179+0.249+0.427</f>
        <v>1.8479999999999999</v>
      </c>
      <c r="G47" s="323">
        <v>0</v>
      </c>
      <c r="H47" s="323">
        <v>0</v>
      </c>
      <c r="I47" s="323">
        <f t="shared" si="1"/>
        <v>13.859000000000002</v>
      </c>
      <c r="J47" s="325" t="s">
        <v>41</v>
      </c>
      <c r="K47" s="323">
        <f t="shared" si="2"/>
        <v>15.707000000000001</v>
      </c>
      <c r="L47" s="326" t="s">
        <v>447</v>
      </c>
      <c r="M47" s="350" t="s">
        <v>862</v>
      </c>
      <c r="N47" s="328"/>
    </row>
    <row r="48" spans="1:15" ht="20.149999999999999" customHeight="1" x14ac:dyDescent="0.35">
      <c r="A48" s="329">
        <v>8</v>
      </c>
      <c r="B48" s="321">
        <v>81</v>
      </c>
      <c r="C48" s="335" t="s">
        <v>279</v>
      </c>
      <c r="D48" s="940">
        <v>3.8279999999999998</v>
      </c>
      <c r="E48" s="323">
        <f>'[1]road inventory 2018'!C155</f>
        <v>3.8</v>
      </c>
      <c r="F48" s="323">
        <f>0.232+0.049</f>
        <v>0.28100000000000003</v>
      </c>
      <c r="G48" s="323">
        <v>0</v>
      </c>
      <c r="H48" s="323">
        <v>0</v>
      </c>
      <c r="I48" s="323">
        <f t="shared" si="1"/>
        <v>3.5469999999999997</v>
      </c>
      <c r="J48" s="325" t="s">
        <v>33</v>
      </c>
      <c r="K48" s="323">
        <f t="shared" si="2"/>
        <v>3.8279999999999998</v>
      </c>
      <c r="L48" s="326" t="s">
        <v>448</v>
      </c>
      <c r="M48" s="350" t="s">
        <v>862</v>
      </c>
      <c r="N48" s="328"/>
    </row>
    <row r="49" spans="1:15" ht="20.149999999999999" customHeight="1" x14ac:dyDescent="0.35">
      <c r="A49" s="329">
        <v>9</v>
      </c>
      <c r="B49" s="321">
        <v>82</v>
      </c>
      <c r="C49" s="335" t="s">
        <v>859</v>
      </c>
      <c r="D49" s="940">
        <v>5.42</v>
      </c>
      <c r="E49" s="323">
        <f>'[1]road inventory 2018'!C156</f>
        <v>5.4</v>
      </c>
      <c r="F49" s="323">
        <f>3.12</f>
        <v>3.12</v>
      </c>
      <c r="G49" s="323">
        <v>0</v>
      </c>
      <c r="H49" s="323">
        <v>0.40400000000000003</v>
      </c>
      <c r="I49" s="323">
        <f>E49-F49-H49</f>
        <v>1.8760000000000003</v>
      </c>
      <c r="J49" s="325" t="s">
        <v>10</v>
      </c>
      <c r="K49" s="323">
        <f t="shared" si="2"/>
        <v>5.4</v>
      </c>
      <c r="L49" s="326" t="s">
        <v>449</v>
      </c>
      <c r="M49" s="350" t="s">
        <v>862</v>
      </c>
      <c r="N49" s="328"/>
    </row>
    <row r="50" spans="1:15" ht="20.149999999999999" customHeight="1" x14ac:dyDescent="0.35">
      <c r="A50" s="329">
        <v>10</v>
      </c>
      <c r="B50" s="321">
        <v>83</v>
      </c>
      <c r="C50" s="335" t="s">
        <v>58</v>
      </c>
      <c r="D50" s="940">
        <v>4.2640000000000002</v>
      </c>
      <c r="E50" s="323">
        <f>'[1]road inventory 2018'!C157</f>
        <v>4.2</v>
      </c>
      <c r="F50" s="323">
        <f>0.328+0.091+0.13+0.039</f>
        <v>0.58800000000000008</v>
      </c>
      <c r="G50" s="323">
        <v>0</v>
      </c>
      <c r="H50" s="323">
        <v>0</v>
      </c>
      <c r="I50" s="323">
        <f>D50-F50</f>
        <v>3.6760000000000002</v>
      </c>
      <c r="J50" s="325" t="s">
        <v>12</v>
      </c>
      <c r="K50" s="323">
        <f t="shared" si="2"/>
        <v>4.2640000000000002</v>
      </c>
      <c r="L50" s="326" t="s">
        <v>447</v>
      </c>
      <c r="M50" s="350" t="s">
        <v>862</v>
      </c>
      <c r="N50" s="328"/>
    </row>
    <row r="51" spans="1:15" ht="20.149999999999999" customHeight="1" x14ac:dyDescent="0.35">
      <c r="A51" s="329">
        <v>11</v>
      </c>
      <c r="B51" s="321">
        <v>84</v>
      </c>
      <c r="C51" s="335" t="s">
        <v>274</v>
      </c>
      <c r="D51" s="940">
        <v>1.1140000000000001</v>
      </c>
      <c r="E51" s="323">
        <v>1.1000000000000001</v>
      </c>
      <c r="F51" s="323">
        <v>0.48499999999999999</v>
      </c>
      <c r="G51" s="323">
        <v>0</v>
      </c>
      <c r="H51" s="323">
        <v>0</v>
      </c>
      <c r="I51" s="323">
        <f>D51-F51</f>
        <v>0.62900000000000011</v>
      </c>
      <c r="J51" s="325" t="s">
        <v>12</v>
      </c>
      <c r="K51" s="323">
        <f>SUM(F51:I51)</f>
        <v>1.1140000000000001</v>
      </c>
      <c r="L51" s="326" t="s">
        <v>450</v>
      </c>
      <c r="M51" s="350" t="s">
        <v>862</v>
      </c>
      <c r="N51" s="328"/>
    </row>
    <row r="52" spans="1:15" ht="20.149999999999999" customHeight="1" x14ac:dyDescent="0.35">
      <c r="A52" s="329">
        <v>12</v>
      </c>
      <c r="B52" s="321">
        <v>85</v>
      </c>
      <c r="C52" s="335" t="s">
        <v>281</v>
      </c>
      <c r="D52" s="940">
        <v>2.851</v>
      </c>
      <c r="E52" s="323">
        <f>'[1]road inventory 2018'!C159</f>
        <v>2.8</v>
      </c>
      <c r="F52" s="323">
        <v>0</v>
      </c>
      <c r="G52" s="323">
        <v>0</v>
      </c>
      <c r="H52" s="323">
        <v>0</v>
      </c>
      <c r="I52" s="323">
        <f>D52-F52</f>
        <v>2.851</v>
      </c>
      <c r="J52" s="325" t="s">
        <v>12</v>
      </c>
      <c r="K52" s="323">
        <f t="shared" si="2"/>
        <v>2.851</v>
      </c>
      <c r="L52" s="326" t="s">
        <v>451</v>
      </c>
      <c r="M52" s="350" t="s">
        <v>862</v>
      </c>
      <c r="N52" s="328"/>
    </row>
    <row r="53" spans="1:15" ht="20.149999999999999" customHeight="1" x14ac:dyDescent="0.35">
      <c r="A53" s="329">
        <v>13</v>
      </c>
      <c r="B53" s="321">
        <v>86</v>
      </c>
      <c r="C53" s="335" t="s">
        <v>275</v>
      </c>
      <c r="D53" s="940">
        <v>2.64</v>
      </c>
      <c r="E53" s="323">
        <f>'[1]road inventory 2018'!C160</f>
        <v>2.5</v>
      </c>
      <c r="F53" s="323">
        <v>0</v>
      </c>
      <c r="G53" s="323">
        <v>0</v>
      </c>
      <c r="H53" s="323">
        <v>2.5</v>
      </c>
      <c r="I53" s="323">
        <f>D53-F53</f>
        <v>2.64</v>
      </c>
      <c r="J53" s="325" t="s">
        <v>41</v>
      </c>
      <c r="K53" s="323">
        <f t="shared" si="2"/>
        <v>5.1400000000000006</v>
      </c>
      <c r="L53" s="326" t="s">
        <v>452</v>
      </c>
      <c r="M53" s="350" t="s">
        <v>862</v>
      </c>
      <c r="N53" s="328"/>
    </row>
    <row r="54" spans="1:15" ht="20.149999999999999" customHeight="1" x14ac:dyDescent="0.35">
      <c r="A54" s="329">
        <v>14</v>
      </c>
      <c r="B54" s="321">
        <v>87</v>
      </c>
      <c r="C54" s="335" t="s">
        <v>273</v>
      </c>
      <c r="D54" s="940">
        <v>0.60799999999999998</v>
      </c>
      <c r="E54" s="323">
        <v>0.5</v>
      </c>
      <c r="F54" s="323">
        <v>0</v>
      </c>
      <c r="G54" s="323">
        <v>0</v>
      </c>
      <c r="H54" s="323">
        <v>0</v>
      </c>
      <c r="I54" s="323">
        <f>D54-F54</f>
        <v>0.60799999999999998</v>
      </c>
      <c r="J54" s="325" t="s">
        <v>12</v>
      </c>
      <c r="K54" s="323">
        <f t="shared" si="2"/>
        <v>0.60799999999999998</v>
      </c>
      <c r="L54" s="326" t="s">
        <v>450</v>
      </c>
      <c r="M54" s="350" t="s">
        <v>862</v>
      </c>
      <c r="N54" s="328"/>
    </row>
    <row r="55" spans="1:15" ht="20.149999999999999" customHeight="1" x14ac:dyDescent="0.35">
      <c r="A55" s="329">
        <v>15</v>
      </c>
      <c r="B55" s="321">
        <v>88</v>
      </c>
      <c r="C55" s="335" t="s">
        <v>280</v>
      </c>
      <c r="D55" s="940">
        <v>3.246</v>
      </c>
      <c r="E55" s="323">
        <f>'[1]road inventory 2018'!C162</f>
        <v>3.2</v>
      </c>
      <c r="F55" s="323">
        <v>0</v>
      </c>
      <c r="G55" s="323">
        <v>0</v>
      </c>
      <c r="H55" s="323">
        <v>0</v>
      </c>
      <c r="I55" s="323">
        <f>E55-F55</f>
        <v>3.2</v>
      </c>
      <c r="J55" s="325" t="s">
        <v>41</v>
      </c>
      <c r="K55" s="323">
        <f t="shared" si="2"/>
        <v>3.2</v>
      </c>
      <c r="L55" s="326" t="s">
        <v>454</v>
      </c>
      <c r="M55" s="350" t="s">
        <v>862</v>
      </c>
      <c r="N55" s="328"/>
    </row>
    <row r="56" spans="1:15" s="317" customFormat="1" ht="20.149999999999999" customHeight="1" x14ac:dyDescent="0.35">
      <c r="B56" s="373"/>
      <c r="C56" s="374" t="s">
        <v>341</v>
      </c>
      <c r="D56" s="407">
        <f t="shared" ref="D56:I56" si="3">SUM(D41:D55)</f>
        <v>49.902999999999999</v>
      </c>
      <c r="E56" s="375">
        <f t="shared" si="3"/>
        <v>49.2</v>
      </c>
      <c r="F56" s="375">
        <f t="shared" si="3"/>
        <v>9.1419999999999995</v>
      </c>
      <c r="G56" s="375">
        <f t="shared" si="3"/>
        <v>0</v>
      </c>
      <c r="H56" s="375">
        <f t="shared" si="3"/>
        <v>2.9039999999999999</v>
      </c>
      <c r="I56" s="375">
        <f t="shared" si="3"/>
        <v>40.291000000000011</v>
      </c>
      <c r="J56" s="376"/>
      <c r="K56" s="375"/>
      <c r="L56" s="372"/>
      <c r="M56" s="453"/>
      <c r="N56" s="377"/>
      <c r="O56" s="320"/>
    </row>
    <row r="57" spans="1:15" s="317" customFormat="1" ht="20.149999999999999" customHeight="1" x14ac:dyDescent="0.35">
      <c r="B57" s="357"/>
      <c r="C57" s="456"/>
      <c r="D57" s="334"/>
      <c r="E57" s="324"/>
      <c r="F57" s="324"/>
      <c r="G57" s="324"/>
      <c r="H57" s="324"/>
      <c r="I57" s="324"/>
      <c r="J57" s="358"/>
      <c r="K57" s="375"/>
      <c r="L57" s="401"/>
      <c r="M57" s="453"/>
      <c r="N57" s="377"/>
      <c r="O57" s="320"/>
    </row>
    <row r="58" spans="1:15" ht="20.149999999999999" customHeight="1" x14ac:dyDescent="0.35">
      <c r="B58" s="389" t="s">
        <v>411</v>
      </c>
      <c r="C58" s="388"/>
      <c r="D58" s="388"/>
      <c r="E58" s="385"/>
      <c r="F58" s="385"/>
      <c r="G58" s="385"/>
      <c r="H58" s="385"/>
      <c r="I58" s="385"/>
      <c r="J58" s="386"/>
      <c r="K58" s="385"/>
      <c r="L58" s="388"/>
      <c r="M58" s="454"/>
      <c r="N58" s="387"/>
    </row>
    <row r="59" spans="1:15" ht="20.149999999999999" customHeight="1" x14ac:dyDescent="0.35">
      <c r="A59" s="329">
        <v>1</v>
      </c>
      <c r="B59" s="321">
        <v>48</v>
      </c>
      <c r="C59" s="335" t="s">
        <v>254</v>
      </c>
      <c r="D59" s="940">
        <v>2.2290000000000001</v>
      </c>
      <c r="E59" s="323">
        <v>2.1</v>
      </c>
      <c r="F59" s="323">
        <v>0</v>
      </c>
      <c r="G59" s="323">
        <v>0</v>
      </c>
      <c r="H59" s="323">
        <v>0</v>
      </c>
      <c r="I59" s="323">
        <f t="shared" ref="I59:I66" si="4">D59-F59</f>
        <v>2.2290000000000001</v>
      </c>
      <c r="J59" s="325" t="s">
        <v>33</v>
      </c>
      <c r="K59" s="323">
        <f t="shared" ref="K59:K90" si="5">SUM(F59:I59)</f>
        <v>2.2290000000000001</v>
      </c>
      <c r="L59" s="326" t="s">
        <v>412</v>
      </c>
      <c r="M59" s="350" t="s">
        <v>862</v>
      </c>
      <c r="N59" s="328"/>
    </row>
    <row r="60" spans="1:15" ht="20.149999999999999" customHeight="1" x14ac:dyDescent="0.35">
      <c r="A60" s="329">
        <v>2</v>
      </c>
      <c r="B60" s="321">
        <v>50</v>
      </c>
      <c r="C60" s="335" t="s">
        <v>255</v>
      </c>
      <c r="D60" s="940">
        <v>7.73</v>
      </c>
      <c r="E60" s="323">
        <v>7.6</v>
      </c>
      <c r="F60" s="323">
        <v>1.6</v>
      </c>
      <c r="G60" s="323">
        <v>0</v>
      </c>
      <c r="H60" s="323">
        <v>0</v>
      </c>
      <c r="I60" s="323">
        <f t="shared" si="4"/>
        <v>6.1300000000000008</v>
      </c>
      <c r="J60" s="325" t="s">
        <v>41</v>
      </c>
      <c r="K60" s="323">
        <f t="shared" si="5"/>
        <v>7.73</v>
      </c>
      <c r="L60" s="326" t="s">
        <v>413</v>
      </c>
      <c r="M60" s="350" t="s">
        <v>862</v>
      </c>
      <c r="N60" s="328"/>
    </row>
    <row r="61" spans="1:15" ht="20.149999999999999" customHeight="1" x14ac:dyDescent="0.35">
      <c r="A61" s="329">
        <v>3</v>
      </c>
      <c r="B61" s="321">
        <v>51</v>
      </c>
      <c r="C61" s="335" t="s">
        <v>248</v>
      </c>
      <c r="D61" s="940">
        <v>2.9510000000000001</v>
      </c>
      <c r="E61" s="323">
        <v>3</v>
      </c>
      <c r="F61" s="323">
        <v>0</v>
      </c>
      <c r="G61" s="323">
        <v>0</v>
      </c>
      <c r="H61" s="323">
        <v>0</v>
      </c>
      <c r="I61" s="323">
        <f t="shared" si="4"/>
        <v>2.9510000000000001</v>
      </c>
      <c r="J61" s="325" t="s">
        <v>12</v>
      </c>
      <c r="K61" s="323">
        <f t="shared" si="5"/>
        <v>2.9510000000000001</v>
      </c>
      <c r="L61" s="326" t="s">
        <v>414</v>
      </c>
      <c r="M61" s="350" t="s">
        <v>862</v>
      </c>
      <c r="N61" s="328"/>
    </row>
    <row r="62" spans="1:15" ht="20.149999999999999" customHeight="1" x14ac:dyDescent="0.35">
      <c r="A62" s="329">
        <v>4</v>
      </c>
      <c r="B62" s="321">
        <v>52</v>
      </c>
      <c r="C62" s="335" t="s">
        <v>251</v>
      </c>
      <c r="D62" s="940">
        <v>6.6669999999999998</v>
      </c>
      <c r="E62" s="323">
        <v>6.5</v>
      </c>
      <c r="F62" s="323">
        <v>0</v>
      </c>
      <c r="G62" s="323">
        <v>0</v>
      </c>
      <c r="H62" s="323">
        <v>0</v>
      </c>
      <c r="I62" s="323">
        <f t="shared" si="4"/>
        <v>6.6669999999999998</v>
      </c>
      <c r="J62" s="325" t="s">
        <v>12</v>
      </c>
      <c r="K62" s="323">
        <f t="shared" si="5"/>
        <v>6.6669999999999998</v>
      </c>
      <c r="L62" s="326" t="s">
        <v>415</v>
      </c>
      <c r="M62" s="350" t="s">
        <v>862</v>
      </c>
      <c r="N62" s="328"/>
    </row>
    <row r="63" spans="1:15" ht="20.149999999999999" customHeight="1" x14ac:dyDescent="0.35">
      <c r="A63" s="329">
        <v>5</v>
      </c>
      <c r="B63" s="321">
        <v>53</v>
      </c>
      <c r="C63" s="335" t="s">
        <v>249</v>
      </c>
      <c r="D63" s="940">
        <v>6.5069999999999997</v>
      </c>
      <c r="E63" s="323">
        <v>6.4</v>
      </c>
      <c r="F63" s="323">
        <v>5.665</v>
      </c>
      <c r="G63" s="323">
        <v>0</v>
      </c>
      <c r="H63" s="323">
        <v>0</v>
      </c>
      <c r="I63" s="323">
        <f t="shared" si="4"/>
        <v>0.84199999999999964</v>
      </c>
      <c r="J63" s="325" t="s">
        <v>10</v>
      </c>
      <c r="K63" s="323">
        <f t="shared" si="5"/>
        <v>6.5069999999999997</v>
      </c>
      <c r="L63" s="326" t="s">
        <v>416</v>
      </c>
      <c r="M63" s="350" t="s">
        <v>862</v>
      </c>
      <c r="N63" s="328"/>
    </row>
    <row r="64" spans="1:15" ht="20.149999999999999" customHeight="1" x14ac:dyDescent="0.35">
      <c r="A64" s="329">
        <v>6</v>
      </c>
      <c r="B64" s="321">
        <v>54</v>
      </c>
      <c r="C64" s="335" t="s">
        <v>252</v>
      </c>
      <c r="D64" s="940">
        <v>1.7</v>
      </c>
      <c r="E64" s="323">
        <v>1.6</v>
      </c>
      <c r="F64" s="323">
        <v>1.1779999999999999</v>
      </c>
      <c r="G64" s="323">
        <v>0</v>
      </c>
      <c r="H64" s="323">
        <v>0</v>
      </c>
      <c r="I64" s="323">
        <f t="shared" si="4"/>
        <v>0.52200000000000002</v>
      </c>
      <c r="J64" s="325" t="s">
        <v>10</v>
      </c>
      <c r="K64" s="323">
        <f t="shared" si="5"/>
        <v>1.7</v>
      </c>
      <c r="L64" s="326" t="s">
        <v>417</v>
      </c>
      <c r="M64" s="350" t="s">
        <v>862</v>
      </c>
      <c r="N64" s="328"/>
    </row>
    <row r="65" spans="1:14" ht="20.149999999999999" customHeight="1" x14ac:dyDescent="0.35">
      <c r="A65" s="329">
        <v>7</v>
      </c>
      <c r="B65" s="321">
        <v>103</v>
      </c>
      <c r="C65" s="335" t="s">
        <v>245</v>
      </c>
      <c r="D65" s="940">
        <v>1.2629999999999999</v>
      </c>
      <c r="E65" s="323">
        <v>1.2</v>
      </c>
      <c r="F65" s="323">
        <v>0.254</v>
      </c>
      <c r="G65" s="323">
        <v>0</v>
      </c>
      <c r="H65" s="323">
        <v>0</v>
      </c>
      <c r="I65" s="323">
        <f t="shared" si="4"/>
        <v>1.0089999999999999</v>
      </c>
      <c r="J65" s="325" t="s">
        <v>12</v>
      </c>
      <c r="K65" s="323">
        <f t="shared" si="5"/>
        <v>1.2629999999999999</v>
      </c>
      <c r="L65" s="326" t="s">
        <v>418</v>
      </c>
      <c r="M65" s="350" t="s">
        <v>862</v>
      </c>
      <c r="N65" s="328"/>
    </row>
    <row r="66" spans="1:14" ht="20.149999999999999" customHeight="1" x14ac:dyDescent="0.35">
      <c r="A66" s="329">
        <v>8</v>
      </c>
      <c r="B66" s="321">
        <v>55</v>
      </c>
      <c r="C66" s="335" t="s">
        <v>244</v>
      </c>
      <c r="D66" s="940">
        <v>4.202</v>
      </c>
      <c r="E66" s="323">
        <v>4.0999999999999996</v>
      </c>
      <c r="F66" s="323">
        <v>0</v>
      </c>
      <c r="G66" s="323">
        <v>0</v>
      </c>
      <c r="H66" s="323">
        <v>0</v>
      </c>
      <c r="I66" s="323">
        <f t="shared" si="4"/>
        <v>4.202</v>
      </c>
      <c r="J66" s="325" t="s">
        <v>12</v>
      </c>
      <c r="K66" s="323">
        <f t="shared" si="5"/>
        <v>4.202</v>
      </c>
      <c r="L66" s="326" t="s">
        <v>419</v>
      </c>
      <c r="M66" s="350" t="s">
        <v>862</v>
      </c>
      <c r="N66" s="328"/>
    </row>
    <row r="67" spans="1:14" ht="20.149999999999999" customHeight="1" x14ac:dyDescent="0.35">
      <c r="A67" s="329">
        <v>9</v>
      </c>
      <c r="B67" s="321">
        <v>57</v>
      </c>
      <c r="C67" s="335" t="s">
        <v>268</v>
      </c>
      <c r="D67" s="940">
        <v>1.3</v>
      </c>
      <c r="E67" s="323">
        <v>1.3</v>
      </c>
      <c r="F67" s="323">
        <v>0.30499999999999999</v>
      </c>
      <c r="G67" s="323">
        <v>0</v>
      </c>
      <c r="H67" s="323">
        <v>0</v>
      </c>
      <c r="I67" s="323">
        <f>D67-F67</f>
        <v>0.99500000000000011</v>
      </c>
      <c r="J67" s="325" t="s">
        <v>33</v>
      </c>
      <c r="K67" s="323">
        <f t="shared" si="5"/>
        <v>1.3</v>
      </c>
      <c r="L67" s="326" t="s">
        <v>420</v>
      </c>
      <c r="M67" s="350" t="s">
        <v>862</v>
      </c>
      <c r="N67" s="328"/>
    </row>
    <row r="68" spans="1:14" ht="20.149999999999999" customHeight="1" x14ac:dyDescent="0.35">
      <c r="A68" s="329">
        <v>10</v>
      </c>
      <c r="B68" s="321">
        <v>58</v>
      </c>
      <c r="C68" s="335" t="s">
        <v>421</v>
      </c>
      <c r="D68" s="940">
        <v>0.53500000000000003</v>
      </c>
      <c r="E68" s="323">
        <v>0.3</v>
      </c>
      <c r="F68" s="323">
        <v>0</v>
      </c>
      <c r="G68" s="323">
        <v>0</v>
      </c>
      <c r="H68" s="323">
        <v>0</v>
      </c>
      <c r="I68" s="323">
        <f t="shared" ref="I68:I73" si="6">D68-F68</f>
        <v>0.53500000000000003</v>
      </c>
      <c r="J68" s="325" t="s">
        <v>12</v>
      </c>
      <c r="K68" s="323">
        <f t="shared" si="5"/>
        <v>0.53500000000000003</v>
      </c>
      <c r="L68" s="326" t="s">
        <v>422</v>
      </c>
      <c r="M68" s="350" t="s">
        <v>862</v>
      </c>
      <c r="N68" s="328"/>
    </row>
    <row r="69" spans="1:14" ht="20.149999999999999" customHeight="1" x14ac:dyDescent="0.35">
      <c r="A69" s="329">
        <v>11</v>
      </c>
      <c r="B69" s="321">
        <v>59</v>
      </c>
      <c r="C69" s="335" t="s">
        <v>262</v>
      </c>
      <c r="D69" s="940">
        <v>0.82399999999999995</v>
      </c>
      <c r="E69" s="323">
        <v>0.8</v>
      </c>
      <c r="F69" s="323">
        <v>0</v>
      </c>
      <c r="G69" s="323">
        <v>0</v>
      </c>
      <c r="H69" s="323">
        <v>0</v>
      </c>
      <c r="I69" s="323">
        <f t="shared" si="6"/>
        <v>0.82399999999999995</v>
      </c>
      <c r="J69" s="325" t="s">
        <v>12</v>
      </c>
      <c r="K69" s="323">
        <f t="shared" si="5"/>
        <v>0.82399999999999995</v>
      </c>
      <c r="L69" s="326" t="s">
        <v>422</v>
      </c>
      <c r="M69" s="350" t="s">
        <v>862</v>
      </c>
      <c r="N69" s="328"/>
    </row>
    <row r="70" spans="1:14" ht="20.149999999999999" customHeight="1" x14ac:dyDescent="0.35">
      <c r="A70" s="329">
        <v>12</v>
      </c>
      <c r="B70" s="321">
        <v>97</v>
      </c>
      <c r="C70" s="335" t="s">
        <v>51</v>
      </c>
      <c r="D70" s="940">
        <v>8.56</v>
      </c>
      <c r="E70" s="323">
        <v>8.3000000000000007</v>
      </c>
      <c r="F70" s="323">
        <v>8.56</v>
      </c>
      <c r="G70" s="323">
        <v>0</v>
      </c>
      <c r="H70" s="323">
        <v>0</v>
      </c>
      <c r="I70" s="323">
        <f t="shared" si="6"/>
        <v>0</v>
      </c>
      <c r="J70" s="325" t="s">
        <v>10</v>
      </c>
      <c r="K70" s="323">
        <f t="shared" si="5"/>
        <v>8.56</v>
      </c>
      <c r="L70" s="326" t="s">
        <v>423</v>
      </c>
      <c r="M70" s="350" t="s">
        <v>862</v>
      </c>
      <c r="N70" s="328"/>
    </row>
    <row r="71" spans="1:14" ht="20.149999999999999" customHeight="1" x14ac:dyDescent="0.35">
      <c r="A71" s="329">
        <v>13</v>
      </c>
      <c r="B71" s="321">
        <v>56</v>
      </c>
      <c r="C71" s="335" t="s">
        <v>250</v>
      </c>
      <c r="D71" s="940">
        <v>5.718</v>
      </c>
      <c r="E71" s="323">
        <v>5.7</v>
      </c>
      <c r="F71" s="323">
        <v>1.8520000000000001</v>
      </c>
      <c r="G71" s="323">
        <v>0</v>
      </c>
      <c r="H71" s="323">
        <v>0</v>
      </c>
      <c r="I71" s="323">
        <f t="shared" si="6"/>
        <v>3.8659999999999997</v>
      </c>
      <c r="J71" s="325" t="s">
        <v>12</v>
      </c>
      <c r="K71" s="323">
        <f t="shared" si="5"/>
        <v>5.718</v>
      </c>
      <c r="L71" s="326" t="s">
        <v>414</v>
      </c>
      <c r="M71" s="350" t="s">
        <v>862</v>
      </c>
      <c r="N71" s="328"/>
    </row>
    <row r="72" spans="1:14" ht="20.149999999999999" customHeight="1" x14ac:dyDescent="0.35">
      <c r="A72" s="329">
        <v>14</v>
      </c>
      <c r="B72" s="321">
        <v>60</v>
      </c>
      <c r="C72" s="335" t="s">
        <v>253</v>
      </c>
      <c r="D72" s="940">
        <v>9.2170000000000005</v>
      </c>
      <c r="E72" s="323">
        <v>9.1999999999999993</v>
      </c>
      <c r="F72" s="323">
        <v>8.7650000000000006</v>
      </c>
      <c r="G72" s="323">
        <v>0</v>
      </c>
      <c r="H72" s="323">
        <v>0</v>
      </c>
      <c r="I72" s="323">
        <f t="shared" si="6"/>
        <v>0.45199999999999996</v>
      </c>
      <c r="J72" s="325" t="s">
        <v>10</v>
      </c>
      <c r="K72" s="323">
        <f t="shared" si="5"/>
        <v>9.2170000000000005</v>
      </c>
      <c r="L72" s="326" t="s">
        <v>424</v>
      </c>
      <c r="M72" s="350" t="s">
        <v>862</v>
      </c>
      <c r="N72" s="328"/>
    </row>
    <row r="73" spans="1:14" ht="20.149999999999999" customHeight="1" x14ac:dyDescent="0.35">
      <c r="A73" s="329">
        <v>15</v>
      </c>
      <c r="B73" s="321">
        <v>61</v>
      </c>
      <c r="C73" s="335" t="s">
        <v>260</v>
      </c>
      <c r="D73" s="940">
        <v>4.5199999999999996</v>
      </c>
      <c r="E73" s="323">
        <v>4.5</v>
      </c>
      <c r="F73" s="323">
        <v>1.6180000000000001</v>
      </c>
      <c r="G73" s="323">
        <v>0</v>
      </c>
      <c r="H73" s="323">
        <v>0</v>
      </c>
      <c r="I73" s="323">
        <f t="shared" si="6"/>
        <v>2.9019999999999992</v>
      </c>
      <c r="J73" s="325" t="s">
        <v>12</v>
      </c>
      <c r="K73" s="323">
        <f t="shared" si="5"/>
        <v>4.5199999999999996</v>
      </c>
      <c r="L73" s="326" t="s">
        <v>425</v>
      </c>
      <c r="M73" s="350" t="s">
        <v>862</v>
      </c>
      <c r="N73" s="328"/>
    </row>
    <row r="74" spans="1:14" ht="20.149999999999999" customHeight="1" x14ac:dyDescent="0.35">
      <c r="A74" s="329">
        <v>16</v>
      </c>
      <c r="B74" s="321">
        <v>62</v>
      </c>
      <c r="C74" s="335" t="s">
        <v>269</v>
      </c>
      <c r="D74" s="940">
        <v>2.1019999999999999</v>
      </c>
      <c r="E74" s="323">
        <v>2</v>
      </c>
      <c r="F74" s="323">
        <v>0</v>
      </c>
      <c r="G74" s="323">
        <v>0</v>
      </c>
      <c r="H74" s="323">
        <v>0</v>
      </c>
      <c r="I74" s="323">
        <f>D74-F74</f>
        <v>2.1019999999999999</v>
      </c>
      <c r="J74" s="325" t="s">
        <v>12</v>
      </c>
      <c r="K74" s="323">
        <f t="shared" si="5"/>
        <v>2.1019999999999999</v>
      </c>
      <c r="L74" s="326" t="s">
        <v>426</v>
      </c>
      <c r="M74" s="350" t="s">
        <v>862</v>
      </c>
      <c r="N74" s="328"/>
    </row>
    <row r="75" spans="1:14" ht="20.149999999999999" customHeight="1" x14ac:dyDescent="0.35">
      <c r="A75" s="329">
        <v>17</v>
      </c>
      <c r="B75" s="321">
        <v>63</v>
      </c>
      <c r="C75" s="335" t="s">
        <v>265</v>
      </c>
      <c r="D75" s="940">
        <v>3.0459999999999998</v>
      </c>
      <c r="E75" s="323">
        <v>3</v>
      </c>
      <c r="F75" s="323">
        <v>1.161</v>
      </c>
      <c r="G75" s="323">
        <v>0</v>
      </c>
      <c r="H75" s="323">
        <v>0</v>
      </c>
      <c r="I75" s="323">
        <f>D75-F75</f>
        <v>1.8849999999999998</v>
      </c>
      <c r="J75" s="325" t="s">
        <v>12</v>
      </c>
      <c r="K75" s="323">
        <f t="shared" si="5"/>
        <v>3.0459999999999998</v>
      </c>
      <c r="L75" s="326" t="s">
        <v>427</v>
      </c>
      <c r="M75" s="350" t="s">
        <v>862</v>
      </c>
      <c r="N75" s="328"/>
    </row>
    <row r="76" spans="1:14" ht="20.149999999999999" customHeight="1" x14ac:dyDescent="0.35">
      <c r="A76" s="329">
        <v>18</v>
      </c>
      <c r="B76" s="321">
        <v>98</v>
      </c>
      <c r="C76" s="335" t="s">
        <v>247</v>
      </c>
      <c r="D76" s="940">
        <v>5.1120000000000001</v>
      </c>
      <c r="E76" s="323">
        <v>5.1000000000000005</v>
      </c>
      <c r="F76" s="323">
        <v>4.9370000000000003</v>
      </c>
      <c r="G76" s="323">
        <v>0</v>
      </c>
      <c r="H76" s="323">
        <v>0</v>
      </c>
      <c r="I76" s="323">
        <f>D76-F76</f>
        <v>0.17499999999999982</v>
      </c>
      <c r="J76" s="325" t="s">
        <v>10</v>
      </c>
      <c r="K76" s="323">
        <f t="shared" si="5"/>
        <v>5.1120000000000001</v>
      </c>
      <c r="L76" s="326" t="s">
        <v>428</v>
      </c>
      <c r="M76" s="350" t="s">
        <v>862</v>
      </c>
      <c r="N76" s="328"/>
    </row>
    <row r="77" spans="1:14" ht="20.149999999999999" customHeight="1" x14ac:dyDescent="0.35">
      <c r="A77" s="329">
        <v>19</v>
      </c>
      <c r="B77" s="321">
        <v>64</v>
      </c>
      <c r="C77" s="335" t="s">
        <v>246</v>
      </c>
      <c r="D77" s="940">
        <v>3.8</v>
      </c>
      <c r="E77" s="323">
        <v>3.6</v>
      </c>
      <c r="F77" s="323">
        <v>3.8</v>
      </c>
      <c r="G77" s="323">
        <v>0</v>
      </c>
      <c r="H77" s="323">
        <v>0</v>
      </c>
      <c r="I77" s="323">
        <f>E77-F77</f>
        <v>-0.19999999999999973</v>
      </c>
      <c r="J77" s="325" t="s">
        <v>10</v>
      </c>
      <c r="K77" s="323">
        <f t="shared" si="5"/>
        <v>3.6</v>
      </c>
      <c r="L77" s="326" t="s">
        <v>429</v>
      </c>
      <c r="M77" s="350" t="s">
        <v>862</v>
      </c>
      <c r="N77" s="328"/>
    </row>
    <row r="78" spans="1:14" ht="20.149999999999999" customHeight="1" x14ac:dyDescent="0.35">
      <c r="A78" s="329">
        <v>20</v>
      </c>
      <c r="B78" s="321">
        <v>96</v>
      </c>
      <c r="C78" s="335" t="s">
        <v>270</v>
      </c>
      <c r="D78" s="940">
        <v>5.8440000000000003</v>
      </c>
      <c r="E78" s="323">
        <v>5.6999999999999993</v>
      </c>
      <c r="F78" s="323">
        <v>3.044</v>
      </c>
      <c r="G78" s="323">
        <v>0</v>
      </c>
      <c r="H78" s="323">
        <v>0</v>
      </c>
      <c r="I78" s="323">
        <f>D78-F78</f>
        <v>2.8000000000000003</v>
      </c>
      <c r="J78" s="325" t="s">
        <v>10</v>
      </c>
      <c r="K78" s="323">
        <f t="shared" si="5"/>
        <v>5.8440000000000003</v>
      </c>
      <c r="L78" s="326" t="s">
        <v>430</v>
      </c>
      <c r="M78" s="350" t="s">
        <v>862</v>
      </c>
      <c r="N78" s="328"/>
    </row>
    <row r="79" spans="1:14" ht="20.149999999999999" customHeight="1" x14ac:dyDescent="0.35">
      <c r="A79" s="329">
        <v>21</v>
      </c>
      <c r="B79" s="321">
        <v>65</v>
      </c>
      <c r="C79" s="335" t="s">
        <v>261</v>
      </c>
      <c r="D79" s="940">
        <v>1.619</v>
      </c>
      <c r="E79" s="323">
        <v>1.65</v>
      </c>
      <c r="F79" s="323">
        <v>0</v>
      </c>
      <c r="G79" s="323">
        <v>0</v>
      </c>
      <c r="H79" s="323">
        <v>0</v>
      </c>
      <c r="I79" s="323">
        <f t="shared" ref="I79:I89" si="7">D79-F79</f>
        <v>1.619</v>
      </c>
      <c r="J79" s="325" t="s">
        <v>12</v>
      </c>
      <c r="K79" s="323">
        <f t="shared" si="5"/>
        <v>1.619</v>
      </c>
      <c r="L79" s="326" t="s">
        <v>431</v>
      </c>
      <c r="M79" s="350" t="s">
        <v>862</v>
      </c>
      <c r="N79" s="328"/>
    </row>
    <row r="80" spans="1:14" ht="20.149999999999999" customHeight="1" x14ac:dyDescent="0.35">
      <c r="A80" s="329">
        <v>22</v>
      </c>
      <c r="B80" s="321">
        <v>66</v>
      </c>
      <c r="C80" s="335" t="s">
        <v>432</v>
      </c>
      <c r="D80" s="940">
        <v>3.8879999999999999</v>
      </c>
      <c r="E80" s="323">
        <v>3.8000000000000003</v>
      </c>
      <c r="F80" s="323">
        <v>0</v>
      </c>
      <c r="G80" s="323">
        <v>0</v>
      </c>
      <c r="H80" s="323">
        <v>0</v>
      </c>
      <c r="I80" s="323">
        <f t="shared" si="7"/>
        <v>3.8879999999999999</v>
      </c>
      <c r="J80" s="325" t="s">
        <v>33</v>
      </c>
      <c r="K80" s="323">
        <f t="shared" si="5"/>
        <v>3.8879999999999999</v>
      </c>
      <c r="L80" s="326" t="s">
        <v>433</v>
      </c>
      <c r="M80" s="350" t="s">
        <v>862</v>
      </c>
      <c r="N80" s="328"/>
    </row>
    <row r="81" spans="1:17" ht="20.149999999999999" customHeight="1" x14ac:dyDescent="0.35">
      <c r="A81" s="329">
        <v>23</v>
      </c>
      <c r="B81" s="321">
        <v>67</v>
      </c>
      <c r="C81" s="335" t="s">
        <v>267</v>
      </c>
      <c r="D81" s="940">
        <v>2.0830000000000002</v>
      </c>
      <c r="E81" s="323">
        <v>1.9</v>
      </c>
      <c r="F81" s="323">
        <v>0.5</v>
      </c>
      <c r="G81" s="323">
        <v>0</v>
      </c>
      <c r="H81" s="323">
        <v>0</v>
      </c>
      <c r="I81" s="323">
        <f t="shared" si="7"/>
        <v>1.5830000000000002</v>
      </c>
      <c r="J81" s="325" t="s">
        <v>33</v>
      </c>
      <c r="K81" s="323">
        <f t="shared" si="5"/>
        <v>2.0830000000000002</v>
      </c>
      <c r="L81" s="326" t="s">
        <v>434</v>
      </c>
      <c r="M81" s="350" t="s">
        <v>862</v>
      </c>
      <c r="N81" s="328"/>
    </row>
    <row r="82" spans="1:17" ht="20.149999999999999" customHeight="1" x14ac:dyDescent="0.35">
      <c r="A82" s="329">
        <v>24</v>
      </c>
      <c r="B82" s="321">
        <v>68</v>
      </c>
      <c r="C82" s="335" t="s">
        <v>266</v>
      </c>
      <c r="D82" s="940">
        <v>1.6579999999999999</v>
      </c>
      <c r="E82" s="323">
        <v>1.5999999999999999</v>
      </c>
      <c r="F82" s="323">
        <v>0.221</v>
      </c>
      <c r="G82" s="323">
        <v>0</v>
      </c>
      <c r="H82" s="323">
        <v>0</v>
      </c>
      <c r="I82" s="323">
        <f t="shared" si="7"/>
        <v>1.4369999999999998</v>
      </c>
      <c r="J82" s="325" t="s">
        <v>33</v>
      </c>
      <c r="K82" s="323">
        <f t="shared" si="5"/>
        <v>1.6579999999999999</v>
      </c>
      <c r="L82" s="326" t="s">
        <v>434</v>
      </c>
      <c r="M82" s="350" t="s">
        <v>862</v>
      </c>
      <c r="N82" s="328"/>
    </row>
    <row r="83" spans="1:17" ht="20.149999999999999" customHeight="1" x14ac:dyDescent="0.35">
      <c r="A83" s="329">
        <v>25</v>
      </c>
      <c r="B83" s="321">
        <v>69</v>
      </c>
      <c r="C83" s="335" t="s">
        <v>264</v>
      </c>
      <c r="D83" s="940">
        <v>1.6870000000000001</v>
      </c>
      <c r="E83" s="323">
        <v>1.6</v>
      </c>
      <c r="F83" s="323">
        <v>0</v>
      </c>
      <c r="G83" s="323">
        <v>0</v>
      </c>
      <c r="H83" s="323">
        <v>0</v>
      </c>
      <c r="I83" s="323">
        <f t="shared" si="7"/>
        <v>1.6870000000000001</v>
      </c>
      <c r="J83" s="325" t="s">
        <v>33</v>
      </c>
      <c r="K83" s="323">
        <f t="shared" si="5"/>
        <v>1.6870000000000001</v>
      </c>
      <c r="L83" s="326" t="s">
        <v>435</v>
      </c>
      <c r="M83" s="350" t="s">
        <v>862</v>
      </c>
      <c r="N83" s="328"/>
    </row>
    <row r="84" spans="1:17" ht="20.149999999999999" customHeight="1" x14ac:dyDescent="0.35">
      <c r="A84" s="329">
        <v>26</v>
      </c>
      <c r="B84" s="321">
        <v>70</v>
      </c>
      <c r="C84" s="335" t="s">
        <v>263</v>
      </c>
      <c r="D84" s="940">
        <v>2.4</v>
      </c>
      <c r="E84" s="323">
        <v>2.6</v>
      </c>
      <c r="F84" s="323">
        <v>0.78700000000000003</v>
      </c>
      <c r="G84" s="323">
        <v>0</v>
      </c>
      <c r="H84" s="323">
        <v>0</v>
      </c>
      <c r="I84" s="323">
        <f t="shared" si="7"/>
        <v>1.613</v>
      </c>
      <c r="J84" s="325" t="s">
        <v>33</v>
      </c>
      <c r="K84" s="323">
        <f t="shared" si="5"/>
        <v>2.4</v>
      </c>
      <c r="L84" s="326" t="s">
        <v>436</v>
      </c>
      <c r="M84" s="350" t="s">
        <v>862</v>
      </c>
      <c r="N84" s="328"/>
    </row>
    <row r="85" spans="1:17" ht="20.149999999999999" customHeight="1" x14ac:dyDescent="0.35">
      <c r="A85" s="329">
        <v>27</v>
      </c>
      <c r="B85" s="321">
        <v>71</v>
      </c>
      <c r="C85" s="335" t="s">
        <v>54</v>
      </c>
      <c r="D85" s="940">
        <v>2.7269999999999999</v>
      </c>
      <c r="E85" s="323">
        <v>2.7</v>
      </c>
      <c r="F85" s="323">
        <v>0.124</v>
      </c>
      <c r="G85" s="323">
        <v>0</v>
      </c>
      <c r="H85" s="323">
        <v>0</v>
      </c>
      <c r="I85" s="323">
        <f t="shared" si="7"/>
        <v>2.6029999999999998</v>
      </c>
      <c r="J85" s="325" t="s">
        <v>12</v>
      </c>
      <c r="K85" s="323">
        <f t="shared" si="5"/>
        <v>2.7269999999999999</v>
      </c>
      <c r="L85" s="326" t="s">
        <v>437</v>
      </c>
      <c r="M85" s="350" t="s">
        <v>862</v>
      </c>
      <c r="N85" s="328"/>
    </row>
    <row r="86" spans="1:17" ht="20.149999999999999" customHeight="1" x14ac:dyDescent="0.35">
      <c r="A86" s="329">
        <v>28</v>
      </c>
      <c r="B86" s="321">
        <v>72</v>
      </c>
      <c r="C86" s="335" t="s">
        <v>56</v>
      </c>
      <c r="D86" s="940">
        <v>2</v>
      </c>
      <c r="E86" s="323">
        <v>1.7</v>
      </c>
      <c r="F86" s="323">
        <v>1.99</v>
      </c>
      <c r="G86" s="323">
        <v>0</v>
      </c>
      <c r="H86" s="323">
        <v>0</v>
      </c>
      <c r="I86" s="323">
        <f t="shared" si="7"/>
        <v>1.0000000000000009E-2</v>
      </c>
      <c r="J86" s="325" t="s">
        <v>12</v>
      </c>
      <c r="K86" s="323">
        <f t="shared" si="5"/>
        <v>2</v>
      </c>
      <c r="L86" s="326" t="s">
        <v>438</v>
      </c>
      <c r="M86" s="350" t="s">
        <v>862</v>
      </c>
      <c r="N86" s="328"/>
    </row>
    <row r="87" spans="1:17" ht="20.149999999999999" customHeight="1" x14ac:dyDescent="0.35">
      <c r="A87" s="329">
        <v>29</v>
      </c>
      <c r="B87" s="321">
        <v>73</v>
      </c>
      <c r="C87" s="336" t="s">
        <v>258</v>
      </c>
      <c r="D87" s="940">
        <v>5.7320000000000002</v>
      </c>
      <c r="E87" s="323">
        <v>5.5</v>
      </c>
      <c r="F87" s="323">
        <v>1.7999999999999999E-2</v>
      </c>
      <c r="G87" s="323">
        <v>0</v>
      </c>
      <c r="H87" s="323">
        <v>0</v>
      </c>
      <c r="I87" s="323">
        <f t="shared" si="7"/>
        <v>5.7140000000000004</v>
      </c>
      <c r="J87" s="325" t="s">
        <v>33</v>
      </c>
      <c r="K87" s="323">
        <f t="shared" si="5"/>
        <v>5.7320000000000002</v>
      </c>
      <c r="L87" s="326" t="s">
        <v>439</v>
      </c>
      <c r="M87" s="350" t="s">
        <v>862</v>
      </c>
      <c r="N87" s="328"/>
    </row>
    <row r="88" spans="1:17" ht="20.149999999999999" customHeight="1" x14ac:dyDescent="0.35">
      <c r="A88" s="329">
        <v>30</v>
      </c>
      <c r="B88" s="321">
        <v>74</v>
      </c>
      <c r="C88" s="336" t="s">
        <v>257</v>
      </c>
      <c r="D88" s="940">
        <v>0.58399999999999996</v>
      </c>
      <c r="E88" s="323">
        <v>0.5</v>
      </c>
      <c r="F88" s="323">
        <v>0</v>
      </c>
      <c r="G88" s="323">
        <v>0</v>
      </c>
      <c r="H88" s="323">
        <v>0</v>
      </c>
      <c r="I88" s="323">
        <f t="shared" si="7"/>
        <v>0.58399999999999996</v>
      </c>
      <c r="J88" s="325" t="s">
        <v>33</v>
      </c>
      <c r="K88" s="323">
        <f t="shared" si="5"/>
        <v>0.58399999999999996</v>
      </c>
      <c r="L88" s="326" t="s">
        <v>439</v>
      </c>
      <c r="M88" s="350" t="s">
        <v>862</v>
      </c>
      <c r="N88" s="328"/>
    </row>
    <row r="89" spans="1:17" ht="20.149999999999999" customHeight="1" x14ac:dyDescent="0.35">
      <c r="A89" s="329">
        <v>31</v>
      </c>
      <c r="B89" s="321">
        <v>75</v>
      </c>
      <c r="C89" s="336" t="s">
        <v>259</v>
      </c>
      <c r="D89" s="940">
        <v>2.1</v>
      </c>
      <c r="E89" s="323">
        <v>2.1</v>
      </c>
      <c r="F89" s="323">
        <v>0</v>
      </c>
      <c r="G89" s="323">
        <v>0</v>
      </c>
      <c r="H89" s="323">
        <v>0</v>
      </c>
      <c r="I89" s="323">
        <f t="shared" si="7"/>
        <v>2.1</v>
      </c>
      <c r="J89" s="325" t="s">
        <v>33</v>
      </c>
      <c r="K89" s="323">
        <f t="shared" si="5"/>
        <v>2.1</v>
      </c>
      <c r="L89" s="326" t="s">
        <v>440</v>
      </c>
      <c r="M89" s="350" t="s">
        <v>862</v>
      </c>
      <c r="N89" s="328"/>
    </row>
    <row r="90" spans="1:17" ht="20.149999999999999" customHeight="1" x14ac:dyDescent="0.35">
      <c r="A90" s="329">
        <v>32</v>
      </c>
      <c r="B90" s="321">
        <v>76</v>
      </c>
      <c r="C90" s="336" t="s">
        <v>256</v>
      </c>
      <c r="D90" s="940">
        <v>0.30199999999999999</v>
      </c>
      <c r="E90" s="323">
        <v>0.2</v>
      </c>
      <c r="F90" s="323">
        <v>0.30199999999999999</v>
      </c>
      <c r="G90" s="323">
        <v>0</v>
      </c>
      <c r="H90" s="323">
        <v>0</v>
      </c>
      <c r="I90" s="323">
        <f>D90-F90</f>
        <v>0</v>
      </c>
      <c r="J90" s="325" t="s">
        <v>12</v>
      </c>
      <c r="K90" s="323">
        <f t="shared" si="5"/>
        <v>0.30199999999999999</v>
      </c>
      <c r="L90" s="326" t="s">
        <v>425</v>
      </c>
      <c r="M90" s="350" t="s">
        <v>862</v>
      </c>
      <c r="N90" s="328"/>
    </row>
    <row r="91" spans="1:17" s="317" customFormat="1" ht="20.149999999999999" customHeight="1" x14ac:dyDescent="0.35">
      <c r="B91" s="373"/>
      <c r="C91" s="374" t="s">
        <v>341</v>
      </c>
      <c r="D91" s="407">
        <f t="shared" ref="D91:I91" si="8">SUM(D59:D90)</f>
        <v>110.607</v>
      </c>
      <c r="E91" s="375">
        <f t="shared" si="8"/>
        <v>107.84999999999998</v>
      </c>
      <c r="F91" s="375">
        <f t="shared" si="8"/>
        <v>46.680999999999997</v>
      </c>
      <c r="G91" s="375">
        <f t="shared" si="8"/>
        <v>0</v>
      </c>
      <c r="H91" s="375">
        <f t="shared" si="8"/>
        <v>0</v>
      </c>
      <c r="I91" s="375">
        <f t="shared" si="8"/>
        <v>63.725999999999985</v>
      </c>
      <c r="J91" s="376"/>
      <c r="K91" s="375"/>
      <c r="L91" s="372"/>
      <c r="M91" s="453"/>
      <c r="N91" s="377"/>
      <c r="O91" s="320"/>
    </row>
    <row r="92" spans="1:17" ht="20.149999999999999" customHeight="1" x14ac:dyDescent="0.35">
      <c r="B92" s="321"/>
      <c r="C92" s="330"/>
      <c r="D92" s="330"/>
      <c r="E92" s="323"/>
      <c r="F92" s="323"/>
      <c r="G92" s="323"/>
      <c r="H92" s="323"/>
      <c r="I92" s="323"/>
      <c r="J92" s="325"/>
      <c r="K92" s="323"/>
      <c r="L92" s="326"/>
      <c r="M92" s="363"/>
      <c r="N92" s="328"/>
      <c r="O92" s="331"/>
    </row>
    <row r="93" spans="1:17" s="317" customFormat="1" ht="20.149999999999999" customHeight="1" x14ac:dyDescent="0.35">
      <c r="B93" s="390" t="s">
        <v>342</v>
      </c>
      <c r="C93" s="378"/>
      <c r="D93" s="378"/>
      <c r="E93" s="375"/>
      <c r="F93" s="375"/>
      <c r="G93" s="375"/>
      <c r="H93" s="375"/>
      <c r="I93" s="375"/>
      <c r="J93" s="376"/>
      <c r="K93" s="375"/>
      <c r="L93" s="378"/>
      <c r="M93" s="453"/>
      <c r="N93" s="377"/>
    </row>
    <row r="94" spans="1:17" ht="20.149999999999999" customHeight="1" x14ac:dyDescent="0.35">
      <c r="A94" s="329">
        <v>1</v>
      </c>
      <c r="B94" s="321">
        <v>21</v>
      </c>
      <c r="C94" s="336" t="s">
        <v>241</v>
      </c>
      <c r="D94" s="336"/>
      <c r="E94" s="323">
        <f>'[1]road inventory 2018'!C41</f>
        <v>4.3</v>
      </c>
      <c r="F94" s="323">
        <v>4.3</v>
      </c>
      <c r="G94" s="323">
        <v>0</v>
      </c>
      <c r="H94" s="323">
        <v>0</v>
      </c>
      <c r="I94" s="323">
        <v>0</v>
      </c>
      <c r="J94" s="325" t="s">
        <v>10</v>
      </c>
      <c r="K94" s="323">
        <f t="shared" ref="K94:K120" si="9">SUM(F94:I94)</f>
        <v>4.3</v>
      </c>
      <c r="L94" s="326" t="s">
        <v>345</v>
      </c>
      <c r="M94" s="363"/>
      <c r="N94" s="328">
        <v>4.3</v>
      </c>
      <c r="O94" s="331"/>
      <c r="P94" s="331"/>
      <c r="Q94" s="331"/>
    </row>
    <row r="95" spans="1:17" ht="20.149999999999999" customHeight="1" x14ac:dyDescent="0.35">
      <c r="A95" s="329">
        <v>2</v>
      </c>
      <c r="B95" s="321">
        <v>22</v>
      </c>
      <c r="C95" s="336" t="s">
        <v>225</v>
      </c>
      <c r="D95" s="336"/>
      <c r="E95" s="323">
        <f>'[1]road inventory 2018'!C42</f>
        <v>3.9</v>
      </c>
      <c r="F95" s="323">
        <v>0</v>
      </c>
      <c r="G95" s="323">
        <v>0</v>
      </c>
      <c r="H95" s="323">
        <v>0</v>
      </c>
      <c r="I95" s="323">
        <v>3.9</v>
      </c>
      <c r="J95" s="325" t="s">
        <v>33</v>
      </c>
      <c r="K95" s="323">
        <f t="shared" si="9"/>
        <v>3.9</v>
      </c>
      <c r="L95" s="326" t="s">
        <v>346</v>
      </c>
      <c r="M95" s="363"/>
      <c r="N95" s="328"/>
    </row>
    <row r="96" spans="1:17" ht="20.149999999999999" customHeight="1" x14ac:dyDescent="0.35">
      <c r="A96" s="329">
        <v>3</v>
      </c>
      <c r="B96" s="321">
        <v>23</v>
      </c>
      <c r="C96" s="336" t="s">
        <v>237</v>
      </c>
      <c r="D96" s="336"/>
      <c r="E96" s="323">
        <f>'[1]road inventory 2018'!C43</f>
        <v>4.3</v>
      </c>
      <c r="F96" s="323">
        <v>2.9</v>
      </c>
      <c r="G96" s="323">
        <v>0</v>
      </c>
      <c r="H96" s="323">
        <v>0</v>
      </c>
      <c r="I96" s="323">
        <v>1.4</v>
      </c>
      <c r="J96" s="325" t="s">
        <v>12</v>
      </c>
      <c r="K96" s="323">
        <f t="shared" si="9"/>
        <v>4.3</v>
      </c>
      <c r="L96" s="326" t="s">
        <v>347</v>
      </c>
      <c r="M96" s="363"/>
      <c r="N96" s="328"/>
    </row>
    <row r="97" spans="1:14" ht="20.149999999999999" customHeight="1" x14ac:dyDescent="0.35">
      <c r="A97" s="329">
        <v>4</v>
      </c>
      <c r="B97" s="321">
        <v>24</v>
      </c>
      <c r="C97" s="336" t="s">
        <v>236</v>
      </c>
      <c r="D97" s="336"/>
      <c r="E97" s="323">
        <v>7.9</v>
      </c>
      <c r="F97" s="323">
        <v>7.9</v>
      </c>
      <c r="G97" s="323">
        <v>0</v>
      </c>
      <c r="H97" s="323">
        <v>0</v>
      </c>
      <c r="I97" s="323">
        <v>0</v>
      </c>
      <c r="J97" s="325" t="s">
        <v>12</v>
      </c>
      <c r="K97" s="323">
        <f t="shared" si="9"/>
        <v>7.9</v>
      </c>
      <c r="L97" s="326" t="s">
        <v>347</v>
      </c>
      <c r="M97" s="363"/>
      <c r="N97" s="328"/>
    </row>
    <row r="98" spans="1:14" ht="20.149999999999999" customHeight="1" x14ac:dyDescent="0.35">
      <c r="A98" s="329">
        <v>5</v>
      </c>
      <c r="B98" s="321">
        <v>25</v>
      </c>
      <c r="C98" s="336" t="s">
        <v>30</v>
      </c>
      <c r="D98" s="336"/>
      <c r="E98" s="323">
        <f>'[1]road inventory 2018'!C45</f>
        <v>1.7</v>
      </c>
      <c r="F98" s="323">
        <v>0</v>
      </c>
      <c r="G98" s="323">
        <v>0</v>
      </c>
      <c r="H98" s="323">
        <v>0</v>
      </c>
      <c r="I98" s="323">
        <v>1.7</v>
      </c>
      <c r="J98" s="325" t="s">
        <v>12</v>
      </c>
      <c r="K98" s="323">
        <f t="shared" si="9"/>
        <v>1.7</v>
      </c>
      <c r="L98" s="326" t="s">
        <v>348</v>
      </c>
      <c r="M98" s="363"/>
      <c r="N98" s="328"/>
    </row>
    <row r="99" spans="1:14" ht="20.149999999999999" customHeight="1" x14ac:dyDescent="0.35">
      <c r="A99" s="329">
        <v>6</v>
      </c>
      <c r="B99" s="321">
        <v>26</v>
      </c>
      <c r="C99" s="336" t="s">
        <v>350</v>
      </c>
      <c r="D99" s="336"/>
      <c r="E99" s="323">
        <f>'[1]road inventory 2018'!C46</f>
        <v>5.9</v>
      </c>
      <c r="F99" s="323">
        <v>1.85</v>
      </c>
      <c r="G99" s="323">
        <v>0</v>
      </c>
      <c r="H99" s="323">
        <v>0</v>
      </c>
      <c r="I99" s="323">
        <v>4.05</v>
      </c>
      <c r="J99" s="326" t="s">
        <v>10</v>
      </c>
      <c r="K99" s="323">
        <f t="shared" si="9"/>
        <v>5.9</v>
      </c>
      <c r="L99" s="326" t="s">
        <v>348</v>
      </c>
      <c r="M99" s="363"/>
      <c r="N99" s="328">
        <v>1.85</v>
      </c>
    </row>
    <row r="100" spans="1:14" ht="20.149999999999999" customHeight="1" x14ac:dyDescent="0.35">
      <c r="A100" s="329">
        <v>7</v>
      </c>
      <c r="B100" s="321">
        <v>27</v>
      </c>
      <c r="C100" s="336" t="s">
        <v>224</v>
      </c>
      <c r="D100" s="336"/>
      <c r="E100" s="323">
        <f>'[1]road inventory 2018'!C47</f>
        <v>1.9</v>
      </c>
      <c r="F100" s="323">
        <v>0.28000000000000003</v>
      </c>
      <c r="G100" s="323">
        <v>0</v>
      </c>
      <c r="H100" s="323">
        <v>0</v>
      </c>
      <c r="I100" s="323">
        <v>1.62</v>
      </c>
      <c r="J100" s="325" t="s">
        <v>12</v>
      </c>
      <c r="K100" s="323">
        <f t="shared" si="9"/>
        <v>1.9000000000000001</v>
      </c>
      <c r="L100" s="326" t="s">
        <v>351</v>
      </c>
      <c r="M100" s="363"/>
      <c r="N100" s="328"/>
    </row>
    <row r="101" spans="1:14" ht="20.149999999999999" customHeight="1" x14ac:dyDescent="0.35">
      <c r="A101" s="329">
        <v>8</v>
      </c>
      <c r="B101" s="321">
        <v>28</v>
      </c>
      <c r="C101" s="336" t="s">
        <v>233</v>
      </c>
      <c r="D101" s="336"/>
      <c r="E101" s="323">
        <f>'[1]road inventory 2018'!C48</f>
        <v>5.6</v>
      </c>
      <c r="F101" s="323">
        <v>1.55</v>
      </c>
      <c r="G101" s="323">
        <v>0</v>
      </c>
      <c r="H101" s="323">
        <v>0</v>
      </c>
      <c r="I101" s="323">
        <v>4.05</v>
      </c>
      <c r="J101" s="325" t="s">
        <v>33</v>
      </c>
      <c r="K101" s="323">
        <f t="shared" si="9"/>
        <v>5.6</v>
      </c>
      <c r="L101" s="326" t="s">
        <v>352</v>
      </c>
      <c r="M101" s="363"/>
      <c r="N101" s="328"/>
    </row>
    <row r="102" spans="1:14" ht="20.149999999999999" customHeight="1" x14ac:dyDescent="0.35">
      <c r="A102" s="329">
        <v>9</v>
      </c>
      <c r="B102" s="321">
        <v>29</v>
      </c>
      <c r="C102" s="336" t="s">
        <v>239</v>
      </c>
      <c r="D102" s="336"/>
      <c r="E102" s="323">
        <f>'[1]road inventory 2018'!C49</f>
        <v>0.8</v>
      </c>
      <c r="F102" s="323">
        <v>0.8</v>
      </c>
      <c r="G102" s="323">
        <v>0</v>
      </c>
      <c r="H102" s="323">
        <v>0</v>
      </c>
      <c r="I102" s="323">
        <v>0</v>
      </c>
      <c r="J102" s="325" t="s">
        <v>12</v>
      </c>
      <c r="K102" s="323">
        <f t="shared" si="9"/>
        <v>0.8</v>
      </c>
      <c r="L102" s="326" t="s">
        <v>353</v>
      </c>
      <c r="M102" s="363"/>
      <c r="N102" s="328"/>
    </row>
    <row r="103" spans="1:14" ht="20.149999999999999" customHeight="1" x14ac:dyDescent="0.35">
      <c r="A103" s="329">
        <v>10</v>
      </c>
      <c r="B103" s="321">
        <v>30</v>
      </c>
      <c r="C103" s="336" t="s">
        <v>354</v>
      </c>
      <c r="D103" s="336"/>
      <c r="E103" s="323">
        <f>'[1]road inventory 2018'!C50</f>
        <v>2</v>
      </c>
      <c r="F103" s="323">
        <v>0</v>
      </c>
      <c r="G103" s="323">
        <v>0</v>
      </c>
      <c r="H103" s="323">
        <v>0</v>
      </c>
      <c r="I103" s="323">
        <v>2</v>
      </c>
      <c r="J103" s="325" t="s">
        <v>10</v>
      </c>
      <c r="K103" s="323">
        <f t="shared" si="9"/>
        <v>2</v>
      </c>
      <c r="L103" s="326" t="s">
        <v>355</v>
      </c>
      <c r="M103" s="363"/>
      <c r="N103" s="328" t="s">
        <v>753</v>
      </c>
    </row>
    <row r="104" spans="1:14" ht="20.149999999999999" customHeight="1" x14ac:dyDescent="0.35">
      <c r="A104" s="329">
        <v>11</v>
      </c>
      <c r="B104" s="321">
        <v>106</v>
      </c>
      <c r="C104" s="336" t="s">
        <v>238</v>
      </c>
      <c r="D104" s="336"/>
      <c r="E104" s="323">
        <f>'[1]road inventory 2018'!C51</f>
        <v>3.2</v>
      </c>
      <c r="F104" s="323">
        <v>3.2</v>
      </c>
      <c r="G104" s="323">
        <v>0</v>
      </c>
      <c r="H104" s="323">
        <v>0</v>
      </c>
      <c r="I104" s="323">
        <v>0</v>
      </c>
      <c r="J104" s="325" t="s">
        <v>10</v>
      </c>
      <c r="K104" s="323">
        <f t="shared" si="9"/>
        <v>3.2</v>
      </c>
      <c r="L104" s="326" t="s">
        <v>358</v>
      </c>
      <c r="M104" s="363"/>
      <c r="N104" s="328"/>
    </row>
    <row r="105" spans="1:14" ht="20.149999999999999" customHeight="1" x14ac:dyDescent="0.35">
      <c r="A105" s="329">
        <v>12</v>
      </c>
      <c r="B105" s="321">
        <v>31</v>
      </c>
      <c r="C105" s="336" t="s">
        <v>359</v>
      </c>
      <c r="D105" s="336"/>
      <c r="E105" s="323">
        <f>'[1]road inventory 2018'!C52</f>
        <v>0.8</v>
      </c>
      <c r="F105" s="323">
        <v>0.8</v>
      </c>
      <c r="G105" s="323">
        <v>0</v>
      </c>
      <c r="H105" s="323">
        <v>0</v>
      </c>
      <c r="I105" s="323">
        <v>0</v>
      </c>
      <c r="J105" s="325" t="s">
        <v>12</v>
      </c>
      <c r="K105" s="323">
        <f t="shared" si="9"/>
        <v>0.8</v>
      </c>
      <c r="L105" s="326" t="s">
        <v>360</v>
      </c>
      <c r="M105" s="363"/>
      <c r="N105" s="328"/>
    </row>
    <row r="106" spans="1:14" ht="20.149999999999999" customHeight="1" x14ac:dyDescent="0.35">
      <c r="A106" s="329">
        <v>13</v>
      </c>
      <c r="B106" s="321">
        <v>32</v>
      </c>
      <c r="C106" s="336" t="s">
        <v>232</v>
      </c>
      <c r="D106" s="336"/>
      <c r="E106" s="323">
        <f>'[1]road inventory 2018'!C53</f>
        <v>3</v>
      </c>
      <c r="F106" s="323">
        <v>0</v>
      </c>
      <c r="G106" s="323">
        <v>0</v>
      </c>
      <c r="H106" s="323">
        <v>0</v>
      </c>
      <c r="I106" s="323">
        <v>3</v>
      </c>
      <c r="J106" s="325" t="s">
        <v>41</v>
      </c>
      <c r="K106" s="323">
        <f t="shared" si="9"/>
        <v>3</v>
      </c>
      <c r="L106" s="326" t="s">
        <v>361</v>
      </c>
      <c r="M106" s="363"/>
      <c r="N106" s="328"/>
    </row>
    <row r="107" spans="1:14" ht="20.149999999999999" customHeight="1" x14ac:dyDescent="0.35">
      <c r="A107" s="329">
        <v>14</v>
      </c>
      <c r="B107" s="321">
        <v>33</v>
      </c>
      <c r="C107" s="336" t="s">
        <v>34</v>
      </c>
      <c r="D107" s="336"/>
      <c r="E107" s="323">
        <f>'[1]road inventory 2018'!C54</f>
        <v>2.4</v>
      </c>
      <c r="F107" s="323">
        <v>0</v>
      </c>
      <c r="G107" s="323">
        <v>0</v>
      </c>
      <c r="H107" s="323">
        <v>0</v>
      </c>
      <c r="I107" s="323">
        <v>2.4</v>
      </c>
      <c r="J107" s="326" t="s">
        <v>33</v>
      </c>
      <c r="K107" s="323">
        <f t="shared" si="9"/>
        <v>2.4</v>
      </c>
      <c r="L107" s="326" t="s">
        <v>362</v>
      </c>
      <c r="M107" s="363"/>
      <c r="N107" s="328"/>
    </row>
    <row r="108" spans="1:14" ht="20.149999999999999" customHeight="1" x14ac:dyDescent="0.35">
      <c r="A108" s="329">
        <v>15</v>
      </c>
      <c r="B108" s="321">
        <v>34</v>
      </c>
      <c r="C108" s="336" t="s">
        <v>235</v>
      </c>
      <c r="D108" s="336"/>
      <c r="E108" s="323">
        <f>'[1]road inventory 2018'!C55</f>
        <v>4.2</v>
      </c>
      <c r="F108" s="323">
        <v>0</v>
      </c>
      <c r="G108" s="323">
        <v>0</v>
      </c>
      <c r="H108" s="323">
        <v>0</v>
      </c>
      <c r="I108" s="323">
        <v>4.2</v>
      </c>
      <c r="J108" s="325" t="s">
        <v>41</v>
      </c>
      <c r="K108" s="323">
        <f t="shared" si="9"/>
        <v>4.2</v>
      </c>
      <c r="L108" s="326" t="s">
        <v>363</v>
      </c>
      <c r="M108" s="363"/>
      <c r="N108" s="328"/>
    </row>
    <row r="109" spans="1:14" ht="20.149999999999999" customHeight="1" x14ac:dyDescent="0.35">
      <c r="A109" s="329">
        <v>16</v>
      </c>
      <c r="B109" s="321">
        <v>35</v>
      </c>
      <c r="C109" s="336" t="s">
        <v>364</v>
      </c>
      <c r="D109" s="336"/>
      <c r="E109" s="323">
        <f>'[1]road inventory 2018'!C56</f>
        <v>3</v>
      </c>
      <c r="F109" s="323">
        <f>0.4+0.31+0.1</f>
        <v>0.80999999999999994</v>
      </c>
      <c r="G109" s="323">
        <v>0</v>
      </c>
      <c r="H109" s="323">
        <v>0</v>
      </c>
      <c r="I109" s="323">
        <v>2.19</v>
      </c>
      <c r="J109" s="325" t="s">
        <v>12</v>
      </c>
      <c r="K109" s="323">
        <f t="shared" si="9"/>
        <v>3</v>
      </c>
      <c r="L109" s="326" t="s">
        <v>365</v>
      </c>
      <c r="M109" s="363"/>
      <c r="N109" s="328"/>
    </row>
    <row r="110" spans="1:14" ht="20.149999999999999" customHeight="1" x14ac:dyDescent="0.35">
      <c r="A110" s="329">
        <v>17</v>
      </c>
      <c r="B110" s="321">
        <v>36</v>
      </c>
      <c r="C110" s="336" t="s">
        <v>366</v>
      </c>
      <c r="D110" s="336"/>
      <c r="E110" s="323">
        <f>'[1]road inventory 2018'!C57</f>
        <v>6.2</v>
      </c>
      <c r="F110" s="323">
        <v>0</v>
      </c>
      <c r="G110" s="323">
        <v>0</v>
      </c>
      <c r="H110" s="323">
        <v>0</v>
      </c>
      <c r="I110" s="323">
        <v>6.2</v>
      </c>
      <c r="J110" s="325" t="s">
        <v>12</v>
      </c>
      <c r="K110" s="323">
        <f t="shared" si="9"/>
        <v>6.2</v>
      </c>
      <c r="L110" s="326" t="s">
        <v>367</v>
      </c>
      <c r="M110" s="363"/>
      <c r="N110" s="328"/>
    </row>
    <row r="111" spans="1:14" ht="20.149999999999999" customHeight="1" x14ac:dyDescent="0.35">
      <c r="A111" s="329">
        <v>18</v>
      </c>
      <c r="B111" s="321">
        <v>37</v>
      </c>
      <c r="C111" s="336" t="s">
        <v>234</v>
      </c>
      <c r="D111" s="336"/>
      <c r="E111" s="323">
        <f>'[1]road inventory 2018'!C58</f>
        <v>1.6</v>
      </c>
      <c r="F111" s="323">
        <v>0</v>
      </c>
      <c r="G111" s="323">
        <v>0</v>
      </c>
      <c r="H111" s="323">
        <v>0</v>
      </c>
      <c r="I111" s="323">
        <v>1.6</v>
      </c>
      <c r="J111" s="325" t="s">
        <v>41</v>
      </c>
      <c r="K111" s="323">
        <f t="shared" si="9"/>
        <v>1.6</v>
      </c>
      <c r="L111" s="326" t="s">
        <v>368</v>
      </c>
      <c r="M111" s="363"/>
      <c r="N111" s="328"/>
    </row>
    <row r="112" spans="1:14" ht="20.149999999999999" customHeight="1" x14ac:dyDescent="0.35">
      <c r="A112" s="329">
        <v>19</v>
      </c>
      <c r="B112" s="321">
        <v>38</v>
      </c>
      <c r="C112" s="336" t="s">
        <v>36</v>
      </c>
      <c r="D112" s="336"/>
      <c r="E112" s="323">
        <f>'[1]road inventory 2018'!C59</f>
        <v>4.4000000000000004</v>
      </c>
      <c r="F112" s="323">
        <v>1.58</v>
      </c>
      <c r="G112" s="323">
        <v>0</v>
      </c>
      <c r="H112" s="323">
        <v>0</v>
      </c>
      <c r="I112" s="323">
        <v>2.82</v>
      </c>
      <c r="J112" s="325" t="s">
        <v>12</v>
      </c>
      <c r="K112" s="323">
        <f t="shared" si="9"/>
        <v>4.4000000000000004</v>
      </c>
      <c r="L112" s="326" t="s">
        <v>369</v>
      </c>
      <c r="M112" s="363"/>
      <c r="N112" s="328">
        <v>1.58</v>
      </c>
    </row>
    <row r="113" spans="1:17" ht="20.149999999999999" customHeight="1" x14ac:dyDescent="0.35">
      <c r="A113" s="329">
        <v>20</v>
      </c>
      <c r="B113" s="321">
        <v>39</v>
      </c>
      <c r="C113" s="336" t="s">
        <v>370</v>
      </c>
      <c r="D113" s="336"/>
      <c r="E113" s="323">
        <f>'[1]road inventory 2018'!C60</f>
        <v>4.9000000000000004</v>
      </c>
      <c r="F113" s="323">
        <v>0.14000000000000001</v>
      </c>
      <c r="G113" s="323">
        <v>0</v>
      </c>
      <c r="H113" s="323">
        <v>0</v>
      </c>
      <c r="I113" s="323">
        <v>4.76</v>
      </c>
      <c r="J113" s="325" t="s">
        <v>12</v>
      </c>
      <c r="K113" s="323">
        <f t="shared" si="9"/>
        <v>4.8999999999999995</v>
      </c>
      <c r="L113" s="326" t="s">
        <v>371</v>
      </c>
      <c r="M113" s="363"/>
      <c r="N113" s="328"/>
    </row>
    <row r="114" spans="1:17" ht="20.149999999999999" customHeight="1" x14ac:dyDescent="0.35">
      <c r="A114" s="329">
        <v>21</v>
      </c>
      <c r="B114" s="321">
        <v>105</v>
      </c>
      <c r="C114" s="336" t="s">
        <v>228</v>
      </c>
      <c r="D114" s="336"/>
      <c r="E114" s="323">
        <f>'[1]road inventory 2018'!C61</f>
        <v>3.6</v>
      </c>
      <c r="F114" s="323">
        <v>0</v>
      </c>
      <c r="G114" s="323">
        <v>0</v>
      </c>
      <c r="H114" s="323">
        <v>0</v>
      </c>
      <c r="I114" s="323">
        <v>3.6</v>
      </c>
      <c r="J114" s="325" t="s">
        <v>12</v>
      </c>
      <c r="K114" s="323">
        <f t="shared" si="9"/>
        <v>3.6</v>
      </c>
      <c r="L114" s="326" t="s">
        <v>372</v>
      </c>
      <c r="M114" s="363"/>
      <c r="N114" s="328"/>
    </row>
    <row r="115" spans="1:17" ht="20.149999999999999" customHeight="1" x14ac:dyDescent="0.35">
      <c r="A115" s="329">
        <v>22</v>
      </c>
      <c r="B115" s="321">
        <v>40</v>
      </c>
      <c r="C115" s="336" t="s">
        <v>231</v>
      </c>
      <c r="D115" s="336"/>
      <c r="E115" s="323">
        <f>'[1]road inventory 2018'!C62</f>
        <v>1.5</v>
      </c>
      <c r="F115" s="323">
        <v>1.1000000000000001</v>
      </c>
      <c r="G115" s="323">
        <v>0</v>
      </c>
      <c r="H115" s="323">
        <v>0</v>
      </c>
      <c r="I115" s="323">
        <v>0.4</v>
      </c>
      <c r="J115" s="325" t="s">
        <v>10</v>
      </c>
      <c r="K115" s="323">
        <f t="shared" si="9"/>
        <v>1.5</v>
      </c>
      <c r="L115" s="326" t="s">
        <v>373</v>
      </c>
      <c r="M115" s="363"/>
      <c r="N115" s="328"/>
    </row>
    <row r="116" spans="1:17" ht="20.149999999999999" customHeight="1" x14ac:dyDescent="0.35">
      <c r="A116" s="329">
        <v>23</v>
      </c>
      <c r="B116" s="321">
        <v>41</v>
      </c>
      <c r="C116" s="336" t="s">
        <v>864</v>
      </c>
      <c r="D116" s="336"/>
      <c r="E116" s="323">
        <f>'[1]road inventory 2018'!C63</f>
        <v>2.8</v>
      </c>
      <c r="F116" s="323">
        <v>0</v>
      </c>
      <c r="G116" s="323">
        <v>0</v>
      </c>
      <c r="H116" s="323">
        <v>0</v>
      </c>
      <c r="I116" s="323">
        <v>2.8</v>
      </c>
      <c r="J116" s="325" t="s">
        <v>12</v>
      </c>
      <c r="K116" s="323">
        <f t="shared" si="9"/>
        <v>2.8</v>
      </c>
      <c r="L116" s="326" t="s">
        <v>374</v>
      </c>
      <c r="M116" s="363"/>
      <c r="N116" s="328"/>
    </row>
    <row r="117" spans="1:17" ht="20.149999999999999" customHeight="1" x14ac:dyDescent="0.35">
      <c r="A117" s="329">
        <v>24</v>
      </c>
      <c r="B117" s="321">
        <v>42</v>
      </c>
      <c r="C117" s="336" t="s">
        <v>227</v>
      </c>
      <c r="D117" s="336"/>
      <c r="E117" s="323">
        <f>'[1]road inventory 2018'!C64</f>
        <v>1.5</v>
      </c>
      <c r="F117" s="323">
        <v>0.17</v>
      </c>
      <c r="G117" s="323">
        <v>0</v>
      </c>
      <c r="H117" s="323">
        <v>0</v>
      </c>
      <c r="I117" s="323">
        <v>1.33</v>
      </c>
      <c r="J117" s="325" t="s">
        <v>33</v>
      </c>
      <c r="K117" s="323">
        <f t="shared" si="9"/>
        <v>1.5</v>
      </c>
      <c r="L117" s="326" t="s">
        <v>375</v>
      </c>
      <c r="M117" s="363"/>
      <c r="N117" s="328"/>
    </row>
    <row r="118" spans="1:17" ht="20.149999999999999" customHeight="1" x14ac:dyDescent="0.35">
      <c r="A118" s="329">
        <v>25</v>
      </c>
      <c r="B118" s="321">
        <v>43</v>
      </c>
      <c r="C118" s="336" t="s">
        <v>226</v>
      </c>
      <c r="D118" s="336"/>
      <c r="E118" s="323">
        <f>'[1]road inventory 2018'!C65</f>
        <v>12.7</v>
      </c>
      <c r="F118" s="323">
        <v>0.16</v>
      </c>
      <c r="G118" s="323">
        <v>0</v>
      </c>
      <c r="H118" s="323">
        <v>0</v>
      </c>
      <c r="I118" s="323">
        <v>12.54</v>
      </c>
      <c r="J118" s="325" t="s">
        <v>41</v>
      </c>
      <c r="K118" s="323">
        <f t="shared" si="9"/>
        <v>12.7</v>
      </c>
      <c r="L118" s="326" t="s">
        <v>376</v>
      </c>
      <c r="M118" s="363"/>
      <c r="N118" s="328"/>
      <c r="Q118" s="331"/>
    </row>
    <row r="119" spans="1:17" ht="20.149999999999999" customHeight="1" x14ac:dyDescent="0.35">
      <c r="A119" s="329">
        <v>26</v>
      </c>
      <c r="B119" s="321">
        <v>44</v>
      </c>
      <c r="C119" s="336" t="s">
        <v>752</v>
      </c>
      <c r="D119" s="336"/>
      <c r="E119" s="323">
        <f>'[1]road inventory 2018'!C66</f>
        <v>5.3</v>
      </c>
      <c r="F119" s="323">
        <v>1.5</v>
      </c>
      <c r="G119" s="323">
        <v>0</v>
      </c>
      <c r="H119" s="323">
        <v>0</v>
      </c>
      <c r="I119" s="323">
        <v>3.8</v>
      </c>
      <c r="J119" s="325" t="s">
        <v>33</v>
      </c>
      <c r="K119" s="323">
        <f t="shared" si="9"/>
        <v>5.3</v>
      </c>
      <c r="L119" s="326" t="s">
        <v>378</v>
      </c>
      <c r="M119" s="350" t="s">
        <v>751</v>
      </c>
      <c r="N119" s="328">
        <v>1.5</v>
      </c>
    </row>
    <row r="120" spans="1:17" ht="20.149999999999999" customHeight="1" x14ac:dyDescent="0.35">
      <c r="A120" s="329">
        <v>27</v>
      </c>
      <c r="B120" s="321">
        <v>104</v>
      </c>
      <c r="C120" s="336" t="s">
        <v>240</v>
      </c>
      <c r="D120" s="336"/>
      <c r="E120" s="323">
        <f>'[1]road inventory 2018'!C67</f>
        <v>3.1</v>
      </c>
      <c r="F120" s="323">
        <v>0</v>
      </c>
      <c r="G120" s="323">
        <v>0</v>
      </c>
      <c r="H120" s="323">
        <v>0</v>
      </c>
      <c r="I120" s="323">
        <v>3.1</v>
      </c>
      <c r="J120" s="325" t="s">
        <v>12</v>
      </c>
      <c r="K120" s="323">
        <f t="shared" si="9"/>
        <v>3.1</v>
      </c>
      <c r="L120" s="326" t="s">
        <v>379</v>
      </c>
      <c r="M120" s="363"/>
      <c r="N120" s="328"/>
    </row>
    <row r="121" spans="1:17" s="317" customFormat="1" ht="20.149999999999999" customHeight="1" x14ac:dyDescent="0.35">
      <c r="B121" s="373"/>
      <c r="C121" s="374" t="s">
        <v>341</v>
      </c>
      <c r="D121" s="374"/>
      <c r="E121" s="375">
        <f>SUM(E94:E120)</f>
        <v>102.5</v>
      </c>
      <c r="F121" s="375">
        <f>SUM(F94:F120)</f>
        <v>29.040000000000003</v>
      </c>
      <c r="G121" s="375">
        <f>SUM(G94:G120)</f>
        <v>0</v>
      </c>
      <c r="H121" s="375">
        <f>SUM(H94:H120)</f>
        <v>0</v>
      </c>
      <c r="I121" s="375">
        <f>SUM(I94:I120)</f>
        <v>73.459999999999994</v>
      </c>
      <c r="J121" s="376"/>
      <c r="K121" s="375"/>
      <c r="L121" s="372"/>
      <c r="M121" s="453"/>
      <c r="N121" s="377"/>
      <c r="O121" s="320"/>
    </row>
    <row r="122" spans="1:17" ht="20.149999999999999" customHeight="1" x14ac:dyDescent="0.35">
      <c r="B122" s="321"/>
      <c r="C122" s="330"/>
      <c r="D122" s="330"/>
      <c r="E122" s="323"/>
      <c r="F122" s="323"/>
      <c r="G122" s="323"/>
      <c r="H122" s="323"/>
      <c r="I122" s="323"/>
      <c r="J122" s="325"/>
      <c r="K122" s="323"/>
      <c r="L122" s="326"/>
      <c r="M122" s="363"/>
      <c r="N122" s="328"/>
      <c r="O122" s="331"/>
    </row>
    <row r="123" spans="1:17" s="317" customFormat="1" ht="20.149999999999999" customHeight="1" x14ac:dyDescent="0.35">
      <c r="B123" s="390" t="s">
        <v>380</v>
      </c>
      <c r="C123" s="378"/>
      <c r="D123" s="378"/>
      <c r="E123" s="375"/>
      <c r="F123" s="375"/>
      <c r="G123" s="375"/>
      <c r="H123" s="375"/>
      <c r="I123" s="375"/>
      <c r="J123" s="376"/>
      <c r="K123" s="375"/>
      <c r="L123" s="378"/>
      <c r="M123" s="453"/>
      <c r="N123" s="377"/>
    </row>
    <row r="124" spans="1:17" ht="20.149999999999999" customHeight="1" x14ac:dyDescent="0.35">
      <c r="A124" s="329">
        <v>1</v>
      </c>
      <c r="B124" s="321">
        <v>107</v>
      </c>
      <c r="C124" s="336" t="s">
        <v>381</v>
      </c>
      <c r="D124" s="336"/>
      <c r="E124" s="323">
        <f>'[1]road inventory 2018'!C73</f>
        <v>2.5</v>
      </c>
      <c r="F124" s="337">
        <f>1.01+1.03</f>
        <v>2.04</v>
      </c>
      <c r="G124" s="337">
        <v>0</v>
      </c>
      <c r="H124" s="337">
        <v>0</v>
      </c>
      <c r="I124" s="323">
        <v>0.46</v>
      </c>
      <c r="J124" s="325" t="s">
        <v>33</v>
      </c>
      <c r="K124" s="323">
        <f t="shared" ref="K124:K130" si="10">SUM(F124:I124)</f>
        <v>2.5</v>
      </c>
      <c r="L124" s="326" t="s">
        <v>382</v>
      </c>
      <c r="M124" s="363"/>
      <c r="N124" s="328"/>
    </row>
    <row r="125" spans="1:17" ht="20.149999999999999" customHeight="1" x14ac:dyDescent="0.35">
      <c r="A125" s="329">
        <v>2</v>
      </c>
      <c r="B125" s="321">
        <v>102</v>
      </c>
      <c r="C125" s="336" t="s">
        <v>242</v>
      </c>
      <c r="D125" s="336"/>
      <c r="E125" s="323">
        <f>'[1]road inventory 2018'!C74</f>
        <v>1.3</v>
      </c>
      <c r="F125" s="337">
        <v>0.27</v>
      </c>
      <c r="G125" s="337">
        <v>0</v>
      </c>
      <c r="H125" s="337">
        <v>0</v>
      </c>
      <c r="I125" s="323">
        <v>1.03</v>
      </c>
      <c r="J125" s="325" t="s">
        <v>33</v>
      </c>
      <c r="K125" s="323">
        <f t="shared" si="10"/>
        <v>1.3</v>
      </c>
      <c r="L125" s="326" t="s">
        <v>383</v>
      </c>
      <c r="M125" s="363"/>
      <c r="N125" s="328"/>
    </row>
    <row r="126" spans="1:17" ht="20.149999999999999" customHeight="1" x14ac:dyDescent="0.35">
      <c r="A126" s="329">
        <v>3</v>
      </c>
      <c r="B126" s="321">
        <v>101</v>
      </c>
      <c r="C126" s="336" t="s">
        <v>384</v>
      </c>
      <c r="D126" s="336"/>
      <c r="E126" s="323">
        <v>0.6</v>
      </c>
      <c r="F126" s="337">
        <v>0</v>
      </c>
      <c r="G126" s="337">
        <v>0</v>
      </c>
      <c r="H126" s="337">
        <v>0</v>
      </c>
      <c r="I126" s="323">
        <v>0.6</v>
      </c>
      <c r="J126" s="325" t="s">
        <v>33</v>
      </c>
      <c r="K126" s="323">
        <f t="shared" si="10"/>
        <v>0.6</v>
      </c>
      <c r="L126" s="326"/>
      <c r="M126" s="363"/>
      <c r="N126" s="328"/>
    </row>
    <row r="127" spans="1:17" ht="20.149999999999999" customHeight="1" x14ac:dyDescent="0.35">
      <c r="A127" s="329">
        <v>4</v>
      </c>
      <c r="B127" s="321">
        <v>47</v>
      </c>
      <c r="C127" s="336" t="s">
        <v>38</v>
      </c>
      <c r="D127" s="336"/>
      <c r="E127" s="323">
        <f>'[1]road inventory 2018'!C76</f>
        <v>17</v>
      </c>
      <c r="F127" s="323">
        <f>1.03+0.2+0.08</f>
        <v>1.31</v>
      </c>
      <c r="G127" s="337">
        <v>0</v>
      </c>
      <c r="H127" s="337">
        <v>0</v>
      </c>
      <c r="I127" s="323">
        <v>15.69</v>
      </c>
      <c r="J127" s="325" t="s">
        <v>41</v>
      </c>
      <c r="K127" s="323">
        <f t="shared" si="10"/>
        <v>17</v>
      </c>
      <c r="L127" s="326" t="s">
        <v>387</v>
      </c>
      <c r="M127" s="363"/>
      <c r="N127" s="328"/>
    </row>
    <row r="128" spans="1:17" ht="20.149999999999999" customHeight="1" x14ac:dyDescent="0.35">
      <c r="A128" s="329">
        <v>5</v>
      </c>
      <c r="B128" s="321">
        <v>48</v>
      </c>
      <c r="C128" s="336" t="s">
        <v>388</v>
      </c>
      <c r="D128" s="336"/>
      <c r="E128" s="323">
        <f>'[1]road inventory 2018'!C77</f>
        <v>2.6</v>
      </c>
      <c r="F128" s="337">
        <v>0</v>
      </c>
      <c r="G128" s="337">
        <v>0</v>
      </c>
      <c r="H128" s="337">
        <v>0</v>
      </c>
      <c r="I128" s="323">
        <v>2.6</v>
      </c>
      <c r="J128" s="325" t="s">
        <v>33</v>
      </c>
      <c r="K128" s="323">
        <f t="shared" si="10"/>
        <v>2.6</v>
      </c>
      <c r="L128" s="326" t="s">
        <v>389</v>
      </c>
      <c r="M128" s="363"/>
      <c r="N128" s="328"/>
    </row>
    <row r="129" spans="1:15" ht="20.149999999999999" customHeight="1" x14ac:dyDescent="0.35">
      <c r="A129" s="329">
        <v>6</v>
      </c>
      <c r="B129" s="321">
        <v>90</v>
      </c>
      <c r="C129" s="336" t="s">
        <v>390</v>
      </c>
      <c r="D129" s="336" t="s">
        <v>863</v>
      </c>
      <c r="E129" s="323">
        <f>'[1]road inventory 2018'!C78</f>
        <v>4.3499999999999996</v>
      </c>
      <c r="F129" s="337">
        <v>0</v>
      </c>
      <c r="G129" s="337">
        <v>0</v>
      </c>
      <c r="H129" s="337">
        <v>0</v>
      </c>
      <c r="I129" s="323">
        <v>4.3499999999999996</v>
      </c>
      <c r="J129" s="325" t="s">
        <v>33</v>
      </c>
      <c r="K129" s="323">
        <f t="shared" si="10"/>
        <v>4.3499999999999996</v>
      </c>
      <c r="L129" s="326" t="s">
        <v>391</v>
      </c>
      <c r="M129" s="363"/>
      <c r="N129" s="328"/>
    </row>
    <row r="130" spans="1:15" ht="20.149999999999999" customHeight="1" x14ac:dyDescent="0.35">
      <c r="A130" s="329">
        <v>7</v>
      </c>
      <c r="B130" s="321">
        <v>99</v>
      </c>
      <c r="C130" s="336" t="s">
        <v>392</v>
      </c>
      <c r="D130" s="336"/>
      <c r="E130" s="323">
        <f>'[1]road inventory 2018'!C79</f>
        <v>14.1</v>
      </c>
      <c r="F130" s="323">
        <f>1.1+1</f>
        <v>2.1</v>
      </c>
      <c r="G130" s="323">
        <v>0</v>
      </c>
      <c r="H130" s="323">
        <v>0</v>
      </c>
      <c r="I130" s="323">
        <f>1.08+1.01+1.08+1+1.01+1.1+1.07+0.94+1.02+1.05+1.04+0.64-0.04</f>
        <v>12</v>
      </c>
      <c r="J130" s="325" t="s">
        <v>33</v>
      </c>
      <c r="K130" s="323">
        <f t="shared" si="10"/>
        <v>14.1</v>
      </c>
      <c r="L130" s="326" t="s">
        <v>393</v>
      </c>
      <c r="M130" s="363"/>
      <c r="N130" s="328">
        <v>2.1</v>
      </c>
    </row>
    <row r="131" spans="1:15" s="317" customFormat="1" ht="20.149999999999999" customHeight="1" x14ac:dyDescent="0.35">
      <c r="B131" s="373"/>
      <c r="C131" s="374" t="s">
        <v>341</v>
      </c>
      <c r="D131" s="374"/>
      <c r="E131" s="375">
        <f>SUM(E124:E130)</f>
        <v>42.45</v>
      </c>
      <c r="F131" s="375">
        <f>SUM(F124:F130)</f>
        <v>5.7200000000000006</v>
      </c>
      <c r="G131" s="375">
        <f>SUM(G124:G130)</f>
        <v>0</v>
      </c>
      <c r="H131" s="375">
        <f>SUM(H124:H130)</f>
        <v>0</v>
      </c>
      <c r="I131" s="375">
        <f>SUM(I124:I130)</f>
        <v>36.730000000000004</v>
      </c>
      <c r="J131" s="376"/>
      <c r="K131" s="375"/>
      <c r="L131" s="372"/>
      <c r="M131" s="453"/>
      <c r="N131" s="377"/>
      <c r="O131" s="320"/>
    </row>
    <row r="132" spans="1:15" ht="20.149999999999999" customHeight="1" x14ac:dyDescent="0.35">
      <c r="B132" s="321"/>
      <c r="C132" s="330"/>
      <c r="D132" s="330"/>
      <c r="E132" s="323"/>
      <c r="F132" s="323"/>
      <c r="G132" s="323"/>
      <c r="H132" s="323"/>
      <c r="I132" s="323"/>
      <c r="J132" s="325"/>
      <c r="K132" s="323"/>
      <c r="L132" s="326"/>
      <c r="M132" s="363"/>
      <c r="N132" s="328"/>
      <c r="O132" s="331"/>
    </row>
    <row r="133" spans="1:15" s="317" customFormat="1" ht="20.149999999999999" customHeight="1" x14ac:dyDescent="0.35">
      <c r="B133" s="390" t="s">
        <v>394</v>
      </c>
      <c r="C133" s="378"/>
      <c r="D133" s="378"/>
      <c r="E133" s="375"/>
      <c r="F133" s="375"/>
      <c r="G133" s="375"/>
      <c r="H133" s="375"/>
      <c r="I133" s="375"/>
      <c r="J133" s="376"/>
      <c r="K133" s="375"/>
      <c r="L133" s="378"/>
      <c r="M133" s="453"/>
      <c r="N133" s="377"/>
    </row>
    <row r="134" spans="1:15" s="327" customFormat="1" ht="20.149999999999999" customHeight="1" x14ac:dyDescent="0.35">
      <c r="A134" s="327">
        <v>1</v>
      </c>
      <c r="B134" s="338">
        <v>108</v>
      </c>
      <c r="C134" s="336" t="s">
        <v>395</v>
      </c>
      <c r="D134" s="336"/>
      <c r="E134" s="339">
        <f>'[1]road inventory 2018'!C86</f>
        <v>3.1</v>
      </c>
      <c r="F134" s="340">
        <v>0.48</v>
      </c>
      <c r="G134" s="340">
        <v>0</v>
      </c>
      <c r="H134" s="340">
        <v>0</v>
      </c>
      <c r="I134" s="339">
        <v>2.62</v>
      </c>
      <c r="J134" s="326" t="s">
        <v>33</v>
      </c>
      <c r="K134" s="323">
        <f>SUM(F134:I134)</f>
        <v>3.1</v>
      </c>
      <c r="L134" s="326" t="s">
        <v>396</v>
      </c>
      <c r="M134" s="455"/>
      <c r="N134" s="341"/>
    </row>
    <row r="135" spans="1:15" s="317" customFormat="1" ht="20.149999999999999" customHeight="1" x14ac:dyDescent="0.35">
      <c r="B135" s="373"/>
      <c r="C135" s="374" t="s">
        <v>341</v>
      </c>
      <c r="D135" s="374"/>
      <c r="E135" s="375">
        <f>SUM(E134)</f>
        <v>3.1</v>
      </c>
      <c r="F135" s="375">
        <f>SUM(F134)</f>
        <v>0.48</v>
      </c>
      <c r="G135" s="375">
        <f>SUM(G134)</f>
        <v>0</v>
      </c>
      <c r="H135" s="375">
        <f>SUM(H134)</f>
        <v>0</v>
      </c>
      <c r="I135" s="375">
        <f>SUM(I134)</f>
        <v>2.62</v>
      </c>
      <c r="J135" s="376"/>
      <c r="K135" s="375"/>
      <c r="L135" s="372"/>
      <c r="M135" s="453"/>
      <c r="N135" s="377"/>
      <c r="O135" s="320"/>
    </row>
    <row r="136" spans="1:15" ht="20.149999999999999" customHeight="1" x14ac:dyDescent="0.35">
      <c r="B136" s="321"/>
      <c r="C136" s="330"/>
      <c r="D136" s="330"/>
      <c r="E136" s="323"/>
      <c r="F136" s="323"/>
      <c r="G136" s="323"/>
      <c r="H136" s="323"/>
      <c r="I136" s="323"/>
      <c r="J136" s="325"/>
      <c r="K136" s="323"/>
      <c r="L136" s="326"/>
      <c r="M136" s="363"/>
      <c r="N136" s="328"/>
      <c r="O136" s="331"/>
    </row>
    <row r="137" spans="1:15" s="317" customFormat="1" ht="20.149999999999999" customHeight="1" x14ac:dyDescent="0.35">
      <c r="B137" s="390" t="s">
        <v>397</v>
      </c>
      <c r="C137" s="378"/>
      <c r="D137" s="378"/>
      <c r="E137" s="375"/>
      <c r="F137" s="375"/>
      <c r="G137" s="375"/>
      <c r="H137" s="375"/>
      <c r="I137" s="375"/>
      <c r="J137" s="376"/>
      <c r="K137" s="375"/>
      <c r="L137" s="378"/>
      <c r="M137" s="453"/>
      <c r="N137" s="377"/>
    </row>
    <row r="138" spans="1:15" ht="20.149999999999999" customHeight="1" x14ac:dyDescent="0.35">
      <c r="A138" s="329">
        <v>1</v>
      </c>
      <c r="B138" s="321">
        <v>223</v>
      </c>
      <c r="C138" s="336" t="s">
        <v>42</v>
      </c>
      <c r="D138" s="336"/>
      <c r="E138" s="323">
        <f>'[1]road inventory 2018'!C93</f>
        <v>4.0999999999999996</v>
      </c>
      <c r="F138" s="323">
        <v>0</v>
      </c>
      <c r="G138" s="323">
        <v>0</v>
      </c>
      <c r="H138" s="323">
        <v>0</v>
      </c>
      <c r="I138" s="323">
        <v>4.0999999999999996</v>
      </c>
      <c r="J138" s="325" t="s">
        <v>33</v>
      </c>
      <c r="K138" s="323">
        <f t="shared" ref="K138:K147" si="11">SUM(F138:I138)</f>
        <v>4.0999999999999996</v>
      </c>
      <c r="L138" s="326" t="s">
        <v>398</v>
      </c>
      <c r="M138" s="363"/>
      <c r="N138" s="328"/>
    </row>
    <row r="139" spans="1:15" ht="20.149999999999999" customHeight="1" x14ac:dyDescent="0.35">
      <c r="A139" s="329">
        <v>2</v>
      </c>
      <c r="B139" s="321">
        <v>224</v>
      </c>
      <c r="C139" s="336" t="s">
        <v>44</v>
      </c>
      <c r="D139" s="336"/>
      <c r="E139" s="323">
        <f>'[1]road inventory 2018'!C94</f>
        <v>7.2</v>
      </c>
      <c r="F139" s="323">
        <f>2.25+0.06+0.9</f>
        <v>3.21</v>
      </c>
      <c r="G139" s="323">
        <v>0</v>
      </c>
      <c r="H139" s="323">
        <v>0</v>
      </c>
      <c r="I139" s="323">
        <v>3.99</v>
      </c>
      <c r="J139" s="325" t="s">
        <v>33</v>
      </c>
      <c r="K139" s="323">
        <f t="shared" si="11"/>
        <v>7.2</v>
      </c>
      <c r="L139" s="326" t="s">
        <v>399</v>
      </c>
      <c r="M139" s="363" t="s">
        <v>750</v>
      </c>
      <c r="N139" s="328">
        <v>2</v>
      </c>
    </row>
    <row r="140" spans="1:15" ht="20.149999999999999" customHeight="1" x14ac:dyDescent="0.35">
      <c r="A140" s="329">
        <v>3</v>
      </c>
      <c r="B140" s="321">
        <v>45</v>
      </c>
      <c r="C140" s="336" t="s">
        <v>400</v>
      </c>
      <c r="D140" s="336"/>
      <c r="E140" s="323">
        <f>'[1]road inventory 2018'!C95</f>
        <v>7.8999999999999995</v>
      </c>
      <c r="F140" s="323">
        <v>0.71</v>
      </c>
      <c r="G140" s="323">
        <v>0</v>
      </c>
      <c r="H140" s="323">
        <v>0</v>
      </c>
      <c r="I140" s="323">
        <v>7.19</v>
      </c>
      <c r="J140" s="325" t="s">
        <v>33</v>
      </c>
      <c r="K140" s="323">
        <f t="shared" si="11"/>
        <v>7.9</v>
      </c>
      <c r="L140" s="326" t="s">
        <v>401</v>
      </c>
      <c r="M140" s="363"/>
      <c r="N140" s="328"/>
    </row>
    <row r="141" spans="1:15" ht="20.149999999999999" customHeight="1" x14ac:dyDescent="0.35">
      <c r="A141" s="329">
        <v>4</v>
      </c>
      <c r="B141" s="321">
        <v>217</v>
      </c>
      <c r="C141" s="336" t="s">
        <v>243</v>
      </c>
      <c r="D141" s="336"/>
      <c r="E141" s="323">
        <f>'[1]road inventory 2018'!C96</f>
        <v>1.1000000000000001</v>
      </c>
      <c r="F141" s="323">
        <v>1.1000000000000001</v>
      </c>
      <c r="G141" s="323">
        <v>0</v>
      </c>
      <c r="H141" s="323">
        <v>0</v>
      </c>
      <c r="I141" s="323">
        <v>0</v>
      </c>
      <c r="J141" s="325" t="s">
        <v>10</v>
      </c>
      <c r="K141" s="323">
        <f t="shared" si="11"/>
        <v>1.1000000000000001</v>
      </c>
      <c r="L141" s="326" t="s">
        <v>402</v>
      </c>
      <c r="M141" s="363"/>
      <c r="N141" s="328"/>
    </row>
    <row r="142" spans="1:15" ht="20.149999999999999" customHeight="1" x14ac:dyDescent="0.35">
      <c r="A142" s="329">
        <v>5</v>
      </c>
      <c r="B142" s="321">
        <v>225</v>
      </c>
      <c r="C142" s="336" t="s">
        <v>403</v>
      </c>
      <c r="D142" s="336"/>
      <c r="E142" s="323">
        <f>'[1]road inventory 2018'!C97</f>
        <v>0.4</v>
      </c>
      <c r="F142" s="323">
        <v>0</v>
      </c>
      <c r="G142" s="323">
        <v>0</v>
      </c>
      <c r="H142" s="323">
        <v>0</v>
      </c>
      <c r="I142" s="323">
        <v>0.4</v>
      </c>
      <c r="J142" s="325" t="s">
        <v>33</v>
      </c>
      <c r="K142" s="323">
        <f t="shared" si="11"/>
        <v>0.4</v>
      </c>
      <c r="L142" s="326" t="s">
        <v>404</v>
      </c>
      <c r="M142" s="363"/>
      <c r="N142" s="328"/>
    </row>
    <row r="143" spans="1:15" ht="20.149999999999999" customHeight="1" x14ac:dyDescent="0.35">
      <c r="A143" s="329">
        <v>6</v>
      </c>
      <c r="B143" s="321">
        <v>226</v>
      </c>
      <c r="C143" s="336" t="s">
        <v>45</v>
      </c>
      <c r="D143" s="336"/>
      <c r="E143" s="323">
        <f>'[1]road inventory 2018'!C98</f>
        <v>4.8</v>
      </c>
      <c r="F143" s="323">
        <v>0.86</v>
      </c>
      <c r="G143" s="323">
        <v>0</v>
      </c>
      <c r="H143" s="323">
        <v>0</v>
      </c>
      <c r="I143" s="323">
        <v>3.94</v>
      </c>
      <c r="J143" s="325" t="s">
        <v>10</v>
      </c>
      <c r="K143" s="323">
        <f t="shared" si="11"/>
        <v>4.8</v>
      </c>
      <c r="L143" s="326" t="s">
        <v>405</v>
      </c>
      <c r="M143" s="363"/>
      <c r="N143" s="328"/>
    </row>
    <row r="144" spans="1:15" ht="20.149999999999999" customHeight="1" x14ac:dyDescent="0.35">
      <c r="A144" s="329">
        <v>7</v>
      </c>
      <c r="B144" s="321">
        <v>116</v>
      </c>
      <c r="C144" s="336" t="s">
        <v>47</v>
      </c>
      <c r="D144" s="336"/>
      <c r="E144" s="323">
        <f>'[1]road inventory 2018'!C99</f>
        <v>12.3</v>
      </c>
      <c r="F144" s="323">
        <v>6.67</v>
      </c>
      <c r="G144" s="323">
        <v>0</v>
      </c>
      <c r="H144" s="323">
        <v>0</v>
      </c>
      <c r="I144" s="323">
        <v>5.63</v>
      </c>
      <c r="J144" s="325" t="s">
        <v>12</v>
      </c>
      <c r="K144" s="323">
        <f t="shared" si="11"/>
        <v>12.3</v>
      </c>
      <c r="L144" s="326" t="s">
        <v>405</v>
      </c>
      <c r="M144" s="363"/>
      <c r="N144" s="328"/>
    </row>
    <row r="145" spans="1:15" ht="20.149999999999999" customHeight="1" x14ac:dyDescent="0.35">
      <c r="A145" s="329">
        <v>8</v>
      </c>
      <c r="B145" s="321">
        <v>46</v>
      </c>
      <c r="C145" s="336" t="s">
        <v>406</v>
      </c>
      <c r="D145" s="336"/>
      <c r="E145" s="323">
        <f>'[1]road inventory 2018'!C100</f>
        <v>1.3</v>
      </c>
      <c r="F145" s="323">
        <v>1.3</v>
      </c>
      <c r="G145" s="323">
        <v>0</v>
      </c>
      <c r="H145" s="323">
        <v>0</v>
      </c>
      <c r="I145" s="323">
        <v>0</v>
      </c>
      <c r="J145" s="325" t="s">
        <v>10</v>
      </c>
      <c r="K145" s="323">
        <f t="shared" si="11"/>
        <v>1.3</v>
      </c>
      <c r="L145" s="326" t="s">
        <v>407</v>
      </c>
      <c r="M145" s="363"/>
      <c r="N145" s="328"/>
    </row>
    <row r="146" spans="1:15" ht="20.149999999999999" customHeight="1" x14ac:dyDescent="0.35">
      <c r="A146" s="329">
        <v>9</v>
      </c>
      <c r="B146" s="321">
        <v>227</v>
      </c>
      <c r="C146" s="336" t="s">
        <v>408</v>
      </c>
      <c r="D146" s="336"/>
      <c r="E146" s="323">
        <f>'[1]road inventory 2018'!C101</f>
        <v>7.2</v>
      </c>
      <c r="F146" s="323">
        <v>0</v>
      </c>
      <c r="G146" s="323">
        <v>0</v>
      </c>
      <c r="H146" s="323">
        <v>0</v>
      </c>
      <c r="I146" s="323">
        <v>7.2</v>
      </c>
      <c r="J146" s="325" t="s">
        <v>33</v>
      </c>
      <c r="K146" s="323">
        <f t="shared" si="11"/>
        <v>7.2</v>
      </c>
      <c r="L146" s="326" t="s">
        <v>409</v>
      </c>
      <c r="M146" s="363"/>
      <c r="N146" s="328"/>
    </row>
    <row r="147" spans="1:15" ht="20.149999999999999" customHeight="1" x14ac:dyDescent="0.35">
      <c r="A147" s="329">
        <v>10</v>
      </c>
      <c r="B147" s="321">
        <v>100</v>
      </c>
      <c r="C147" s="336" t="s">
        <v>50</v>
      </c>
      <c r="D147" s="336"/>
      <c r="E147" s="323">
        <f>'[1]road inventory 2018'!C102</f>
        <v>7.8</v>
      </c>
      <c r="F147" s="323">
        <v>2</v>
      </c>
      <c r="G147" s="323">
        <v>0</v>
      </c>
      <c r="H147" s="323">
        <v>0</v>
      </c>
      <c r="I147" s="323">
        <v>5.8</v>
      </c>
      <c r="J147" s="325" t="s">
        <v>41</v>
      </c>
      <c r="K147" s="323">
        <f t="shared" si="11"/>
        <v>7.8</v>
      </c>
      <c r="L147" s="326" t="s">
        <v>410</v>
      </c>
      <c r="M147" s="363"/>
      <c r="N147" s="328">
        <v>2</v>
      </c>
    </row>
    <row r="148" spans="1:15" s="317" customFormat="1" ht="20.149999999999999" customHeight="1" x14ac:dyDescent="0.35">
      <c r="B148" s="373"/>
      <c r="C148" s="374" t="s">
        <v>341</v>
      </c>
      <c r="D148" s="374"/>
      <c r="E148" s="375">
        <f>SUM(E138:E147)</f>
        <v>54.099999999999994</v>
      </c>
      <c r="F148" s="375">
        <f>SUM(F138:F147)</f>
        <v>15.850000000000001</v>
      </c>
      <c r="G148" s="375">
        <f>SUM(G138:G147)</f>
        <v>0</v>
      </c>
      <c r="H148" s="375">
        <f>SUM(H138:H147)</f>
        <v>0</v>
      </c>
      <c r="I148" s="375">
        <f>SUM(I138:I147)</f>
        <v>38.25</v>
      </c>
      <c r="J148" s="376"/>
      <c r="K148" s="375"/>
      <c r="L148" s="372"/>
      <c r="M148" s="453"/>
      <c r="N148" s="377"/>
      <c r="O148" s="320"/>
    </row>
    <row r="149" spans="1:15" ht="20.149999999999999" customHeight="1" x14ac:dyDescent="0.35">
      <c r="B149" s="321"/>
      <c r="C149" s="330"/>
      <c r="D149" s="330"/>
      <c r="E149" s="323"/>
      <c r="F149" s="323"/>
      <c r="G149" s="323"/>
      <c r="H149" s="323"/>
      <c r="I149" s="323"/>
      <c r="J149" s="325"/>
      <c r="K149" s="323"/>
      <c r="L149" s="326"/>
      <c r="M149" s="363"/>
      <c r="N149" s="328"/>
      <c r="O149" s="331"/>
    </row>
    <row r="150" spans="1:15" s="317" customFormat="1" ht="20.149999999999999" customHeight="1" x14ac:dyDescent="0.35">
      <c r="B150" s="391" t="s">
        <v>579</v>
      </c>
      <c r="C150" s="378"/>
      <c r="D150" s="378"/>
      <c r="E150" s="375"/>
      <c r="F150" s="375"/>
      <c r="G150" s="375"/>
      <c r="H150" s="375"/>
      <c r="I150" s="375"/>
      <c r="J150" s="376"/>
      <c r="K150" s="375"/>
      <c r="L150" s="378"/>
      <c r="M150" s="453"/>
      <c r="N150" s="377"/>
      <c r="O150" s="320"/>
    </row>
    <row r="151" spans="1:15" ht="20.149999999999999" customHeight="1" x14ac:dyDescent="0.35">
      <c r="A151" s="329">
        <v>1</v>
      </c>
      <c r="B151" s="321">
        <v>214</v>
      </c>
      <c r="C151" s="336" t="s">
        <v>580</v>
      </c>
      <c r="D151" s="336"/>
      <c r="E151" s="323">
        <f>'[1]road inventory 2018'!C318</f>
        <v>4.5</v>
      </c>
      <c r="F151" s="337">
        <v>0.7</v>
      </c>
      <c r="G151" s="337">
        <v>0</v>
      </c>
      <c r="H151" s="337">
        <v>0</v>
      </c>
      <c r="I151" s="323">
        <v>3.8</v>
      </c>
      <c r="J151" s="325" t="s">
        <v>12</v>
      </c>
      <c r="K151" s="323">
        <f>SUM(F151:I151)</f>
        <v>4.5</v>
      </c>
      <c r="L151" s="326" t="s">
        <v>581</v>
      </c>
      <c r="M151" s="363"/>
      <c r="N151" s="328"/>
    </row>
    <row r="152" spans="1:15" ht="20.149999999999999" customHeight="1" x14ac:dyDescent="0.35">
      <c r="A152" s="329">
        <v>2</v>
      </c>
      <c r="B152" s="321">
        <v>212</v>
      </c>
      <c r="C152" s="336" t="s">
        <v>582</v>
      </c>
      <c r="D152" s="336"/>
      <c r="E152" s="323">
        <f>'[1]road inventory 2018'!C319</f>
        <v>2.75</v>
      </c>
      <c r="F152" s="337">
        <v>2.6</v>
      </c>
      <c r="G152" s="337">
        <v>0</v>
      </c>
      <c r="H152" s="337">
        <v>0</v>
      </c>
      <c r="I152" s="323">
        <v>0.15</v>
      </c>
      <c r="J152" s="325" t="s">
        <v>12</v>
      </c>
      <c r="K152" s="323">
        <f>SUM(F152:I152)</f>
        <v>2.75</v>
      </c>
      <c r="L152" s="326" t="s">
        <v>528</v>
      </c>
      <c r="M152" s="363"/>
      <c r="N152" s="328"/>
    </row>
    <row r="153" spans="1:15" s="317" customFormat="1" ht="20.149999999999999" customHeight="1" x14ac:dyDescent="0.35">
      <c r="B153" s="357"/>
      <c r="C153" s="322" t="s">
        <v>341</v>
      </c>
      <c r="D153" s="322"/>
      <c r="E153" s="324">
        <f>SUM(E151:E152)</f>
        <v>7.25</v>
      </c>
      <c r="F153" s="324">
        <f>SUM(F151:F152)</f>
        <v>3.3</v>
      </c>
      <c r="G153" s="324">
        <f>SUM(G151:G152)</f>
        <v>0</v>
      </c>
      <c r="H153" s="324">
        <f>SUM(H151:H152)</f>
        <v>0</v>
      </c>
      <c r="I153" s="324">
        <f>SUM(I151:I152)</f>
        <v>3.9499999999999997</v>
      </c>
      <c r="J153" s="358"/>
      <c r="K153" s="324"/>
      <c r="L153" s="359"/>
      <c r="M153" s="456"/>
      <c r="N153" s="334"/>
      <c r="O153" s="320"/>
    </row>
    <row r="154" spans="1:15" ht="15" customHeight="1" x14ac:dyDescent="0.35">
      <c r="B154" s="321"/>
      <c r="C154" s="330"/>
      <c r="D154" s="330"/>
      <c r="E154" s="323"/>
      <c r="F154" s="323"/>
      <c r="G154" s="323"/>
      <c r="H154" s="323"/>
      <c r="I154" s="323"/>
      <c r="J154" s="325"/>
      <c r="K154" s="323"/>
      <c r="L154" s="326"/>
      <c r="M154" s="363"/>
      <c r="N154" s="328"/>
      <c r="O154" s="331"/>
    </row>
    <row r="155" spans="1:15" s="317" customFormat="1" ht="20.149999999999999" customHeight="1" x14ac:dyDescent="0.35">
      <c r="B155" s="390" t="s">
        <v>526</v>
      </c>
      <c r="C155" s="378"/>
      <c r="D155" s="378"/>
      <c r="E155" s="375"/>
      <c r="F155" s="392"/>
      <c r="G155" s="392"/>
      <c r="H155" s="392"/>
      <c r="I155" s="375"/>
      <c r="J155" s="376"/>
      <c r="K155" s="375"/>
      <c r="L155" s="378"/>
      <c r="M155" s="453"/>
      <c r="N155" s="377"/>
    </row>
    <row r="156" spans="1:15" ht="20.149999999999999" customHeight="1" x14ac:dyDescent="0.35">
      <c r="A156" s="329">
        <v>1</v>
      </c>
      <c r="B156" s="321">
        <v>160</v>
      </c>
      <c r="C156" s="336" t="s">
        <v>527</v>
      </c>
      <c r="D156" s="336"/>
      <c r="E156" s="323">
        <f>'[1]road inventory 2018'!C266</f>
        <v>28</v>
      </c>
      <c r="F156" s="323">
        <f>7.25+2.494</f>
        <v>9.7439999999999998</v>
      </c>
      <c r="G156" s="323">
        <v>0</v>
      </c>
      <c r="H156" s="323">
        <v>0</v>
      </c>
      <c r="I156" s="323">
        <v>18.256</v>
      </c>
      <c r="J156" s="325" t="s">
        <v>33</v>
      </c>
      <c r="K156" s="323">
        <f t="shared" ref="K156:K166" si="12">SUM(F156:I156)</f>
        <v>28</v>
      </c>
      <c r="L156" s="326" t="s">
        <v>528</v>
      </c>
      <c r="M156" s="363"/>
      <c r="N156" s="328">
        <v>9.7439999999999998</v>
      </c>
    </row>
    <row r="157" spans="1:15" ht="20.149999999999999" customHeight="1" x14ac:dyDescent="0.35">
      <c r="A157" s="329">
        <v>2</v>
      </c>
      <c r="B157" s="321">
        <v>161</v>
      </c>
      <c r="C157" s="336" t="s">
        <v>529</v>
      </c>
      <c r="D157" s="336"/>
      <c r="E157" s="323">
        <f>'[1]road inventory 2018'!C267</f>
        <v>1.8</v>
      </c>
      <c r="F157" s="323">
        <v>1.8</v>
      </c>
      <c r="G157" s="323">
        <v>0</v>
      </c>
      <c r="H157" s="323">
        <v>0</v>
      </c>
      <c r="I157" s="323">
        <v>0</v>
      </c>
      <c r="J157" s="325" t="s">
        <v>12</v>
      </c>
      <c r="K157" s="323">
        <f t="shared" si="12"/>
        <v>1.8</v>
      </c>
      <c r="L157" s="326" t="s">
        <v>528</v>
      </c>
      <c r="M157" s="363"/>
      <c r="N157" s="328"/>
    </row>
    <row r="158" spans="1:15" ht="20.149999999999999" customHeight="1" x14ac:dyDescent="0.35">
      <c r="A158" s="329">
        <v>3</v>
      </c>
      <c r="B158" s="321">
        <v>162</v>
      </c>
      <c r="C158" s="336" t="s">
        <v>530</v>
      </c>
      <c r="D158" s="336"/>
      <c r="E158" s="323">
        <f>'[1]road inventory 2018'!C268</f>
        <v>1.9</v>
      </c>
      <c r="F158" s="323">
        <v>0</v>
      </c>
      <c r="G158" s="323">
        <v>0</v>
      </c>
      <c r="H158" s="323">
        <v>0</v>
      </c>
      <c r="I158" s="323">
        <v>1.9</v>
      </c>
      <c r="J158" s="325" t="s">
        <v>33</v>
      </c>
      <c r="K158" s="323">
        <f t="shared" si="12"/>
        <v>1.9</v>
      </c>
      <c r="L158" s="326" t="s">
        <v>531</v>
      </c>
      <c r="M158" s="363"/>
      <c r="N158" s="328"/>
    </row>
    <row r="159" spans="1:15" ht="20.149999999999999" customHeight="1" x14ac:dyDescent="0.35">
      <c r="A159" s="329">
        <v>4</v>
      </c>
      <c r="B159" s="321">
        <v>163</v>
      </c>
      <c r="C159" s="336" t="s">
        <v>532</v>
      </c>
      <c r="D159" s="336"/>
      <c r="E159" s="323">
        <f>'[1]road inventory 2018'!C269</f>
        <v>9</v>
      </c>
      <c r="F159" s="323">
        <v>0.65</v>
      </c>
      <c r="G159" s="323">
        <v>0</v>
      </c>
      <c r="H159" s="323">
        <v>0</v>
      </c>
      <c r="I159" s="323">
        <v>8.35</v>
      </c>
      <c r="J159" s="325" t="s">
        <v>33</v>
      </c>
      <c r="K159" s="323">
        <f t="shared" si="12"/>
        <v>9</v>
      </c>
      <c r="L159" s="326" t="s">
        <v>533</v>
      </c>
      <c r="M159" s="363"/>
      <c r="N159" s="328"/>
    </row>
    <row r="160" spans="1:15" ht="20.149999999999999" customHeight="1" x14ac:dyDescent="0.35">
      <c r="A160" s="329">
        <v>5</v>
      </c>
      <c r="B160" s="321">
        <v>164</v>
      </c>
      <c r="C160" s="336" t="s">
        <v>534</v>
      </c>
      <c r="D160" s="336"/>
      <c r="E160" s="323">
        <f>'[1]road inventory 2018'!C270</f>
        <v>2.2000000000000002</v>
      </c>
      <c r="F160" s="323">
        <v>0</v>
      </c>
      <c r="G160" s="323">
        <v>0</v>
      </c>
      <c r="H160" s="323">
        <v>0</v>
      </c>
      <c r="I160" s="323">
        <v>2.2000000000000002</v>
      </c>
      <c r="J160" s="325" t="s">
        <v>33</v>
      </c>
      <c r="K160" s="323">
        <f t="shared" si="12"/>
        <v>2.2000000000000002</v>
      </c>
      <c r="L160" s="326" t="s">
        <v>535</v>
      </c>
      <c r="M160" s="363"/>
      <c r="N160" s="328"/>
    </row>
    <row r="161" spans="1:15" ht="20.149999999999999" customHeight="1" x14ac:dyDescent="0.35">
      <c r="A161" s="329">
        <v>6</v>
      </c>
      <c r="B161" s="321">
        <v>165</v>
      </c>
      <c r="C161" s="336" t="s">
        <v>536</v>
      </c>
      <c r="D161" s="336"/>
      <c r="E161" s="323">
        <f>'[1]road inventory 2018'!C271</f>
        <v>3.5</v>
      </c>
      <c r="F161" s="323">
        <v>0</v>
      </c>
      <c r="G161" s="323">
        <v>0</v>
      </c>
      <c r="H161" s="323">
        <v>0</v>
      </c>
      <c r="I161" s="323">
        <v>3.5</v>
      </c>
      <c r="J161" s="325" t="s">
        <v>33</v>
      </c>
      <c r="K161" s="323">
        <f t="shared" si="12"/>
        <v>3.5</v>
      </c>
      <c r="L161" s="326" t="s">
        <v>537</v>
      </c>
      <c r="M161" s="363"/>
      <c r="N161" s="328"/>
    </row>
    <row r="162" spans="1:15" ht="20.149999999999999" customHeight="1" x14ac:dyDescent="0.35">
      <c r="A162" s="329">
        <v>7</v>
      </c>
      <c r="B162" s="321">
        <v>166</v>
      </c>
      <c r="C162" s="336" t="s">
        <v>538</v>
      </c>
      <c r="D162" s="336"/>
      <c r="E162" s="323">
        <f>'[1]road inventory 2018'!C272</f>
        <v>2.8</v>
      </c>
      <c r="F162" s="323">
        <v>0</v>
      </c>
      <c r="G162" s="323">
        <v>0</v>
      </c>
      <c r="H162" s="323">
        <v>0</v>
      </c>
      <c r="I162" s="323">
        <v>2.8</v>
      </c>
      <c r="J162" s="325" t="s">
        <v>12</v>
      </c>
      <c r="K162" s="323">
        <f t="shared" si="12"/>
        <v>2.8</v>
      </c>
      <c r="L162" s="326" t="s">
        <v>539</v>
      </c>
      <c r="M162" s="363"/>
      <c r="N162" s="328"/>
    </row>
    <row r="163" spans="1:15" ht="20.149999999999999" customHeight="1" x14ac:dyDescent="0.35">
      <c r="A163" s="329">
        <v>8</v>
      </c>
      <c r="B163" s="321">
        <v>167</v>
      </c>
      <c r="C163" s="336" t="s">
        <v>540</v>
      </c>
      <c r="D163" s="336"/>
      <c r="E163" s="323">
        <f>'[1]road inventory 2018'!C273</f>
        <v>5.5</v>
      </c>
      <c r="F163" s="323">
        <v>0</v>
      </c>
      <c r="G163" s="323">
        <v>0</v>
      </c>
      <c r="H163" s="323">
        <v>0</v>
      </c>
      <c r="I163" s="323">
        <v>5.5</v>
      </c>
      <c r="J163" s="325" t="s">
        <v>12</v>
      </c>
      <c r="K163" s="323">
        <f t="shared" si="12"/>
        <v>5.5</v>
      </c>
      <c r="L163" s="326" t="s">
        <v>541</v>
      </c>
      <c r="M163" s="363"/>
      <c r="N163" s="328"/>
    </row>
    <row r="164" spans="1:15" ht="20.149999999999999" customHeight="1" x14ac:dyDescent="0.35">
      <c r="A164" s="329">
        <v>9</v>
      </c>
      <c r="B164" s="321">
        <v>168</v>
      </c>
      <c r="C164" s="336" t="s">
        <v>542</v>
      </c>
      <c r="D164" s="336"/>
      <c r="E164" s="323">
        <f>'[1]road inventory 2018'!C274</f>
        <v>2.8</v>
      </c>
      <c r="F164" s="323">
        <v>0</v>
      </c>
      <c r="G164" s="323">
        <v>0</v>
      </c>
      <c r="H164" s="323">
        <v>0</v>
      </c>
      <c r="I164" s="323">
        <v>2.8</v>
      </c>
      <c r="J164" s="325" t="s">
        <v>33</v>
      </c>
      <c r="K164" s="323">
        <f t="shared" si="12"/>
        <v>2.8</v>
      </c>
      <c r="L164" s="326" t="s">
        <v>543</v>
      </c>
      <c r="M164" s="363"/>
      <c r="N164" s="328"/>
    </row>
    <row r="165" spans="1:15" ht="20.149999999999999" customHeight="1" x14ac:dyDescent="0.35">
      <c r="A165" s="329">
        <v>10</v>
      </c>
      <c r="B165" s="321">
        <v>170</v>
      </c>
      <c r="C165" s="336" t="s">
        <v>544</v>
      </c>
      <c r="D165" s="336"/>
      <c r="E165" s="323">
        <f>'[1]road inventory 2018'!C275</f>
        <v>1.3</v>
      </c>
      <c r="F165" s="323">
        <v>0</v>
      </c>
      <c r="G165" s="323">
        <v>0</v>
      </c>
      <c r="H165" s="323">
        <v>0</v>
      </c>
      <c r="I165" s="323">
        <v>1.3</v>
      </c>
      <c r="J165" s="325" t="s">
        <v>33</v>
      </c>
      <c r="K165" s="323">
        <f t="shared" si="12"/>
        <v>1.3</v>
      </c>
      <c r="L165" s="326" t="s">
        <v>533</v>
      </c>
      <c r="M165" s="363"/>
      <c r="N165" s="328"/>
    </row>
    <row r="166" spans="1:15" ht="20.149999999999999" customHeight="1" x14ac:dyDescent="0.35">
      <c r="A166" s="329">
        <v>11</v>
      </c>
      <c r="B166" s="321">
        <v>169</v>
      </c>
      <c r="C166" s="336" t="s">
        <v>545</v>
      </c>
      <c r="D166" s="336"/>
      <c r="E166" s="323">
        <f>'[1]road inventory 2018'!C276</f>
        <v>3.2</v>
      </c>
      <c r="F166" s="323">
        <v>0</v>
      </c>
      <c r="G166" s="323">
        <v>0</v>
      </c>
      <c r="H166" s="323">
        <v>0</v>
      </c>
      <c r="I166" s="323">
        <v>3.2</v>
      </c>
      <c r="J166" s="325" t="s">
        <v>41</v>
      </c>
      <c r="K166" s="323">
        <f t="shared" si="12"/>
        <v>3.2</v>
      </c>
      <c r="L166" s="326" t="s">
        <v>546</v>
      </c>
      <c r="M166" s="363"/>
      <c r="N166" s="328"/>
    </row>
    <row r="167" spans="1:15" s="317" customFormat="1" ht="20.149999999999999" customHeight="1" x14ac:dyDescent="0.35">
      <c r="B167" s="373"/>
      <c r="C167" s="374" t="s">
        <v>341</v>
      </c>
      <c r="D167" s="374"/>
      <c r="E167" s="375">
        <f>SUM(E156:E166)</f>
        <v>62</v>
      </c>
      <c r="F167" s="375">
        <f>SUM(F156:F166)</f>
        <v>12.194000000000001</v>
      </c>
      <c r="G167" s="375">
        <f>SUM(G156:G166)</f>
        <v>0</v>
      </c>
      <c r="H167" s="375">
        <f>SUM(H156:H166)</f>
        <v>0</v>
      </c>
      <c r="I167" s="375">
        <f>SUM(I156:I166)</f>
        <v>49.805999999999997</v>
      </c>
      <c r="J167" s="376"/>
      <c r="K167" s="375"/>
      <c r="L167" s="372"/>
      <c r="M167" s="453"/>
      <c r="N167" s="377"/>
      <c r="O167" s="320"/>
    </row>
    <row r="168" spans="1:15" ht="20.149999999999999" customHeight="1" x14ac:dyDescent="0.35">
      <c r="B168" s="321"/>
      <c r="C168" s="330"/>
      <c r="D168" s="330"/>
      <c r="E168" s="323"/>
      <c r="F168" s="323"/>
      <c r="G168" s="323"/>
      <c r="H168" s="323"/>
      <c r="I168" s="323"/>
      <c r="J168" s="325"/>
      <c r="K168" s="323"/>
      <c r="L168" s="326"/>
      <c r="M168" s="363"/>
      <c r="N168" s="328"/>
      <c r="O168" s="331"/>
    </row>
    <row r="169" spans="1:15" s="317" customFormat="1" ht="20.149999999999999" customHeight="1" x14ac:dyDescent="0.35">
      <c r="B169" s="390" t="s">
        <v>596</v>
      </c>
      <c r="C169" s="378"/>
      <c r="D169" s="378"/>
      <c r="E169" s="375"/>
      <c r="F169" s="375"/>
      <c r="G169" s="375"/>
      <c r="H169" s="375"/>
      <c r="I169" s="375"/>
      <c r="J169" s="376"/>
      <c r="K169" s="375"/>
      <c r="L169" s="378"/>
      <c r="M169" s="453"/>
      <c r="N169" s="377"/>
    </row>
    <row r="170" spans="1:15" ht="20.149999999999999" customHeight="1" x14ac:dyDescent="0.35">
      <c r="A170" s="329">
        <v>1</v>
      </c>
      <c r="B170" s="321">
        <v>187</v>
      </c>
      <c r="C170" s="336" t="s">
        <v>597</v>
      </c>
      <c r="D170" s="336"/>
      <c r="E170" s="325">
        <f>'[1]road inventory 2018'!C345</f>
        <v>0.504</v>
      </c>
      <c r="F170" s="323">
        <v>0.504</v>
      </c>
      <c r="G170" s="323">
        <v>0</v>
      </c>
      <c r="H170" s="323">
        <v>0</v>
      </c>
      <c r="I170" s="323">
        <v>0</v>
      </c>
      <c r="J170" s="326" t="s">
        <v>12</v>
      </c>
      <c r="K170" s="323">
        <f t="shared" ref="K170:K177" si="13">SUM(F170:I170)</f>
        <v>0.504</v>
      </c>
      <c r="L170" s="326"/>
      <c r="M170" s="452" t="s">
        <v>745</v>
      </c>
    </row>
    <row r="171" spans="1:15" ht="20.149999999999999" customHeight="1" x14ac:dyDescent="0.35">
      <c r="A171" s="329">
        <v>2</v>
      </c>
      <c r="B171" s="321">
        <v>188</v>
      </c>
      <c r="C171" s="336" t="s">
        <v>598</v>
      </c>
      <c r="D171" s="336"/>
      <c r="E171" s="325">
        <f>'[1]road inventory 2018'!C346</f>
        <v>0.158</v>
      </c>
      <c r="F171" s="323">
        <v>0.158</v>
      </c>
      <c r="G171" s="323">
        <v>0</v>
      </c>
      <c r="H171" s="323">
        <v>0</v>
      </c>
      <c r="I171" s="323">
        <v>0</v>
      </c>
      <c r="J171" s="326" t="s">
        <v>12</v>
      </c>
      <c r="K171" s="323">
        <f t="shared" si="13"/>
        <v>0.158</v>
      </c>
      <c r="L171" s="326"/>
    </row>
    <row r="172" spans="1:15" ht="20.149999999999999" customHeight="1" x14ac:dyDescent="0.35">
      <c r="A172" s="329">
        <v>3</v>
      </c>
      <c r="B172" s="321">
        <v>189</v>
      </c>
      <c r="C172" s="336" t="s">
        <v>599</v>
      </c>
      <c r="D172" s="336"/>
      <c r="E172" s="325">
        <f>'[1]road inventory 2018'!C347</f>
        <v>0.74199999999999999</v>
      </c>
      <c r="F172" s="323">
        <v>0.74199999999999999</v>
      </c>
      <c r="G172" s="323">
        <v>0</v>
      </c>
      <c r="H172" s="323">
        <v>0</v>
      </c>
      <c r="I172" s="323">
        <v>0</v>
      </c>
      <c r="J172" s="326" t="s">
        <v>12</v>
      </c>
      <c r="K172" s="323">
        <f t="shared" si="13"/>
        <v>0.74199999999999999</v>
      </c>
      <c r="L172" s="326"/>
    </row>
    <row r="173" spans="1:15" ht="20.149999999999999" customHeight="1" x14ac:dyDescent="0.35">
      <c r="A173" s="329">
        <v>4</v>
      </c>
      <c r="B173" s="321">
        <v>185</v>
      </c>
      <c r="C173" s="336" t="s">
        <v>600</v>
      </c>
      <c r="D173" s="336"/>
      <c r="E173" s="325">
        <v>7.6</v>
      </c>
      <c r="F173" s="323">
        <v>0</v>
      </c>
      <c r="G173" s="323">
        <v>0</v>
      </c>
      <c r="H173" s="323">
        <v>0</v>
      </c>
      <c r="I173" s="323">
        <v>7.6</v>
      </c>
      <c r="J173" s="326" t="s">
        <v>10</v>
      </c>
      <c r="K173" s="323">
        <f t="shared" si="13"/>
        <v>7.6</v>
      </c>
      <c r="L173" s="326"/>
    </row>
    <row r="174" spans="1:15" ht="20.149999999999999" customHeight="1" x14ac:dyDescent="0.35">
      <c r="A174" s="329">
        <v>5</v>
      </c>
      <c r="B174" s="321">
        <v>186</v>
      </c>
      <c r="C174" s="336" t="s">
        <v>601</v>
      </c>
      <c r="D174" s="336"/>
      <c r="E174" s="325">
        <f>'[1]road inventory 2018'!C349</f>
        <v>10.5</v>
      </c>
      <c r="F174" s="323">
        <v>0</v>
      </c>
      <c r="G174" s="323">
        <v>0</v>
      </c>
      <c r="H174" s="323">
        <v>0</v>
      </c>
      <c r="I174" s="323">
        <v>10.5</v>
      </c>
      <c r="J174" s="326" t="s">
        <v>12</v>
      </c>
      <c r="K174" s="323">
        <f t="shared" si="13"/>
        <v>10.5</v>
      </c>
      <c r="L174" s="326"/>
    </row>
    <row r="175" spans="1:15" ht="20.149999999999999" customHeight="1" x14ac:dyDescent="0.35">
      <c r="A175" s="329">
        <v>6</v>
      </c>
      <c r="B175" s="321">
        <v>190</v>
      </c>
      <c r="C175" s="336" t="s">
        <v>602</v>
      </c>
      <c r="D175" s="336"/>
      <c r="E175" s="325">
        <f>'[1]road inventory 2018'!C350</f>
        <v>17.5</v>
      </c>
      <c r="F175" s="323">
        <v>0</v>
      </c>
      <c r="G175" s="323">
        <v>0</v>
      </c>
      <c r="H175" s="323">
        <v>0</v>
      </c>
      <c r="I175" s="323">
        <v>17.5</v>
      </c>
      <c r="J175" s="326" t="s">
        <v>12</v>
      </c>
      <c r="K175" s="323">
        <f t="shared" si="13"/>
        <v>17.5</v>
      </c>
      <c r="L175" s="326"/>
    </row>
    <row r="176" spans="1:15" ht="20.149999999999999" customHeight="1" x14ac:dyDescent="0.35">
      <c r="A176" s="329">
        <v>7</v>
      </c>
      <c r="B176" s="321">
        <v>191</v>
      </c>
      <c r="C176" s="336" t="s">
        <v>603</v>
      </c>
      <c r="D176" s="336"/>
      <c r="E176" s="325">
        <f>'[1]road inventory 2018'!C351</f>
        <v>3.5</v>
      </c>
      <c r="F176" s="323">
        <v>0</v>
      </c>
      <c r="G176" s="323">
        <v>0</v>
      </c>
      <c r="H176" s="323">
        <v>0</v>
      </c>
      <c r="I176" s="323">
        <v>3.5</v>
      </c>
      <c r="J176" s="326" t="s">
        <v>12</v>
      </c>
      <c r="K176" s="323">
        <f t="shared" si="13"/>
        <v>3.5</v>
      </c>
      <c r="L176" s="326"/>
    </row>
    <row r="177" spans="1:19" ht="20.149999999999999" customHeight="1" x14ac:dyDescent="0.35">
      <c r="A177" s="329">
        <v>8</v>
      </c>
      <c r="B177" s="321">
        <v>230</v>
      </c>
      <c r="C177" s="336" t="s">
        <v>604</v>
      </c>
      <c r="D177" s="336"/>
      <c r="E177" s="325">
        <f>'[1]road inventory 2018'!C352</f>
        <v>1.58</v>
      </c>
      <c r="F177" s="323">
        <v>0</v>
      </c>
      <c r="G177" s="323">
        <v>0</v>
      </c>
      <c r="H177" s="323">
        <v>0</v>
      </c>
      <c r="I177" s="323">
        <v>1.58</v>
      </c>
      <c r="J177" s="326" t="s">
        <v>41</v>
      </c>
      <c r="K177" s="323">
        <f t="shared" si="13"/>
        <v>1.58</v>
      </c>
      <c r="L177" s="326"/>
    </row>
    <row r="178" spans="1:19" s="317" customFormat="1" ht="20.149999999999999" customHeight="1" x14ac:dyDescent="0.35">
      <c r="B178" s="373"/>
      <c r="C178" s="374" t="s">
        <v>341</v>
      </c>
      <c r="D178" s="374"/>
      <c r="E178" s="375">
        <f>SUM(E170:E177)</f>
        <v>42.083999999999996</v>
      </c>
      <c r="F178" s="375">
        <f>SUM(F170:F177)</f>
        <v>1.4039999999999999</v>
      </c>
      <c r="G178" s="375">
        <f>SUM(G170:G177)</f>
        <v>0</v>
      </c>
      <c r="H178" s="375">
        <f>SUM(H170:H177)</f>
        <v>0</v>
      </c>
      <c r="I178" s="375">
        <f>SUM(I170:I177)</f>
        <v>40.68</v>
      </c>
      <c r="J178" s="376"/>
      <c r="K178" s="375"/>
      <c r="L178" s="372"/>
      <c r="M178" s="453"/>
      <c r="N178" s="377"/>
      <c r="O178" s="320"/>
    </row>
    <row r="179" spans="1:19" ht="20.149999999999999" customHeight="1" x14ac:dyDescent="0.35">
      <c r="B179" s="321"/>
      <c r="C179" s="330"/>
      <c r="D179" s="330"/>
      <c r="E179" s="323"/>
      <c r="F179" s="323"/>
      <c r="G179" s="323"/>
      <c r="H179" s="323"/>
      <c r="I179" s="323"/>
      <c r="J179" s="325"/>
      <c r="K179" s="323"/>
      <c r="L179" s="326"/>
      <c r="M179" s="363"/>
      <c r="N179" s="328"/>
      <c r="O179" s="331"/>
    </row>
    <row r="180" spans="1:19" s="317" customFormat="1" ht="20.149999999999999" customHeight="1" x14ac:dyDescent="0.35">
      <c r="B180" s="390" t="s">
        <v>734</v>
      </c>
      <c r="C180" s="378"/>
      <c r="D180" s="378"/>
      <c r="E180" s="376"/>
      <c r="F180" s="375"/>
      <c r="G180" s="375"/>
      <c r="H180" s="375"/>
      <c r="I180" s="375"/>
      <c r="J180" s="372"/>
      <c r="K180" s="375"/>
      <c r="L180" s="400"/>
      <c r="M180" s="457"/>
      <c r="N180" s="401"/>
    </row>
    <row r="181" spans="1:19" ht="20.149999999999999" customHeight="1" x14ac:dyDescent="0.35">
      <c r="A181" s="329">
        <v>1</v>
      </c>
      <c r="B181" s="321">
        <v>171</v>
      </c>
      <c r="C181" s="336" t="s">
        <v>611</v>
      </c>
      <c r="D181" s="336"/>
      <c r="E181" s="323">
        <v>8.7409999999999997</v>
      </c>
      <c r="F181" s="323">
        <v>1.18</v>
      </c>
      <c r="G181" s="323">
        <v>0</v>
      </c>
      <c r="H181" s="323">
        <v>0</v>
      </c>
      <c r="I181" s="323">
        <v>7.5609999999999999</v>
      </c>
      <c r="J181" s="325" t="s">
        <v>12</v>
      </c>
      <c r="K181" s="323">
        <f>SUM(F181:I181)</f>
        <v>8.7409999999999997</v>
      </c>
      <c r="L181" s="326"/>
      <c r="M181" s="363"/>
      <c r="N181" s="328"/>
    </row>
    <row r="182" spans="1:19" s="317" customFormat="1" ht="20.149999999999999" customHeight="1" x14ac:dyDescent="0.35">
      <c r="B182" s="373"/>
      <c r="C182" s="374" t="s">
        <v>341</v>
      </c>
      <c r="D182" s="374"/>
      <c r="E182" s="375">
        <f>SUM(E181)</f>
        <v>8.7409999999999997</v>
      </c>
      <c r="F182" s="375">
        <f>SUM(F181)</f>
        <v>1.18</v>
      </c>
      <c r="G182" s="375">
        <f>SUM(G181)</f>
        <v>0</v>
      </c>
      <c r="H182" s="375">
        <f>SUM(H181)</f>
        <v>0</v>
      </c>
      <c r="I182" s="375">
        <f>SUM(I181)</f>
        <v>7.5609999999999999</v>
      </c>
      <c r="J182" s="376"/>
      <c r="K182" s="375"/>
      <c r="L182" s="372"/>
      <c r="M182" s="453"/>
      <c r="N182" s="377"/>
      <c r="O182" s="320"/>
    </row>
    <row r="183" spans="1:19" ht="20.149999999999999" customHeight="1" x14ac:dyDescent="0.35">
      <c r="B183" s="321"/>
      <c r="C183" s="330"/>
      <c r="D183" s="330"/>
      <c r="E183" s="323"/>
      <c r="F183" s="323"/>
      <c r="G183" s="323"/>
      <c r="H183" s="323"/>
      <c r="I183" s="323"/>
      <c r="J183" s="325"/>
      <c r="K183" s="323"/>
      <c r="L183" s="326"/>
      <c r="M183" s="363"/>
      <c r="N183" s="328"/>
      <c r="O183" s="331"/>
    </row>
    <row r="184" spans="1:19" s="317" customFormat="1" ht="20.149999999999999" customHeight="1" x14ac:dyDescent="0.35">
      <c r="B184" s="390" t="s">
        <v>583</v>
      </c>
      <c r="C184" s="378"/>
      <c r="D184" s="378"/>
      <c r="E184" s="375"/>
      <c r="F184" s="375"/>
      <c r="G184" s="375"/>
      <c r="H184" s="375"/>
      <c r="I184" s="375"/>
      <c r="J184" s="376"/>
      <c r="K184" s="375"/>
      <c r="L184" s="400"/>
      <c r="M184" s="453"/>
      <c r="N184" s="377"/>
    </row>
    <row r="185" spans="1:19" ht="20.149999999999999" customHeight="1" x14ac:dyDescent="0.35">
      <c r="A185" s="329">
        <v>1</v>
      </c>
      <c r="B185" s="321">
        <v>173</v>
      </c>
      <c r="C185" s="336" t="s">
        <v>584</v>
      </c>
      <c r="D185" s="336"/>
      <c r="E185" s="323">
        <f>'[1]road inventory 2018'!C326</f>
        <v>1.5</v>
      </c>
      <c r="F185" s="323">
        <v>1.5</v>
      </c>
      <c r="G185" s="323">
        <v>0</v>
      </c>
      <c r="H185" s="323">
        <v>0</v>
      </c>
      <c r="I185" s="323">
        <v>0</v>
      </c>
      <c r="J185" s="325" t="s">
        <v>10</v>
      </c>
      <c r="K185" s="323">
        <f t="shared" ref="K185:K197" si="14">SUM(F185:I185)</f>
        <v>1.5</v>
      </c>
      <c r="L185" s="326"/>
      <c r="M185" s="363"/>
      <c r="N185" s="328"/>
    </row>
    <row r="186" spans="1:19" ht="20.149999999999999" customHeight="1" x14ac:dyDescent="0.35">
      <c r="A186" s="329">
        <v>2</v>
      </c>
      <c r="B186" s="321">
        <v>174</v>
      </c>
      <c r="C186" s="336" t="s">
        <v>585</v>
      </c>
      <c r="D186" s="336"/>
      <c r="E186" s="323">
        <f>'[1]road inventory 2018'!C327</f>
        <v>0.2</v>
      </c>
      <c r="F186" s="323">
        <v>0.2</v>
      </c>
      <c r="G186" s="323">
        <v>0</v>
      </c>
      <c r="H186" s="323">
        <v>0</v>
      </c>
      <c r="I186" s="323">
        <v>0</v>
      </c>
      <c r="J186" s="326" t="s">
        <v>33</v>
      </c>
      <c r="K186" s="323">
        <f t="shared" si="14"/>
        <v>0.2</v>
      </c>
      <c r="L186" s="326"/>
      <c r="M186" s="363"/>
      <c r="N186" s="328"/>
    </row>
    <row r="187" spans="1:19" ht="20.149999999999999" customHeight="1" x14ac:dyDescent="0.35">
      <c r="A187" s="329">
        <v>3</v>
      </c>
      <c r="B187" s="321">
        <v>175</v>
      </c>
      <c r="C187" s="336" t="s">
        <v>586</v>
      </c>
      <c r="D187" s="336"/>
      <c r="E187" s="323">
        <f>'[1]road inventory 2018'!C328</f>
        <v>3.6</v>
      </c>
      <c r="F187" s="323">
        <v>3.31</v>
      </c>
      <c r="G187" s="323">
        <v>0</v>
      </c>
      <c r="H187" s="323">
        <v>0</v>
      </c>
      <c r="I187" s="323">
        <v>0.28999999999999998</v>
      </c>
      <c r="J187" s="326" t="s">
        <v>12</v>
      </c>
      <c r="K187" s="323">
        <f t="shared" si="14"/>
        <v>3.6</v>
      </c>
      <c r="L187" s="326"/>
      <c r="M187" s="363"/>
      <c r="N187" s="328"/>
    </row>
    <row r="188" spans="1:19" ht="20.149999999999999" customHeight="1" x14ac:dyDescent="0.35">
      <c r="A188" s="329">
        <v>4</v>
      </c>
      <c r="B188" s="321">
        <v>176</v>
      </c>
      <c r="C188" s="336" t="s">
        <v>587</v>
      </c>
      <c r="D188" s="336"/>
      <c r="E188" s="323">
        <f>'[1]road inventory 2018'!C329</f>
        <v>20.5</v>
      </c>
      <c r="F188" s="323">
        <v>5.21</v>
      </c>
      <c r="G188" s="323">
        <v>0</v>
      </c>
      <c r="H188" s="323">
        <v>0</v>
      </c>
      <c r="I188" s="323">
        <v>15.29</v>
      </c>
      <c r="J188" s="326" t="s">
        <v>12</v>
      </c>
      <c r="K188" s="323">
        <f t="shared" si="14"/>
        <v>20.5</v>
      </c>
      <c r="L188" s="326"/>
      <c r="M188" s="363"/>
      <c r="N188" s="328"/>
    </row>
    <row r="189" spans="1:19" ht="20.149999999999999" customHeight="1" x14ac:dyDescent="0.35">
      <c r="A189" s="329">
        <v>5</v>
      </c>
      <c r="B189" s="321">
        <v>177</v>
      </c>
      <c r="C189" s="336" t="s">
        <v>588</v>
      </c>
      <c r="D189" s="336"/>
      <c r="E189" s="323">
        <f>'[1]road inventory 2018'!C330</f>
        <v>13.5</v>
      </c>
      <c r="F189" s="323">
        <v>13.5</v>
      </c>
      <c r="G189" s="323">
        <v>0</v>
      </c>
      <c r="H189" s="323">
        <v>0</v>
      </c>
      <c r="I189" s="323">
        <v>0</v>
      </c>
      <c r="J189" s="325" t="s">
        <v>10</v>
      </c>
      <c r="K189" s="323">
        <f t="shared" si="14"/>
        <v>13.5</v>
      </c>
      <c r="L189" s="326"/>
      <c r="M189" s="363"/>
      <c r="N189" s="328"/>
    </row>
    <row r="190" spans="1:19" ht="20.149999999999999" customHeight="1" x14ac:dyDescent="0.35">
      <c r="A190" s="329">
        <v>6</v>
      </c>
      <c r="B190" s="321">
        <v>172</v>
      </c>
      <c r="C190" s="336" t="s">
        <v>589</v>
      </c>
      <c r="D190" s="336"/>
      <c r="E190" s="323">
        <f>'[1]road inventory 2018'!C331</f>
        <v>5.7</v>
      </c>
      <c r="F190" s="323">
        <v>1.02</v>
      </c>
      <c r="G190" s="323">
        <v>0</v>
      </c>
      <c r="H190" s="323">
        <v>3.42</v>
      </c>
      <c r="I190" s="323">
        <v>1.26</v>
      </c>
      <c r="J190" s="325" t="s">
        <v>10</v>
      </c>
      <c r="K190" s="323">
        <f t="shared" si="14"/>
        <v>5.6999999999999993</v>
      </c>
      <c r="L190" s="326"/>
      <c r="M190" s="363"/>
      <c r="N190" s="328"/>
      <c r="S190" s="331"/>
    </row>
    <row r="191" spans="1:19" ht="20.149999999999999" customHeight="1" x14ac:dyDescent="0.35">
      <c r="A191" s="329">
        <v>7</v>
      </c>
      <c r="B191" s="321">
        <v>178</v>
      </c>
      <c r="C191" s="336" t="s">
        <v>296</v>
      </c>
      <c r="D191" s="336"/>
      <c r="E191" s="323">
        <f>'[1]road inventory 2018'!C332</f>
        <v>25.54</v>
      </c>
      <c r="F191" s="323">
        <v>1.23</v>
      </c>
      <c r="G191" s="323">
        <v>0</v>
      </c>
      <c r="H191" s="323">
        <v>0</v>
      </c>
      <c r="I191" s="323">
        <v>24.31</v>
      </c>
      <c r="J191" s="326" t="s">
        <v>12</v>
      </c>
      <c r="K191" s="323">
        <f t="shared" si="14"/>
        <v>25.54</v>
      </c>
      <c r="L191" s="326"/>
      <c r="M191" s="363"/>
      <c r="N191" s="328"/>
    </row>
    <row r="192" spans="1:19" ht="20.149999999999999" customHeight="1" x14ac:dyDescent="0.35">
      <c r="A192" s="329">
        <v>8</v>
      </c>
      <c r="B192" s="321">
        <v>179</v>
      </c>
      <c r="C192" s="336" t="s">
        <v>590</v>
      </c>
      <c r="D192" s="336"/>
      <c r="E192" s="323">
        <f>'[1]road inventory 2018'!C333</f>
        <v>9.4</v>
      </c>
      <c r="F192" s="323">
        <v>0.43</v>
      </c>
      <c r="G192" s="323">
        <v>0</v>
      </c>
      <c r="H192" s="323">
        <v>0</v>
      </c>
      <c r="I192" s="323">
        <v>8.9700000000000006</v>
      </c>
      <c r="J192" s="325" t="s">
        <v>12</v>
      </c>
      <c r="K192" s="323">
        <f t="shared" si="14"/>
        <v>9.4</v>
      </c>
      <c r="L192" s="326"/>
      <c r="M192" s="363"/>
      <c r="N192" s="328"/>
    </row>
    <row r="193" spans="1:16" ht="20.149999999999999" customHeight="1" x14ac:dyDescent="0.35">
      <c r="A193" s="329">
        <v>9</v>
      </c>
      <c r="B193" s="321">
        <v>180</v>
      </c>
      <c r="C193" s="336" t="s">
        <v>591</v>
      </c>
      <c r="D193" s="336"/>
      <c r="E193" s="323">
        <f>'[1]road inventory 2018'!C334</f>
        <v>2.42</v>
      </c>
      <c r="F193" s="323">
        <v>0</v>
      </c>
      <c r="G193" s="323">
        <v>0</v>
      </c>
      <c r="H193" s="323">
        <v>0</v>
      </c>
      <c r="I193" s="323">
        <v>2.42</v>
      </c>
      <c r="J193" s="326" t="s">
        <v>12</v>
      </c>
      <c r="K193" s="323">
        <f t="shared" si="14"/>
        <v>2.42</v>
      </c>
      <c r="L193" s="326"/>
      <c r="M193" s="363"/>
      <c r="N193" s="328"/>
    </row>
    <row r="194" spans="1:16" ht="20.149999999999999" customHeight="1" x14ac:dyDescent="0.35">
      <c r="A194" s="329">
        <v>10</v>
      </c>
      <c r="B194" s="321">
        <v>181</v>
      </c>
      <c r="C194" s="336" t="s">
        <v>592</v>
      </c>
      <c r="D194" s="336"/>
      <c r="E194" s="323">
        <f>'[1]road inventory 2018'!C335</f>
        <v>4.9000000000000004</v>
      </c>
      <c r="F194" s="323">
        <v>4.9000000000000004</v>
      </c>
      <c r="G194" s="323">
        <v>0</v>
      </c>
      <c r="H194" s="323">
        <v>0</v>
      </c>
      <c r="I194" s="323">
        <v>0</v>
      </c>
      <c r="J194" s="325" t="s">
        <v>10</v>
      </c>
      <c r="K194" s="323">
        <f t="shared" si="14"/>
        <v>4.9000000000000004</v>
      </c>
      <c r="L194" s="326"/>
      <c r="M194" s="363"/>
      <c r="N194" s="328"/>
    </row>
    <row r="195" spans="1:16" ht="20.149999999999999" customHeight="1" x14ac:dyDescent="0.35">
      <c r="A195" s="329">
        <v>11</v>
      </c>
      <c r="B195" s="321">
        <v>182</v>
      </c>
      <c r="C195" s="336" t="s">
        <v>593</v>
      </c>
      <c r="D195" s="336"/>
      <c r="E195" s="323">
        <f>'[1]road inventory 2018'!C336</f>
        <v>16</v>
      </c>
      <c r="F195" s="323">
        <v>16</v>
      </c>
      <c r="G195" s="323">
        <v>0</v>
      </c>
      <c r="H195" s="323">
        <v>0</v>
      </c>
      <c r="I195" s="323">
        <v>0</v>
      </c>
      <c r="J195" s="326" t="s">
        <v>10</v>
      </c>
      <c r="K195" s="323">
        <f t="shared" si="14"/>
        <v>16</v>
      </c>
      <c r="L195" s="326"/>
      <c r="M195" s="363"/>
      <c r="N195" s="328"/>
    </row>
    <row r="196" spans="1:16" ht="20.149999999999999" customHeight="1" x14ac:dyDescent="0.35">
      <c r="A196" s="329">
        <v>12</v>
      </c>
      <c r="B196" s="321">
        <v>183</v>
      </c>
      <c r="C196" s="336" t="s">
        <v>594</v>
      </c>
      <c r="D196" s="336"/>
      <c r="E196" s="323">
        <f>'[1]road inventory 2018'!C337</f>
        <v>1.7</v>
      </c>
      <c r="F196" s="323">
        <v>0</v>
      </c>
      <c r="G196" s="323">
        <v>0</v>
      </c>
      <c r="H196" s="323">
        <v>0</v>
      </c>
      <c r="I196" s="323">
        <v>1.7</v>
      </c>
      <c r="J196" s="326" t="s">
        <v>12</v>
      </c>
      <c r="K196" s="323">
        <f t="shared" si="14"/>
        <v>1.7</v>
      </c>
      <c r="L196" s="326"/>
      <c r="M196" s="363"/>
      <c r="N196" s="328"/>
    </row>
    <row r="197" spans="1:16" ht="20.149999999999999" customHeight="1" x14ac:dyDescent="0.35">
      <c r="A197" s="329">
        <v>13</v>
      </c>
      <c r="B197" s="321">
        <v>184</v>
      </c>
      <c r="C197" s="336" t="s">
        <v>595</v>
      </c>
      <c r="D197" s="336"/>
      <c r="E197" s="323">
        <f>'[1]road inventory 2018'!C338</f>
        <v>12</v>
      </c>
      <c r="F197" s="323">
        <v>10.01</v>
      </c>
      <c r="G197" s="323">
        <v>0</v>
      </c>
      <c r="H197" s="323">
        <v>0</v>
      </c>
      <c r="I197" s="323">
        <v>1.99</v>
      </c>
      <c r="J197" s="326" t="s">
        <v>10</v>
      </c>
      <c r="K197" s="323">
        <f t="shared" si="14"/>
        <v>12</v>
      </c>
      <c r="L197" s="326"/>
      <c r="M197" s="363"/>
      <c r="N197" s="328"/>
    </row>
    <row r="198" spans="1:16" s="317" customFormat="1" ht="20.149999999999999" customHeight="1" x14ac:dyDescent="0.35">
      <c r="B198" s="373"/>
      <c r="C198" s="374" t="s">
        <v>341</v>
      </c>
      <c r="D198" s="374"/>
      <c r="E198" s="375">
        <f>SUM(E185:E197)</f>
        <v>116.96000000000001</v>
      </c>
      <c r="F198" s="375">
        <f>SUM(F185:F197)</f>
        <v>57.309999999999995</v>
      </c>
      <c r="G198" s="375">
        <f>SUM(G185:G197)</f>
        <v>0</v>
      </c>
      <c r="H198" s="375">
        <f>SUM(H185:H197)</f>
        <v>3.42</v>
      </c>
      <c r="I198" s="375">
        <f>SUM(I185:I197)</f>
        <v>56.230000000000004</v>
      </c>
      <c r="J198" s="376"/>
      <c r="K198" s="375"/>
      <c r="L198" s="372"/>
      <c r="M198" s="453"/>
      <c r="N198" s="377"/>
      <c r="O198" s="320"/>
    </row>
    <row r="199" spans="1:16" ht="20.149999999999999" customHeight="1" x14ac:dyDescent="0.35">
      <c r="B199" s="321"/>
      <c r="C199" s="330"/>
      <c r="D199" s="330"/>
      <c r="E199" s="323"/>
      <c r="F199" s="323"/>
      <c r="G199" s="323"/>
      <c r="H199" s="323"/>
      <c r="I199" s="323"/>
      <c r="J199" s="325"/>
      <c r="K199" s="323"/>
      <c r="L199" s="326"/>
      <c r="M199" s="363"/>
      <c r="N199" s="328"/>
      <c r="O199" s="331"/>
    </row>
    <row r="200" spans="1:16" s="317" customFormat="1" ht="20.149999999999999" customHeight="1" x14ac:dyDescent="0.35">
      <c r="B200" s="390" t="s">
        <v>605</v>
      </c>
      <c r="C200" s="378"/>
      <c r="D200" s="378"/>
      <c r="E200" s="375"/>
      <c r="F200" s="375"/>
      <c r="G200" s="375"/>
      <c r="H200" s="375"/>
      <c r="I200" s="375"/>
      <c r="J200" s="372"/>
      <c r="K200" s="375"/>
      <c r="L200" s="400"/>
      <c r="M200" s="453"/>
      <c r="N200" s="377"/>
    </row>
    <row r="201" spans="1:16" ht="20.149999999999999" customHeight="1" x14ac:dyDescent="0.35">
      <c r="A201" s="329">
        <v>1</v>
      </c>
      <c r="B201" s="321">
        <v>192</v>
      </c>
      <c r="C201" s="336" t="s">
        <v>606</v>
      </c>
      <c r="D201" s="336"/>
      <c r="E201" s="342">
        <f>'[1]road inventory 2018'!C359</f>
        <v>17</v>
      </c>
      <c r="F201" s="323">
        <f>10.754-(153.8/1000)</f>
        <v>10.600199999999999</v>
      </c>
      <c r="G201" s="323">
        <v>0</v>
      </c>
      <c r="H201" s="323">
        <v>0</v>
      </c>
      <c r="I201" s="323">
        <v>6.4</v>
      </c>
      <c r="J201" s="326" t="s">
        <v>10</v>
      </c>
      <c r="K201" s="323">
        <f>SUM(F201:I201)</f>
        <v>17.0002</v>
      </c>
      <c r="L201" s="326"/>
      <c r="M201" s="458"/>
      <c r="N201" s="343">
        <v>10.6</v>
      </c>
    </row>
    <row r="202" spans="1:16" ht="20.149999999999999" customHeight="1" x14ac:dyDescent="0.35">
      <c r="A202" s="329">
        <v>2</v>
      </c>
      <c r="B202" s="321">
        <v>193</v>
      </c>
      <c r="C202" s="336" t="s">
        <v>607</v>
      </c>
      <c r="D202" s="336"/>
      <c r="E202" s="342">
        <f>'[1]road inventory 2018'!C360</f>
        <v>1.8</v>
      </c>
      <c r="F202" s="323">
        <v>1.8</v>
      </c>
      <c r="G202" s="323">
        <v>0</v>
      </c>
      <c r="H202" s="323">
        <v>0</v>
      </c>
      <c r="I202" s="323">
        <v>0</v>
      </c>
      <c r="J202" s="326" t="s">
        <v>12</v>
      </c>
      <c r="K202" s="323">
        <f>SUM(F202:I202)</f>
        <v>1.8</v>
      </c>
      <c r="L202" s="326"/>
      <c r="M202" s="458"/>
      <c r="N202" s="343"/>
    </row>
    <row r="203" spans="1:16" ht="20.149999999999999" customHeight="1" x14ac:dyDescent="0.35">
      <c r="A203" s="329">
        <v>3</v>
      </c>
      <c r="B203" s="321">
        <v>194</v>
      </c>
      <c r="C203" s="336" t="s">
        <v>608</v>
      </c>
      <c r="D203" s="336"/>
      <c r="E203" s="342">
        <f>'[1]road inventory 2018'!C361</f>
        <v>5.3</v>
      </c>
      <c r="F203" s="323">
        <v>3.5409999999999999</v>
      </c>
      <c r="G203" s="323">
        <v>0</v>
      </c>
      <c r="H203" s="323">
        <v>0</v>
      </c>
      <c r="I203" s="323">
        <v>1.7589999999999999</v>
      </c>
      <c r="J203" s="326" t="s">
        <v>12</v>
      </c>
      <c r="K203" s="323">
        <f>SUM(F203:I203)</f>
        <v>5.3</v>
      </c>
      <c r="L203" s="326"/>
      <c r="M203" s="458"/>
      <c r="N203" s="343"/>
    </row>
    <row r="204" spans="1:16" ht="20.149999999999999" customHeight="1" x14ac:dyDescent="0.35">
      <c r="A204" s="329">
        <v>4</v>
      </c>
      <c r="B204" s="321">
        <v>195</v>
      </c>
      <c r="C204" s="336" t="s">
        <v>609</v>
      </c>
      <c r="D204" s="336"/>
      <c r="E204" s="342">
        <v>3.9000000000000004</v>
      </c>
      <c r="F204" s="323">
        <v>1.2</v>
      </c>
      <c r="G204" s="323">
        <v>0</v>
      </c>
      <c r="H204" s="323">
        <v>0</v>
      </c>
      <c r="I204" s="323">
        <v>2.7</v>
      </c>
      <c r="J204" s="326" t="s">
        <v>12</v>
      </c>
      <c r="K204" s="323">
        <f>SUM(F204:I204)</f>
        <v>3.9000000000000004</v>
      </c>
      <c r="L204" s="326"/>
      <c r="M204" s="458" t="s">
        <v>746</v>
      </c>
      <c r="N204" s="343"/>
    </row>
    <row r="205" spans="1:16" s="317" customFormat="1" ht="20.149999999999999" customHeight="1" x14ac:dyDescent="0.35">
      <c r="B205" s="373"/>
      <c r="C205" s="374" t="s">
        <v>341</v>
      </c>
      <c r="D205" s="374"/>
      <c r="E205" s="375">
        <f>SUM(E201:E204)</f>
        <v>28</v>
      </c>
      <c r="F205" s="375">
        <f>SUM(F201:F204)</f>
        <v>17.141200000000001</v>
      </c>
      <c r="G205" s="375">
        <f>SUM(G201:G204)</f>
        <v>0</v>
      </c>
      <c r="H205" s="375">
        <f>SUM(H201:H204)</f>
        <v>0</v>
      </c>
      <c r="I205" s="375">
        <f>SUM(I201:I204)</f>
        <v>10.859000000000002</v>
      </c>
      <c r="J205" s="376"/>
      <c r="K205" s="375"/>
      <c r="L205" s="372"/>
      <c r="M205" s="453"/>
      <c r="N205" s="377"/>
      <c r="O205" s="320"/>
    </row>
    <row r="206" spans="1:16" ht="20.149999999999999" customHeight="1" x14ac:dyDescent="0.35">
      <c r="B206" s="321"/>
      <c r="C206" s="330"/>
      <c r="D206" s="330"/>
      <c r="E206" s="323"/>
      <c r="F206" s="323"/>
      <c r="G206" s="323"/>
      <c r="H206" s="323"/>
      <c r="I206" s="323"/>
      <c r="J206" s="325"/>
      <c r="K206" s="323"/>
      <c r="L206" s="326"/>
      <c r="M206" s="363"/>
      <c r="N206" s="328"/>
      <c r="O206" s="331"/>
      <c r="P206" s="317" t="s">
        <v>845</v>
      </c>
    </row>
    <row r="207" spans="1:16" s="317" customFormat="1" ht="20.149999999999999" customHeight="1" x14ac:dyDescent="0.35">
      <c r="B207" s="403" t="s">
        <v>547</v>
      </c>
      <c r="C207" s="378"/>
      <c r="D207" s="378"/>
      <c r="E207" s="404"/>
      <c r="F207" s="404"/>
      <c r="G207" s="404"/>
      <c r="H207" s="404"/>
      <c r="I207" s="404"/>
      <c r="J207" s="405"/>
      <c r="K207" s="375"/>
      <c r="L207" s="402"/>
      <c r="M207" s="453"/>
      <c r="N207" s="377"/>
      <c r="P207" s="320">
        <f>E255+E216+E205+E198+E182+E178+E167+E153</f>
        <v>349.815</v>
      </c>
    </row>
    <row r="208" spans="1:16" ht="20.149999999999999" customHeight="1" x14ac:dyDescent="0.35">
      <c r="A208" s="329">
        <v>1</v>
      </c>
      <c r="B208" s="344">
        <v>196</v>
      </c>
      <c r="C208" s="348" t="s">
        <v>548</v>
      </c>
      <c r="D208" s="348"/>
      <c r="E208" s="345">
        <f>'[1]road inventory 2018'!C283</f>
        <v>12.700000000000001</v>
      </c>
      <c r="F208" s="345">
        <v>8.2100000000000009</v>
      </c>
      <c r="G208" s="345">
        <v>0</v>
      </c>
      <c r="H208" s="345">
        <v>0</v>
      </c>
      <c r="I208" s="345">
        <v>4.49</v>
      </c>
      <c r="J208" s="346" t="s">
        <v>12</v>
      </c>
      <c r="K208" s="323">
        <f t="shared" ref="K208:K215" si="15">SUM(F208:I208)</f>
        <v>12.700000000000001</v>
      </c>
      <c r="L208" s="347" t="s">
        <v>549</v>
      </c>
      <c r="M208" s="363"/>
      <c r="N208" s="328"/>
    </row>
    <row r="209" spans="1:15" ht="20.149999999999999" customHeight="1" x14ac:dyDescent="0.35">
      <c r="A209" s="329">
        <v>2</v>
      </c>
      <c r="B209" s="344">
        <v>197</v>
      </c>
      <c r="C209" s="348" t="s">
        <v>550</v>
      </c>
      <c r="D209" s="348"/>
      <c r="E209" s="345">
        <f>'[1]road inventory 2018'!C284</f>
        <v>6.6</v>
      </c>
      <c r="F209" s="345">
        <v>3.0939999999999999</v>
      </c>
      <c r="G209" s="345">
        <v>1.833</v>
      </c>
      <c r="H209" s="345">
        <v>0</v>
      </c>
      <c r="I209" s="345">
        <v>1.673</v>
      </c>
      <c r="J209" s="346" t="s">
        <v>10</v>
      </c>
      <c r="K209" s="323">
        <f t="shared" si="15"/>
        <v>6.6</v>
      </c>
      <c r="L209" s="347" t="s">
        <v>551</v>
      </c>
      <c r="M209" s="363"/>
      <c r="N209" s="328"/>
    </row>
    <row r="210" spans="1:15" ht="20.149999999999999" customHeight="1" x14ac:dyDescent="0.35">
      <c r="A210" s="329">
        <v>3</v>
      </c>
      <c r="B210" s="344">
        <v>199</v>
      </c>
      <c r="C210" s="348" t="s">
        <v>552</v>
      </c>
      <c r="D210" s="348"/>
      <c r="E210" s="345">
        <f>'[1]road inventory 2018'!C285</f>
        <v>5</v>
      </c>
      <c r="F210" s="345">
        <v>0.161</v>
      </c>
      <c r="G210" s="345">
        <v>3.31</v>
      </c>
      <c r="H210" s="345">
        <v>0.1</v>
      </c>
      <c r="I210" s="345">
        <v>1.429</v>
      </c>
      <c r="J210" s="346" t="s">
        <v>41</v>
      </c>
      <c r="K210" s="323">
        <f t="shared" si="15"/>
        <v>5</v>
      </c>
      <c r="L210" s="347" t="s">
        <v>553</v>
      </c>
      <c r="M210" s="363"/>
      <c r="N210" s="328"/>
    </row>
    <row r="211" spans="1:15" ht="20.149999999999999" customHeight="1" x14ac:dyDescent="0.35">
      <c r="A211" s="329">
        <v>4</v>
      </c>
      <c r="B211" s="344">
        <v>200</v>
      </c>
      <c r="C211" s="348" t="s">
        <v>291</v>
      </c>
      <c r="D211" s="348"/>
      <c r="E211" s="345">
        <f>'[1]road inventory 2018'!C286</f>
        <v>1.1000000000000001</v>
      </c>
      <c r="F211" s="345">
        <v>1.1000000000000001</v>
      </c>
      <c r="G211" s="345">
        <v>0</v>
      </c>
      <c r="H211" s="345">
        <v>0</v>
      </c>
      <c r="I211" s="345">
        <v>0</v>
      </c>
      <c r="J211" s="346" t="s">
        <v>10</v>
      </c>
      <c r="K211" s="323">
        <f t="shared" si="15"/>
        <v>1.1000000000000001</v>
      </c>
      <c r="L211" s="347" t="s">
        <v>554</v>
      </c>
      <c r="M211" s="363"/>
      <c r="N211" s="328"/>
    </row>
    <row r="212" spans="1:15" ht="20.149999999999999" customHeight="1" x14ac:dyDescent="0.35">
      <c r="A212" s="329">
        <v>5</v>
      </c>
      <c r="B212" s="344">
        <v>201</v>
      </c>
      <c r="C212" s="348" t="s">
        <v>555</v>
      </c>
      <c r="D212" s="348"/>
      <c r="E212" s="345">
        <f>'[1]road inventory 2018'!C287</f>
        <v>5.2</v>
      </c>
      <c r="F212" s="345">
        <v>2.7</v>
      </c>
      <c r="G212" s="345">
        <v>0</v>
      </c>
      <c r="H212" s="345">
        <v>0</v>
      </c>
      <c r="I212" s="345">
        <v>2.5</v>
      </c>
      <c r="J212" s="346" t="s">
        <v>10</v>
      </c>
      <c r="K212" s="323">
        <f t="shared" si="15"/>
        <v>5.2</v>
      </c>
      <c r="L212" s="347" t="s">
        <v>556</v>
      </c>
      <c r="M212" s="363"/>
      <c r="N212" s="328"/>
    </row>
    <row r="213" spans="1:15" ht="20.149999999999999" customHeight="1" x14ac:dyDescent="0.35">
      <c r="A213" s="329">
        <v>6</v>
      </c>
      <c r="B213" s="344">
        <v>202</v>
      </c>
      <c r="C213" s="348" t="s">
        <v>557</v>
      </c>
      <c r="D213" s="348"/>
      <c r="E213" s="345">
        <f>'[1]road inventory 2018'!C288</f>
        <v>5.3000000000000007</v>
      </c>
      <c r="F213" s="345">
        <v>1.37</v>
      </c>
      <c r="G213" s="345">
        <v>0</v>
      </c>
      <c r="H213" s="345">
        <v>0</v>
      </c>
      <c r="I213" s="345">
        <v>3.93</v>
      </c>
      <c r="J213" s="346" t="s">
        <v>10</v>
      </c>
      <c r="K213" s="323">
        <f t="shared" si="15"/>
        <v>5.3000000000000007</v>
      </c>
      <c r="L213" s="347" t="s">
        <v>556</v>
      </c>
      <c r="M213" s="363"/>
      <c r="N213" s="328">
        <v>1.37</v>
      </c>
    </row>
    <row r="214" spans="1:15" ht="20.149999999999999" customHeight="1" x14ac:dyDescent="0.35">
      <c r="A214" s="329">
        <v>7</v>
      </c>
      <c r="B214" s="344">
        <v>203</v>
      </c>
      <c r="C214" s="348" t="s">
        <v>558</v>
      </c>
      <c r="D214" s="348"/>
      <c r="E214" s="345">
        <f>'[1]road inventory 2018'!C289</f>
        <v>3.8</v>
      </c>
      <c r="F214" s="345">
        <v>2.5350000000000001</v>
      </c>
      <c r="G214" s="345">
        <v>0</v>
      </c>
      <c r="H214" s="345">
        <v>0</v>
      </c>
      <c r="I214" s="345">
        <v>1.2649999999999999</v>
      </c>
      <c r="J214" s="346" t="s">
        <v>10</v>
      </c>
      <c r="K214" s="323">
        <f t="shared" si="15"/>
        <v>3.8</v>
      </c>
      <c r="L214" s="347" t="s">
        <v>559</v>
      </c>
      <c r="M214" s="363"/>
      <c r="N214" s="328"/>
    </row>
    <row r="215" spans="1:15" ht="20.149999999999999" customHeight="1" x14ac:dyDescent="0.35">
      <c r="A215" s="329">
        <v>8</v>
      </c>
      <c r="B215" s="344">
        <v>228</v>
      </c>
      <c r="C215" s="348" t="s">
        <v>141</v>
      </c>
      <c r="D215" s="348"/>
      <c r="E215" s="345">
        <f>'[1]road inventory 2018'!C290</f>
        <v>9.3000000000000007</v>
      </c>
      <c r="F215" s="345">
        <v>7.22</v>
      </c>
      <c r="G215" s="345">
        <v>0</v>
      </c>
      <c r="H215" s="345">
        <v>0</v>
      </c>
      <c r="I215" s="345">
        <f>0.83+1.25</f>
        <v>2.08</v>
      </c>
      <c r="J215" s="346" t="s">
        <v>10</v>
      </c>
      <c r="K215" s="323">
        <f t="shared" si="15"/>
        <v>9.3000000000000007</v>
      </c>
      <c r="L215" s="347"/>
      <c r="M215" s="363"/>
      <c r="N215" s="328"/>
    </row>
    <row r="216" spans="1:15" s="317" customFormat="1" ht="20.149999999999999" customHeight="1" x14ac:dyDescent="0.35">
      <c r="B216" s="373"/>
      <c r="C216" s="374" t="s">
        <v>341</v>
      </c>
      <c r="D216" s="374"/>
      <c r="E216" s="375">
        <f>SUM(E208:E215)</f>
        <v>49</v>
      </c>
      <c r="F216" s="375">
        <f>SUM(F208:F215)</f>
        <v>26.39</v>
      </c>
      <c r="G216" s="375">
        <f>SUM(G208:G215)</f>
        <v>5.1429999999999998</v>
      </c>
      <c r="H216" s="375">
        <f>SUM(H208:H215)</f>
        <v>0.1</v>
      </c>
      <c r="I216" s="375">
        <f>SUM(I208:I215)</f>
        <v>17.367000000000001</v>
      </c>
      <c r="J216" s="376"/>
      <c r="K216" s="375"/>
      <c r="L216" s="372"/>
      <c r="M216" s="453"/>
      <c r="N216" s="377"/>
      <c r="O216" s="320"/>
    </row>
    <row r="217" spans="1:15" ht="20.149999999999999" customHeight="1" x14ac:dyDescent="0.35">
      <c r="B217" s="321"/>
      <c r="C217" s="330"/>
      <c r="D217" s="330"/>
      <c r="E217" s="323"/>
      <c r="F217" s="323"/>
      <c r="G217" s="323"/>
      <c r="H217" s="323"/>
      <c r="I217" s="323"/>
      <c r="J217" s="325"/>
      <c r="K217" s="323"/>
      <c r="L217" s="326"/>
      <c r="M217" s="363"/>
      <c r="N217" s="328"/>
      <c r="O217" s="331"/>
    </row>
    <row r="218" spans="1:15" s="317" customFormat="1" ht="20.149999999999999" customHeight="1" x14ac:dyDescent="0.35">
      <c r="B218" s="403" t="s">
        <v>501</v>
      </c>
      <c r="C218" s="378"/>
      <c r="D218" s="378"/>
      <c r="E218" s="404"/>
      <c r="F218" s="404"/>
      <c r="G218" s="404"/>
      <c r="H218" s="404"/>
      <c r="I218" s="404"/>
      <c r="J218" s="405"/>
      <c r="K218" s="375"/>
      <c r="L218" s="402"/>
      <c r="M218" s="453"/>
      <c r="N218" s="377"/>
    </row>
    <row r="219" spans="1:15" ht="20.149999999999999" customHeight="1" x14ac:dyDescent="0.35">
      <c r="A219" s="329">
        <v>1</v>
      </c>
      <c r="B219" s="321">
        <v>153</v>
      </c>
      <c r="C219" s="336" t="s">
        <v>121</v>
      </c>
      <c r="D219" s="336">
        <f>[2]CARRIAGEWAY!$D$13:$L$13</f>
        <v>11.456999999999999</v>
      </c>
      <c r="E219" s="336">
        <f>D219</f>
        <v>11.456999999999999</v>
      </c>
      <c r="F219" s="323">
        <f>[2]CARRIAGEWAY!$V$360</f>
        <v>4.8800000000000008</v>
      </c>
      <c r="G219" s="323">
        <f>[3]CARRIAGEWAY!$X$360</f>
        <v>0</v>
      </c>
      <c r="H219" s="323">
        <v>0</v>
      </c>
      <c r="I219" s="349">
        <f>D219-F219</f>
        <v>6.5769999999999982</v>
      </c>
      <c r="J219" s="325" t="s">
        <v>12</v>
      </c>
      <c r="K219" s="323">
        <f t="shared" ref="K219:K232" si="16">SUM(F219:I219)</f>
        <v>11.456999999999999</v>
      </c>
      <c r="L219" s="326" t="s">
        <v>502</v>
      </c>
      <c r="M219" s="350" t="s">
        <v>747</v>
      </c>
      <c r="N219" s="328"/>
    </row>
    <row r="220" spans="1:15" ht="20.149999999999999" customHeight="1" x14ac:dyDescent="0.35">
      <c r="A220" s="329">
        <v>2</v>
      </c>
      <c r="B220" s="321">
        <v>125</v>
      </c>
      <c r="C220" s="336" t="s">
        <v>125</v>
      </c>
      <c r="D220" s="336">
        <f>[4]CARRIAGEWAY!$D$13:$L$13</f>
        <v>2.9</v>
      </c>
      <c r="E220" s="336">
        <f t="shared" ref="E220:E226" si="17">D220</f>
        <v>2.9</v>
      </c>
      <c r="F220" s="323">
        <v>0</v>
      </c>
      <c r="G220" s="323">
        <v>0</v>
      </c>
      <c r="H220" s="323">
        <v>0</v>
      </c>
      <c r="I220" s="349">
        <v>2.9</v>
      </c>
      <c r="J220" s="325" t="s">
        <v>12</v>
      </c>
      <c r="K220" s="323">
        <f t="shared" si="16"/>
        <v>2.9</v>
      </c>
      <c r="L220" s="326" t="s">
        <v>502</v>
      </c>
      <c r="M220" s="363"/>
      <c r="N220" s="328"/>
    </row>
    <row r="221" spans="1:15" ht="20.149999999999999" customHeight="1" x14ac:dyDescent="0.35">
      <c r="A221" s="329">
        <v>3</v>
      </c>
      <c r="B221" s="321">
        <v>154</v>
      </c>
      <c r="C221" s="336" t="s">
        <v>127</v>
      </c>
      <c r="D221" s="336">
        <f>[5]CARRIAGEWAY!$D$13:$L$13</f>
        <v>7.016</v>
      </c>
      <c r="E221" s="336">
        <f t="shared" si="17"/>
        <v>7.016</v>
      </c>
      <c r="F221" s="323">
        <f>[5]CARRIAGEWAY!$V$360</f>
        <v>0.27400000000000002</v>
      </c>
      <c r="G221" s="323">
        <v>0</v>
      </c>
      <c r="H221" s="323">
        <v>0</v>
      </c>
      <c r="I221" s="349">
        <f>D221-F221</f>
        <v>6.742</v>
      </c>
      <c r="J221" s="325" t="s">
        <v>12</v>
      </c>
      <c r="K221" s="323">
        <f t="shared" si="16"/>
        <v>7.016</v>
      </c>
      <c r="L221" s="326" t="s">
        <v>503</v>
      </c>
      <c r="M221" s="363"/>
      <c r="N221" s="328"/>
    </row>
    <row r="222" spans="1:15" ht="20.149999999999999" customHeight="1" x14ac:dyDescent="0.35">
      <c r="A222" s="329">
        <v>4</v>
      </c>
      <c r="B222" s="321">
        <v>127</v>
      </c>
      <c r="C222" s="336" t="s">
        <v>504</v>
      </c>
      <c r="D222" s="336">
        <f>[6]CARRIAGEWAY!$D$13:$L$13</f>
        <v>3.1</v>
      </c>
      <c r="E222" s="336">
        <f t="shared" si="17"/>
        <v>3.1</v>
      </c>
      <c r="F222" s="323">
        <f>[6]CARRIAGEWAY!$V$360</f>
        <v>1.5590000000000002</v>
      </c>
      <c r="G222" s="323">
        <v>0</v>
      </c>
      <c r="H222" s="323">
        <v>0</v>
      </c>
      <c r="I222" s="349">
        <f>D222-F222</f>
        <v>1.5409999999999999</v>
      </c>
      <c r="J222" s="325" t="s">
        <v>10</v>
      </c>
      <c r="K222" s="323">
        <f t="shared" si="16"/>
        <v>3.1</v>
      </c>
      <c r="L222" s="326" t="s">
        <v>505</v>
      </c>
      <c r="M222" s="363"/>
      <c r="N222" s="328"/>
    </row>
    <row r="223" spans="1:15" ht="20.149999999999999" customHeight="1" x14ac:dyDescent="0.35">
      <c r="A223" s="329">
        <v>5</v>
      </c>
      <c r="B223" s="321">
        <v>128</v>
      </c>
      <c r="C223" s="336" t="s">
        <v>507</v>
      </c>
      <c r="D223" s="336">
        <f>[7]CARRIAGEWAY!$D$13:$L$13</f>
        <v>2.323</v>
      </c>
      <c r="E223" s="336">
        <f t="shared" si="17"/>
        <v>2.323</v>
      </c>
      <c r="F223" s="323">
        <f>[7]CARRIAGEWAY!$V$360</f>
        <v>2.1819999999999999</v>
      </c>
      <c r="G223" s="323">
        <v>0</v>
      </c>
      <c r="H223" s="323">
        <v>0</v>
      </c>
      <c r="I223" s="349">
        <f>D223-F223</f>
        <v>0.14100000000000001</v>
      </c>
      <c r="J223" s="325" t="s">
        <v>10</v>
      </c>
      <c r="K223" s="323">
        <f t="shared" si="16"/>
        <v>2.323</v>
      </c>
      <c r="L223" s="326" t="s">
        <v>508</v>
      </c>
      <c r="M223" s="363"/>
      <c r="N223" s="328"/>
    </row>
    <row r="224" spans="1:15" ht="20.149999999999999" customHeight="1" x14ac:dyDescent="0.35">
      <c r="A224" s="329">
        <v>6</v>
      </c>
      <c r="B224" s="321">
        <v>155</v>
      </c>
      <c r="C224" s="336" t="s">
        <v>509</v>
      </c>
      <c r="D224" s="336">
        <f>[8]CARRIAGEWAY!$D$13:$L$13</f>
        <v>3.7970000000000002</v>
      </c>
      <c r="E224" s="336">
        <f t="shared" si="17"/>
        <v>3.7970000000000002</v>
      </c>
      <c r="F224" s="323">
        <v>1.99</v>
      </c>
      <c r="G224" s="323">
        <v>0</v>
      </c>
      <c r="H224" s="323">
        <v>0</v>
      </c>
      <c r="I224" s="349">
        <f>D224-F224</f>
        <v>1.8070000000000002</v>
      </c>
      <c r="J224" s="325" t="s">
        <v>41</v>
      </c>
      <c r="K224" s="323">
        <f t="shared" si="16"/>
        <v>3.7970000000000002</v>
      </c>
      <c r="L224" s="326" t="s">
        <v>510</v>
      </c>
      <c r="M224" s="363"/>
      <c r="N224" s="328"/>
    </row>
    <row r="225" spans="1:16" ht="20.149999999999999" customHeight="1" x14ac:dyDescent="0.35">
      <c r="A225" s="329">
        <v>7</v>
      </c>
      <c r="B225" s="321">
        <v>129</v>
      </c>
      <c r="C225" s="336" t="s">
        <v>512</v>
      </c>
      <c r="D225" s="336">
        <f>[9]CARRIAGEWAY!$D$13:$L$13</f>
        <v>2.7849999999999997</v>
      </c>
      <c r="E225" s="336">
        <f t="shared" si="17"/>
        <v>2.7849999999999997</v>
      </c>
      <c r="F225" s="323">
        <v>0</v>
      </c>
      <c r="G225" s="323">
        <v>0</v>
      </c>
      <c r="H225" s="323">
        <v>0</v>
      </c>
      <c r="I225" s="349">
        <f>D225</f>
        <v>2.7849999999999997</v>
      </c>
      <c r="J225" s="325" t="s">
        <v>12</v>
      </c>
      <c r="K225" s="323">
        <f t="shared" si="16"/>
        <v>2.7849999999999997</v>
      </c>
      <c r="L225" s="326" t="s">
        <v>513</v>
      </c>
      <c r="M225" s="363"/>
      <c r="N225" s="328"/>
    </row>
    <row r="226" spans="1:16" ht="20.149999999999999" customHeight="1" x14ac:dyDescent="0.35">
      <c r="A226" s="329">
        <v>8</v>
      </c>
      <c r="B226" s="321">
        <v>156</v>
      </c>
      <c r="C226" s="336" t="s">
        <v>130</v>
      </c>
      <c r="D226" s="336">
        <v>20.45</v>
      </c>
      <c r="E226" s="336">
        <f t="shared" si="17"/>
        <v>20.45</v>
      </c>
      <c r="F226" s="323">
        <f>5.49+2.715</f>
        <v>8.2050000000000001</v>
      </c>
      <c r="G226" s="323">
        <v>0</v>
      </c>
      <c r="H226" s="323">
        <v>0</v>
      </c>
      <c r="I226" s="349">
        <f>D226-F226</f>
        <v>12.244999999999999</v>
      </c>
      <c r="J226" s="325" t="s">
        <v>12</v>
      </c>
      <c r="K226" s="323">
        <f t="shared" si="16"/>
        <v>20.45</v>
      </c>
      <c r="L226" s="326" t="s">
        <v>514</v>
      </c>
      <c r="M226" s="363"/>
      <c r="N226" s="328">
        <f>5.49+2.715</f>
        <v>8.2050000000000001</v>
      </c>
    </row>
    <row r="227" spans="1:16" ht="20.149999999999999" customHeight="1" x14ac:dyDescent="0.35">
      <c r="A227" s="329">
        <v>9</v>
      </c>
      <c r="B227" s="321">
        <v>157</v>
      </c>
      <c r="C227" s="336" t="s">
        <v>515</v>
      </c>
      <c r="D227" s="931"/>
      <c r="E227" s="323">
        <f>'[1]road inventory 2018'!C254</f>
        <v>8.6999999999999993</v>
      </c>
      <c r="F227" s="323">
        <v>0</v>
      </c>
      <c r="G227" s="323">
        <v>0</v>
      </c>
      <c r="H227" s="323">
        <v>0</v>
      </c>
      <c r="I227" s="349">
        <v>0</v>
      </c>
      <c r="J227" s="325" t="s">
        <v>12</v>
      </c>
      <c r="K227" s="323">
        <f t="shared" si="16"/>
        <v>0</v>
      </c>
      <c r="L227" s="326"/>
      <c r="M227" s="363"/>
      <c r="N227" s="328"/>
    </row>
    <row r="228" spans="1:16" ht="20.149999999999999" customHeight="1" x14ac:dyDescent="0.35">
      <c r="A228" s="329">
        <v>10</v>
      </c>
      <c r="B228" s="321">
        <v>158</v>
      </c>
      <c r="C228" s="336" t="s">
        <v>517</v>
      </c>
      <c r="D228" s="931"/>
      <c r="E228" s="323">
        <f>'[1]road inventory 2018'!C255</f>
        <v>7.1999999999999993</v>
      </c>
      <c r="F228" s="323">
        <v>0</v>
      </c>
      <c r="G228" s="323">
        <v>0</v>
      </c>
      <c r="H228" s="323">
        <v>0</v>
      </c>
      <c r="I228" s="349">
        <v>0</v>
      </c>
      <c r="J228" s="325" t="s">
        <v>33</v>
      </c>
      <c r="K228" s="323">
        <f t="shared" si="16"/>
        <v>0</v>
      </c>
      <c r="L228" s="326"/>
      <c r="M228" s="363"/>
      <c r="N228" s="328">
        <v>4.08</v>
      </c>
    </row>
    <row r="229" spans="1:16" ht="20.149999999999999" customHeight="1" x14ac:dyDescent="0.35">
      <c r="A229" s="329">
        <v>11</v>
      </c>
      <c r="B229" s="321">
        <v>159</v>
      </c>
      <c r="C229" s="336" t="s">
        <v>518</v>
      </c>
      <c r="D229" s="931"/>
      <c r="E229" s="323">
        <f>'[1]road inventory 2018'!C256</f>
        <v>4.8</v>
      </c>
      <c r="F229" s="323">
        <v>0</v>
      </c>
      <c r="G229" s="323">
        <v>0</v>
      </c>
      <c r="H229" s="323">
        <v>0</v>
      </c>
      <c r="I229" s="349">
        <v>0</v>
      </c>
      <c r="J229" s="325" t="s">
        <v>33</v>
      </c>
      <c r="K229" s="323">
        <f t="shared" si="16"/>
        <v>0</v>
      </c>
      <c r="L229" s="326"/>
      <c r="M229" s="363"/>
      <c r="N229" s="328"/>
    </row>
    <row r="230" spans="1:16" ht="20.149999999999999" customHeight="1" x14ac:dyDescent="0.35">
      <c r="A230" s="329">
        <v>12</v>
      </c>
      <c r="B230" s="321">
        <v>130</v>
      </c>
      <c r="C230" s="336" t="s">
        <v>519</v>
      </c>
      <c r="D230" s="336">
        <v>10.55</v>
      </c>
      <c r="E230" s="323">
        <f>D230</f>
        <v>10.55</v>
      </c>
      <c r="F230" s="323">
        <v>2.2000000000000002</v>
      </c>
      <c r="G230" s="323">
        <f>[10]CARRIAGEWAY!$X$360</f>
        <v>0</v>
      </c>
      <c r="H230" s="323">
        <v>0</v>
      </c>
      <c r="I230" s="349">
        <f>D230-F230</f>
        <v>8.3500000000000014</v>
      </c>
      <c r="J230" s="325" t="s">
        <v>41</v>
      </c>
      <c r="K230" s="323">
        <f t="shared" si="16"/>
        <v>10.55</v>
      </c>
      <c r="L230" s="326" t="s">
        <v>520</v>
      </c>
      <c r="M230" s="363"/>
      <c r="N230" s="328"/>
      <c r="O230" s="351"/>
      <c r="P230" s="352"/>
    </row>
    <row r="231" spans="1:16" ht="20.149999999999999" customHeight="1" x14ac:dyDescent="0.35">
      <c r="A231" s="329">
        <v>13</v>
      </c>
      <c r="B231" s="321">
        <v>131</v>
      </c>
      <c r="C231" s="336" t="s">
        <v>523</v>
      </c>
      <c r="D231" s="336">
        <f>[11]CARRIAGEWAY!$D$13:$L$13</f>
        <v>5.3309999999999995</v>
      </c>
      <c r="E231" s="323">
        <f>D231</f>
        <v>5.3309999999999995</v>
      </c>
      <c r="F231" s="323">
        <v>4.8499999999999996</v>
      </c>
      <c r="G231" s="323">
        <v>0</v>
      </c>
      <c r="H231" s="323">
        <v>0</v>
      </c>
      <c r="I231" s="349">
        <f>D231-F231</f>
        <v>0.48099999999999987</v>
      </c>
      <c r="J231" s="325" t="s">
        <v>12</v>
      </c>
      <c r="K231" s="323">
        <f t="shared" si="16"/>
        <v>5.3309999999999995</v>
      </c>
      <c r="L231" s="326"/>
      <c r="M231" s="363"/>
      <c r="N231" s="328"/>
    </row>
    <row r="232" spans="1:16" ht="20.149999999999999" customHeight="1" x14ac:dyDescent="0.35">
      <c r="A232" s="329">
        <v>14</v>
      </c>
      <c r="B232" s="321">
        <v>135</v>
      </c>
      <c r="C232" s="336" t="s">
        <v>139</v>
      </c>
      <c r="D232" s="336">
        <f>[12]CARRIAGEWAY!$D$13:$L$13</f>
        <v>4.4809999999999999</v>
      </c>
      <c r="E232" s="323">
        <f>D232</f>
        <v>4.4809999999999999</v>
      </c>
      <c r="F232" s="323">
        <v>0</v>
      </c>
      <c r="G232" s="323">
        <v>0</v>
      </c>
      <c r="H232" s="323">
        <v>0</v>
      </c>
      <c r="I232" s="349">
        <f>D232</f>
        <v>4.4809999999999999</v>
      </c>
      <c r="J232" s="325" t="s">
        <v>12</v>
      </c>
      <c r="K232" s="323">
        <f t="shared" si="16"/>
        <v>4.4809999999999999</v>
      </c>
      <c r="L232" s="326" t="s">
        <v>525</v>
      </c>
      <c r="M232" s="363"/>
      <c r="N232" s="328"/>
    </row>
    <row r="233" spans="1:16" s="317" customFormat="1" ht="20.149999999999999" customHeight="1" x14ac:dyDescent="0.35">
      <c r="B233" s="373"/>
      <c r="C233" s="374" t="s">
        <v>341</v>
      </c>
      <c r="D233" s="374">
        <f t="shared" ref="D233:I233" si="18">SUM(D219:D232)</f>
        <v>74.19</v>
      </c>
      <c r="E233" s="375">
        <f t="shared" si="18"/>
        <v>94.89</v>
      </c>
      <c r="F233" s="375">
        <f t="shared" si="18"/>
        <v>26.14</v>
      </c>
      <c r="G233" s="375">
        <f t="shared" si="18"/>
        <v>0</v>
      </c>
      <c r="H233" s="375">
        <f t="shared" si="18"/>
        <v>0</v>
      </c>
      <c r="I233" s="375">
        <f t="shared" si="18"/>
        <v>48.05</v>
      </c>
      <c r="J233" s="376"/>
      <c r="K233" s="375"/>
      <c r="L233" s="372"/>
      <c r="M233" s="453">
        <f>F233+I233</f>
        <v>74.19</v>
      </c>
      <c r="N233" s="377"/>
      <c r="O233" s="320"/>
    </row>
    <row r="234" spans="1:16" ht="20.149999999999999" customHeight="1" x14ac:dyDescent="0.35">
      <c r="B234" s="321"/>
      <c r="C234" s="330"/>
      <c r="D234" s="330"/>
      <c r="E234" s="323"/>
      <c r="F234" s="323"/>
      <c r="G234" s="323"/>
      <c r="H234" s="323"/>
      <c r="I234" s="323"/>
      <c r="J234" s="325"/>
      <c r="K234" s="323"/>
      <c r="L234" s="326"/>
      <c r="M234" s="363"/>
      <c r="N234" s="328"/>
      <c r="O234" s="320" t="s">
        <v>300</v>
      </c>
    </row>
    <row r="235" spans="1:16" s="317" customFormat="1" ht="20.149999999999999" customHeight="1" x14ac:dyDescent="0.35">
      <c r="B235" s="390" t="s">
        <v>494</v>
      </c>
      <c r="C235" s="378"/>
      <c r="D235" s="378"/>
      <c r="E235" s="375"/>
      <c r="F235" s="375"/>
      <c r="G235" s="375"/>
      <c r="H235" s="375"/>
      <c r="I235" s="406"/>
      <c r="J235" s="376"/>
      <c r="K235" s="375"/>
      <c r="L235" s="400"/>
      <c r="M235" s="453"/>
      <c r="N235" s="377"/>
      <c r="O235" s="320">
        <f>E233+E241+E275+E286+E297</f>
        <v>424.08599999999996</v>
      </c>
    </row>
    <row r="236" spans="1:16" ht="20.149999999999999" customHeight="1" x14ac:dyDescent="0.35">
      <c r="A236" s="329">
        <v>1</v>
      </c>
      <c r="B236" s="321">
        <v>148</v>
      </c>
      <c r="C236" s="336" t="s">
        <v>290</v>
      </c>
      <c r="D236" s="336">
        <f>[13]CARRIAGEWAY!$D$13:$L$13</f>
        <v>3.0760000000000005</v>
      </c>
      <c r="E236" s="323">
        <f>D236</f>
        <v>3.0760000000000005</v>
      </c>
      <c r="F236" s="323">
        <v>0.32500000000000001</v>
      </c>
      <c r="G236" s="323">
        <v>0</v>
      </c>
      <c r="H236" s="323">
        <v>0</v>
      </c>
      <c r="I236" s="323">
        <f>D236-F236</f>
        <v>2.7510000000000003</v>
      </c>
      <c r="J236" s="325" t="s">
        <v>41</v>
      </c>
      <c r="K236" s="323">
        <f>SUM(F236:I236)</f>
        <v>3.0760000000000005</v>
      </c>
      <c r="L236" s="325" t="s">
        <v>735</v>
      </c>
      <c r="M236" s="363"/>
      <c r="N236" s="328"/>
    </row>
    <row r="237" spans="1:16" ht="20.149999999999999" customHeight="1" x14ac:dyDescent="0.35">
      <c r="A237" s="329">
        <v>2</v>
      </c>
      <c r="B237" s="321">
        <v>149</v>
      </c>
      <c r="C237" s="336" t="s">
        <v>496</v>
      </c>
      <c r="D237" s="336">
        <f>[14]CARRIAGEWAY!$D$13:$L$13</f>
        <v>5.0560000000000009</v>
      </c>
      <c r="E237" s="323">
        <f>D237</f>
        <v>5.0560000000000009</v>
      </c>
      <c r="F237" s="323">
        <v>3.55</v>
      </c>
      <c r="G237" s="323">
        <v>0</v>
      </c>
      <c r="H237" s="323">
        <v>0</v>
      </c>
      <c r="I237" s="323">
        <f>D237-F237</f>
        <v>1.5060000000000011</v>
      </c>
      <c r="J237" s="325" t="s">
        <v>12</v>
      </c>
      <c r="K237" s="323">
        <f>SUM(F237:I237)</f>
        <v>5.0560000000000009</v>
      </c>
      <c r="L237" s="325" t="s">
        <v>736</v>
      </c>
      <c r="M237" s="363"/>
      <c r="N237" s="328"/>
    </row>
    <row r="238" spans="1:16" ht="20.149999999999999" customHeight="1" x14ac:dyDescent="0.35">
      <c r="A238" s="329">
        <v>3</v>
      </c>
      <c r="B238" s="321">
        <v>150</v>
      </c>
      <c r="C238" s="336" t="s">
        <v>116</v>
      </c>
      <c r="D238" s="336">
        <f>[15]CARRIAGEWAY!$D$13:$L$13</f>
        <v>11.209</v>
      </c>
      <c r="E238" s="323">
        <f>D238</f>
        <v>11.209</v>
      </c>
      <c r="F238" s="323">
        <v>7.01</v>
      </c>
      <c r="G238" s="323">
        <v>0</v>
      </c>
      <c r="H238" s="323">
        <v>0</v>
      </c>
      <c r="I238" s="323">
        <f>D238-F238</f>
        <v>4.1989999999999998</v>
      </c>
      <c r="J238" s="325" t="s">
        <v>10</v>
      </c>
      <c r="K238" s="323">
        <f>SUM(F238:I238)</f>
        <v>11.209</v>
      </c>
      <c r="L238" s="325" t="s">
        <v>737</v>
      </c>
      <c r="M238" s="363"/>
      <c r="N238" s="328"/>
    </row>
    <row r="239" spans="1:16" ht="20.149999999999999" customHeight="1" x14ac:dyDescent="0.35">
      <c r="A239" s="329">
        <v>4</v>
      </c>
      <c r="B239" s="321">
        <v>151</v>
      </c>
      <c r="C239" s="336" t="s">
        <v>499</v>
      </c>
      <c r="D239" s="336">
        <f>[16]CARRIAGEWAY!$D$13:$L$13</f>
        <v>4.0670000000000002</v>
      </c>
      <c r="E239" s="323">
        <f>D239</f>
        <v>4.0670000000000002</v>
      </c>
      <c r="F239" s="323">
        <v>1.85</v>
      </c>
      <c r="G239" s="323">
        <v>0</v>
      </c>
      <c r="H239" s="323">
        <v>0</v>
      </c>
      <c r="I239" s="323">
        <f>D239-F239</f>
        <v>2.2170000000000001</v>
      </c>
      <c r="J239" s="325" t="s">
        <v>12</v>
      </c>
      <c r="K239" s="323">
        <f>SUM(F239:I239)</f>
        <v>4.0670000000000002</v>
      </c>
      <c r="L239" s="325" t="s">
        <v>738</v>
      </c>
      <c r="M239" s="363"/>
      <c r="N239" s="328"/>
    </row>
    <row r="240" spans="1:16" ht="20.149999999999999" customHeight="1" x14ac:dyDescent="0.35">
      <c r="A240" s="329">
        <v>5</v>
      </c>
      <c r="B240" s="321">
        <v>152</v>
      </c>
      <c r="C240" s="336" t="s">
        <v>120</v>
      </c>
      <c r="D240" s="336">
        <f>[17]CARRIAGEWAY!$D$13:$L$13</f>
        <v>4.7160000000000002</v>
      </c>
      <c r="E240" s="323">
        <f>D240</f>
        <v>4.7160000000000002</v>
      </c>
      <c r="F240" s="323">
        <v>0.3</v>
      </c>
      <c r="G240" s="323">
        <v>0</v>
      </c>
      <c r="H240" s="323">
        <v>0</v>
      </c>
      <c r="I240" s="323">
        <f>D240-F240</f>
        <v>4.4160000000000004</v>
      </c>
      <c r="J240" s="325" t="s">
        <v>12</v>
      </c>
      <c r="K240" s="323">
        <f>SUM(F240:I240)</f>
        <v>4.7160000000000002</v>
      </c>
      <c r="L240" s="326"/>
      <c r="M240" s="363"/>
      <c r="N240" s="328"/>
      <c r="O240" s="329" t="e">
        <f>#REF!</f>
        <v>#REF!</v>
      </c>
    </row>
    <row r="241" spans="1:15" s="317" customFormat="1" ht="20.149999999999999" customHeight="1" x14ac:dyDescent="0.35">
      <c r="B241" s="373"/>
      <c r="C241" s="374" t="s">
        <v>341</v>
      </c>
      <c r="D241" s="374">
        <f t="shared" ref="D241:I241" si="19">SUM(D236:D240)</f>
        <v>28.124000000000002</v>
      </c>
      <c r="E241" s="375">
        <f t="shared" si="19"/>
        <v>28.124000000000002</v>
      </c>
      <c r="F241" s="375">
        <f t="shared" si="19"/>
        <v>13.035</v>
      </c>
      <c r="G241" s="375">
        <f t="shared" si="19"/>
        <v>0</v>
      </c>
      <c r="H241" s="375">
        <f t="shared" si="19"/>
        <v>0</v>
      </c>
      <c r="I241" s="375">
        <f t="shared" si="19"/>
        <v>15.089000000000002</v>
      </c>
      <c r="J241" s="376"/>
      <c r="K241" s="375"/>
      <c r="L241" s="372"/>
      <c r="M241" s="453">
        <f>F241+I241</f>
        <v>28.124000000000002</v>
      </c>
      <c r="N241" s="377"/>
      <c r="O241" s="320">
        <f>O235+P207+P16</f>
        <v>1250.1509999999998</v>
      </c>
    </row>
    <row r="242" spans="1:15" ht="20.149999999999999" customHeight="1" x14ac:dyDescent="0.35">
      <c r="B242" s="321"/>
      <c r="C242" s="330"/>
      <c r="D242" s="330"/>
      <c r="E242" s="323"/>
      <c r="F242" s="323"/>
      <c r="G242" s="323"/>
      <c r="H242" s="323"/>
      <c r="I242" s="323"/>
      <c r="J242" s="325"/>
      <c r="K242" s="323"/>
      <c r="L242" s="326"/>
      <c r="M242" s="363"/>
      <c r="N242" s="328"/>
      <c r="O242" s="331"/>
    </row>
    <row r="243" spans="1:15" ht="20.149999999999999" customHeight="1" x14ac:dyDescent="0.35">
      <c r="B243" s="390" t="s">
        <v>560</v>
      </c>
      <c r="C243" s="388"/>
      <c r="D243" s="388"/>
      <c r="E243" s="385"/>
      <c r="F243" s="385"/>
      <c r="G243" s="385"/>
      <c r="H243" s="385"/>
      <c r="I243" s="385"/>
      <c r="J243" s="386"/>
      <c r="K243" s="385"/>
      <c r="L243" s="399"/>
      <c r="M243" s="454"/>
      <c r="N243" s="387"/>
      <c r="O243" s="754" t="e">
        <f>O241-O240</f>
        <v>#REF!</v>
      </c>
    </row>
    <row r="244" spans="1:15" ht="20.149999999999999" customHeight="1" x14ac:dyDescent="0.35">
      <c r="A244" s="329">
        <v>1</v>
      </c>
      <c r="B244" s="321">
        <v>204</v>
      </c>
      <c r="C244" s="336" t="s">
        <v>561</v>
      </c>
      <c r="D244" s="336"/>
      <c r="E244" s="323">
        <f>'[1]road inventory 2018'!C298</f>
        <v>15.87</v>
      </c>
      <c r="F244" s="323">
        <v>6.92</v>
      </c>
      <c r="G244" s="323">
        <v>2.5499999999999998</v>
      </c>
      <c r="H244" s="323">
        <v>0</v>
      </c>
      <c r="I244" s="323">
        <v>6.4</v>
      </c>
      <c r="J244" s="325" t="s">
        <v>33</v>
      </c>
      <c r="K244" s="323">
        <f t="shared" ref="K244:K254" si="20">SUM(F244:I244)</f>
        <v>15.87</v>
      </c>
      <c r="L244" s="326" t="s">
        <v>562</v>
      </c>
      <c r="M244" s="363"/>
      <c r="N244" s="328"/>
    </row>
    <row r="245" spans="1:15" ht="20.149999999999999" customHeight="1" x14ac:dyDescent="0.35">
      <c r="A245" s="329">
        <v>2</v>
      </c>
      <c r="B245" s="321">
        <v>205</v>
      </c>
      <c r="C245" s="336" t="s">
        <v>563</v>
      </c>
      <c r="D245" s="336"/>
      <c r="E245" s="323">
        <f>'[1]road inventory 2018'!C299</f>
        <v>0.37</v>
      </c>
      <c r="F245" s="323">
        <v>0.37</v>
      </c>
      <c r="G245" s="323">
        <v>0</v>
      </c>
      <c r="H245" s="323">
        <v>0</v>
      </c>
      <c r="I245" s="323">
        <v>0</v>
      </c>
      <c r="J245" s="325" t="s">
        <v>10</v>
      </c>
      <c r="K245" s="323">
        <f t="shared" si="20"/>
        <v>0.37</v>
      </c>
      <c r="L245" s="326" t="s">
        <v>564</v>
      </c>
      <c r="M245" s="363"/>
      <c r="N245" s="328"/>
    </row>
    <row r="246" spans="1:15" ht="20.149999999999999" customHeight="1" x14ac:dyDescent="0.35">
      <c r="A246" s="329">
        <v>3</v>
      </c>
      <c r="B246" s="321">
        <v>213</v>
      </c>
      <c r="C246" s="336" t="s">
        <v>293</v>
      </c>
      <c r="D246" s="336"/>
      <c r="E246" s="323">
        <f>'[1]road inventory 2018'!C300</f>
        <v>1.8599999999999999</v>
      </c>
      <c r="F246" s="323">
        <v>1.86</v>
      </c>
      <c r="G246" s="323">
        <v>0</v>
      </c>
      <c r="H246" s="323">
        <v>0</v>
      </c>
      <c r="I246" s="323">
        <v>0</v>
      </c>
      <c r="J246" s="325" t="s">
        <v>12</v>
      </c>
      <c r="K246" s="323">
        <f t="shared" si="20"/>
        <v>1.86</v>
      </c>
      <c r="L246" s="326" t="s">
        <v>565</v>
      </c>
      <c r="M246" s="363"/>
      <c r="N246" s="328"/>
    </row>
    <row r="247" spans="1:15" ht="20.149999999999999" customHeight="1" x14ac:dyDescent="0.35">
      <c r="A247" s="329">
        <v>4</v>
      </c>
      <c r="B247" s="321">
        <v>206</v>
      </c>
      <c r="C247" s="336" t="s">
        <v>295</v>
      </c>
      <c r="D247" s="336"/>
      <c r="E247" s="323">
        <f>'[1]road inventory 2018'!C301</f>
        <v>2</v>
      </c>
      <c r="F247" s="323">
        <v>2</v>
      </c>
      <c r="G247" s="323">
        <v>0</v>
      </c>
      <c r="H247" s="323">
        <v>0</v>
      </c>
      <c r="I247" s="323">
        <v>0</v>
      </c>
      <c r="J247" s="325" t="s">
        <v>12</v>
      </c>
      <c r="K247" s="323">
        <f t="shared" si="20"/>
        <v>2</v>
      </c>
      <c r="L247" s="326" t="s">
        <v>566</v>
      </c>
      <c r="M247" s="363"/>
      <c r="N247" s="328"/>
    </row>
    <row r="248" spans="1:15" ht="20.149999999999999" customHeight="1" x14ac:dyDescent="0.35">
      <c r="A248" s="329">
        <v>5</v>
      </c>
      <c r="B248" s="321">
        <v>207</v>
      </c>
      <c r="C248" s="336" t="s">
        <v>292</v>
      </c>
      <c r="D248" s="336"/>
      <c r="E248" s="323">
        <f>'[1]road inventory 2018'!C302</f>
        <v>3.38</v>
      </c>
      <c r="F248" s="323">
        <v>2.4660000000000002</v>
      </c>
      <c r="G248" s="323">
        <v>0</v>
      </c>
      <c r="H248" s="323">
        <v>0.91400000000000003</v>
      </c>
      <c r="I248" s="323">
        <v>0</v>
      </c>
      <c r="J248" s="325" t="s">
        <v>41</v>
      </c>
      <c r="K248" s="323">
        <f t="shared" si="20"/>
        <v>3.3800000000000003</v>
      </c>
      <c r="L248" s="326" t="s">
        <v>567</v>
      </c>
      <c r="M248" s="363"/>
      <c r="N248" s="328"/>
    </row>
    <row r="249" spans="1:15" ht="20.149999999999999" customHeight="1" x14ac:dyDescent="0.35">
      <c r="A249" s="329">
        <v>6</v>
      </c>
      <c r="B249" s="321">
        <v>229</v>
      </c>
      <c r="C249" s="336" t="s">
        <v>568</v>
      </c>
      <c r="D249" s="336"/>
      <c r="E249" s="323">
        <f>'[1]road inventory 2018'!C303</f>
        <v>0.1</v>
      </c>
      <c r="F249" s="323">
        <v>0</v>
      </c>
      <c r="G249" s="323">
        <v>0</v>
      </c>
      <c r="H249" s="323">
        <v>0</v>
      </c>
      <c r="I249" s="323">
        <v>0.1</v>
      </c>
      <c r="J249" s="325" t="s">
        <v>33</v>
      </c>
      <c r="K249" s="323">
        <f t="shared" si="20"/>
        <v>0.1</v>
      </c>
      <c r="L249" s="326" t="s">
        <v>569</v>
      </c>
      <c r="M249" s="363"/>
      <c r="N249" s="328"/>
    </row>
    <row r="250" spans="1:15" ht="20.149999999999999" customHeight="1" x14ac:dyDescent="0.35">
      <c r="A250" s="329">
        <v>7</v>
      </c>
      <c r="B250" s="321">
        <v>215</v>
      </c>
      <c r="C250" s="336" t="s">
        <v>570</v>
      </c>
      <c r="D250" s="336"/>
      <c r="E250" s="323">
        <f>'[1]road inventory 2018'!C307</f>
        <v>3.8</v>
      </c>
      <c r="F250" s="323">
        <v>1</v>
      </c>
      <c r="G250" s="323">
        <v>2.8</v>
      </c>
      <c r="H250" s="323">
        <v>0</v>
      </c>
      <c r="I250" s="323">
        <v>0</v>
      </c>
      <c r="J250" s="325" t="s">
        <v>41</v>
      </c>
      <c r="K250" s="323">
        <f t="shared" si="20"/>
        <v>3.8</v>
      </c>
      <c r="L250" s="326" t="s">
        <v>571</v>
      </c>
      <c r="M250" s="363"/>
      <c r="N250" s="328">
        <v>1</v>
      </c>
    </row>
    <row r="251" spans="1:15" ht="20.149999999999999" customHeight="1" x14ac:dyDescent="0.35">
      <c r="A251" s="329">
        <v>8</v>
      </c>
      <c r="B251" s="321">
        <v>208</v>
      </c>
      <c r="C251" s="336" t="s">
        <v>572</v>
      </c>
      <c r="D251" s="336"/>
      <c r="E251" s="323">
        <f>'[1]road inventory 2018'!C308</f>
        <v>4.3</v>
      </c>
      <c r="F251" s="323">
        <v>1</v>
      </c>
      <c r="G251" s="323">
        <v>0.25</v>
      </c>
      <c r="H251" s="323">
        <v>0</v>
      </c>
      <c r="I251" s="323">
        <v>3.05</v>
      </c>
      <c r="J251" s="325" t="s">
        <v>10</v>
      </c>
      <c r="K251" s="323">
        <f t="shared" si="20"/>
        <v>4.3</v>
      </c>
      <c r="L251" s="326" t="s">
        <v>573</v>
      </c>
      <c r="M251" s="363"/>
      <c r="N251" s="328">
        <v>1</v>
      </c>
    </row>
    <row r="252" spans="1:15" ht="20.149999999999999" customHeight="1" x14ac:dyDescent="0.35">
      <c r="A252" s="329">
        <v>9</v>
      </c>
      <c r="B252" s="321">
        <v>209</v>
      </c>
      <c r="C252" s="336" t="s">
        <v>294</v>
      </c>
      <c r="D252" s="336"/>
      <c r="E252" s="323">
        <f>'[1]road inventory 2018'!C309</f>
        <v>2.6</v>
      </c>
      <c r="F252" s="323">
        <f>0.866+1.334</f>
        <v>2.2000000000000002</v>
      </c>
      <c r="G252" s="323">
        <v>0</v>
      </c>
      <c r="H252" s="323">
        <v>0</v>
      </c>
      <c r="I252" s="323">
        <v>0.4</v>
      </c>
      <c r="J252" s="325" t="s">
        <v>12</v>
      </c>
      <c r="K252" s="323">
        <f t="shared" si="20"/>
        <v>2.6</v>
      </c>
      <c r="L252" s="326" t="s">
        <v>574</v>
      </c>
      <c r="M252" s="363"/>
      <c r="N252" s="328"/>
    </row>
    <row r="253" spans="1:15" ht="20.149999999999999" customHeight="1" x14ac:dyDescent="0.35">
      <c r="A253" s="329">
        <v>10</v>
      </c>
      <c r="B253" s="321">
        <v>210</v>
      </c>
      <c r="C253" s="336" t="s">
        <v>575</v>
      </c>
      <c r="D253" s="336"/>
      <c r="E253" s="323">
        <f>'[1]road inventory 2018'!C310</f>
        <v>0.8</v>
      </c>
      <c r="F253" s="323">
        <v>0.8</v>
      </c>
      <c r="G253" s="323">
        <v>0</v>
      </c>
      <c r="H253" s="323">
        <v>0</v>
      </c>
      <c r="I253" s="323">
        <v>0</v>
      </c>
      <c r="J253" s="325" t="s">
        <v>12</v>
      </c>
      <c r="K253" s="323">
        <f t="shared" si="20"/>
        <v>0.8</v>
      </c>
      <c r="L253" s="326" t="s">
        <v>576</v>
      </c>
      <c r="M253" s="363"/>
      <c r="N253" s="328"/>
    </row>
    <row r="254" spans="1:15" ht="20.149999999999999" customHeight="1" x14ac:dyDescent="0.35">
      <c r="A254" s="329">
        <v>11</v>
      </c>
      <c r="B254" s="321">
        <v>211</v>
      </c>
      <c r="C254" s="336" t="s">
        <v>577</v>
      </c>
      <c r="D254" s="336"/>
      <c r="E254" s="323">
        <f>'[1]road inventory 2018'!C311</f>
        <v>0.7</v>
      </c>
      <c r="F254" s="323">
        <v>0.7</v>
      </c>
      <c r="G254" s="323">
        <v>0</v>
      </c>
      <c r="H254" s="323">
        <v>0</v>
      </c>
      <c r="I254" s="323">
        <v>0</v>
      </c>
      <c r="J254" s="325" t="s">
        <v>12</v>
      </c>
      <c r="K254" s="323">
        <f t="shared" si="20"/>
        <v>0.7</v>
      </c>
      <c r="L254" s="326" t="s">
        <v>578</v>
      </c>
      <c r="M254" s="363"/>
      <c r="N254" s="328"/>
    </row>
    <row r="255" spans="1:15" s="317" customFormat="1" ht="20.149999999999999" customHeight="1" x14ac:dyDescent="0.35">
      <c r="B255" s="373"/>
      <c r="C255" s="374" t="s">
        <v>341</v>
      </c>
      <c r="D255" s="374"/>
      <c r="E255" s="375">
        <f>SUM(E244:E254)</f>
        <v>35.78</v>
      </c>
      <c r="F255" s="375">
        <f>SUM(F244:F254)</f>
        <v>19.315999999999999</v>
      </c>
      <c r="G255" s="375">
        <f>SUM(G244:G254)</f>
        <v>5.6</v>
      </c>
      <c r="H255" s="375">
        <f>SUM(H244:H254)</f>
        <v>0.91400000000000003</v>
      </c>
      <c r="I255" s="375">
        <f>SUM(I244:I254)</f>
        <v>9.9500000000000011</v>
      </c>
      <c r="J255" s="376"/>
      <c r="K255" s="375"/>
      <c r="L255" s="372"/>
      <c r="M255" s="453"/>
      <c r="N255" s="377"/>
      <c r="O255" s="320"/>
    </row>
    <row r="256" spans="1:15" ht="20.149999999999999" customHeight="1" x14ac:dyDescent="0.35">
      <c r="B256" s="321"/>
      <c r="C256" s="330"/>
      <c r="D256" s="330"/>
      <c r="E256" s="323"/>
      <c r="F256" s="323"/>
      <c r="G256" s="323"/>
      <c r="H256" s="323"/>
      <c r="I256" s="323"/>
      <c r="J256" s="325"/>
      <c r="K256" s="323"/>
      <c r="L256" s="326"/>
      <c r="M256" s="363"/>
      <c r="N256" s="328"/>
      <c r="O256" s="331"/>
    </row>
    <row r="257" spans="1:14" s="319" customFormat="1" ht="20.149999999999999" customHeight="1" x14ac:dyDescent="0.35">
      <c r="B257" s="390" t="s">
        <v>461</v>
      </c>
      <c r="C257" s="401"/>
      <c r="D257" s="401"/>
      <c r="E257" s="407"/>
      <c r="F257" s="408"/>
      <c r="G257" s="408"/>
      <c r="H257" s="408"/>
      <c r="I257" s="407"/>
      <c r="J257" s="372"/>
      <c r="K257" s="375"/>
      <c r="L257" s="400"/>
      <c r="M257" s="459"/>
      <c r="N257" s="409"/>
    </row>
    <row r="258" spans="1:14" ht="20.149999999999999" customHeight="1" x14ac:dyDescent="0.35">
      <c r="A258" s="329">
        <v>1</v>
      </c>
      <c r="B258" s="321">
        <v>89</v>
      </c>
      <c r="C258" s="336" t="s">
        <v>462</v>
      </c>
      <c r="D258" s="330">
        <v>0.63</v>
      </c>
      <c r="E258" s="323">
        <f>D258</f>
        <v>0.63</v>
      </c>
      <c r="F258" s="323">
        <v>0.28000000000000003</v>
      </c>
      <c r="G258" s="323">
        <v>0</v>
      </c>
      <c r="H258" s="323">
        <v>0</v>
      </c>
      <c r="I258" s="323">
        <f t="shared" ref="I258:I263" si="21">D258-F258</f>
        <v>0.35</v>
      </c>
      <c r="J258" s="326" t="s">
        <v>10</v>
      </c>
      <c r="K258" s="323">
        <f t="shared" ref="K258:K274" si="22">SUM(F258:I258)</f>
        <v>0.63</v>
      </c>
      <c r="L258" s="326" t="s">
        <v>360</v>
      </c>
      <c r="M258" s="363"/>
      <c r="N258" s="328"/>
    </row>
    <row r="259" spans="1:14" ht="20.149999999999999" customHeight="1" x14ac:dyDescent="0.35">
      <c r="A259" s="329">
        <v>2</v>
      </c>
      <c r="B259" s="321">
        <v>109</v>
      </c>
      <c r="C259" s="336" t="s">
        <v>285</v>
      </c>
      <c r="D259" s="336">
        <v>2.6</v>
      </c>
      <c r="E259" s="323">
        <f t="shared" ref="E259:E274" si="23">D259</f>
        <v>2.6</v>
      </c>
      <c r="F259" s="323">
        <v>0.22</v>
      </c>
      <c r="G259" s="323">
        <v>0</v>
      </c>
      <c r="H259" s="323">
        <v>0</v>
      </c>
      <c r="I259" s="323">
        <f t="shared" si="21"/>
        <v>2.38</v>
      </c>
      <c r="J259" s="326" t="s">
        <v>10</v>
      </c>
      <c r="K259" s="323">
        <f t="shared" si="22"/>
        <v>2.6</v>
      </c>
      <c r="L259" s="326" t="s">
        <v>463</v>
      </c>
      <c r="M259" s="363"/>
      <c r="N259" s="328"/>
    </row>
    <row r="260" spans="1:14" ht="20.149999999999999" customHeight="1" x14ac:dyDescent="0.35">
      <c r="A260" s="329">
        <v>3</v>
      </c>
      <c r="B260" s="321">
        <v>110</v>
      </c>
      <c r="C260" s="336" t="s">
        <v>65</v>
      </c>
      <c r="D260" s="336">
        <f>[27]CARRIAGEWAY!$D$13:$L$13</f>
        <v>7.04</v>
      </c>
      <c r="E260" s="323">
        <f t="shared" si="23"/>
        <v>7.04</v>
      </c>
      <c r="F260" s="323">
        <v>0.84</v>
      </c>
      <c r="G260" s="323">
        <v>0</v>
      </c>
      <c r="H260" s="323">
        <v>0</v>
      </c>
      <c r="I260" s="323">
        <f t="shared" si="21"/>
        <v>6.2</v>
      </c>
      <c r="J260" s="326" t="s">
        <v>12</v>
      </c>
      <c r="K260" s="323">
        <f t="shared" si="22"/>
        <v>7.04</v>
      </c>
      <c r="L260" s="326" t="s">
        <v>464</v>
      </c>
      <c r="M260" s="363"/>
      <c r="N260" s="328"/>
    </row>
    <row r="261" spans="1:14" ht="20.149999999999999" customHeight="1" x14ac:dyDescent="0.35">
      <c r="A261" s="329">
        <v>4</v>
      </c>
      <c r="B261" s="321">
        <v>111</v>
      </c>
      <c r="C261" s="336" t="s">
        <v>66</v>
      </c>
      <c r="D261" s="336">
        <f>[28]CARRIAGEWAY!$D$13:$L$13</f>
        <v>15.472</v>
      </c>
      <c r="E261" s="323">
        <f t="shared" si="23"/>
        <v>15.472</v>
      </c>
      <c r="F261" s="323">
        <v>1.0900000000000001</v>
      </c>
      <c r="G261" s="323">
        <v>0</v>
      </c>
      <c r="H261" s="323">
        <v>0</v>
      </c>
      <c r="I261" s="323">
        <f t="shared" si="21"/>
        <v>14.382</v>
      </c>
      <c r="J261" s="326" t="s">
        <v>12</v>
      </c>
      <c r="K261" s="323">
        <f t="shared" si="22"/>
        <v>15.472</v>
      </c>
      <c r="L261" s="326" t="s">
        <v>465</v>
      </c>
      <c r="M261" s="363"/>
      <c r="N261" s="328"/>
    </row>
    <row r="262" spans="1:14" ht="20.149999999999999" customHeight="1" x14ac:dyDescent="0.35">
      <c r="A262" s="329">
        <v>5</v>
      </c>
      <c r="B262" s="321">
        <v>112</v>
      </c>
      <c r="C262" s="336" t="s">
        <v>73</v>
      </c>
      <c r="D262" s="336">
        <f>[29]CARRIAGEWAY!$D$13:$L$13</f>
        <v>8.3879999999999999</v>
      </c>
      <c r="E262" s="323">
        <f t="shared" si="23"/>
        <v>8.3879999999999999</v>
      </c>
      <c r="F262" s="323">
        <v>0.21</v>
      </c>
      <c r="G262" s="323">
        <v>0</v>
      </c>
      <c r="H262" s="323">
        <v>0</v>
      </c>
      <c r="I262" s="323">
        <f t="shared" si="21"/>
        <v>8.177999999999999</v>
      </c>
      <c r="J262" s="326" t="s">
        <v>12</v>
      </c>
      <c r="K262" s="323">
        <f t="shared" si="22"/>
        <v>8.3879999999999999</v>
      </c>
      <c r="L262" s="326" t="s">
        <v>466</v>
      </c>
      <c r="M262" s="363"/>
      <c r="N262" s="328"/>
    </row>
    <row r="263" spans="1:14" ht="20.149999999999999" customHeight="1" x14ac:dyDescent="0.35">
      <c r="A263" s="329">
        <v>6</v>
      </c>
      <c r="B263" s="321">
        <v>113</v>
      </c>
      <c r="C263" s="336" t="s">
        <v>75</v>
      </c>
      <c r="D263" s="336">
        <f>[18]CARRIAGEWAY!$D$13:$L$13</f>
        <v>1.59</v>
      </c>
      <c r="E263" s="323">
        <f t="shared" si="23"/>
        <v>1.59</v>
      </c>
      <c r="F263" s="323">
        <v>0.1</v>
      </c>
      <c r="G263" s="323">
        <v>0</v>
      </c>
      <c r="H263" s="323">
        <v>0</v>
      </c>
      <c r="I263" s="323">
        <f t="shared" si="21"/>
        <v>1.49</v>
      </c>
      <c r="J263" s="326" t="s">
        <v>12</v>
      </c>
      <c r="K263" s="323">
        <f t="shared" si="22"/>
        <v>1.59</v>
      </c>
      <c r="L263" s="326" t="s">
        <v>467</v>
      </c>
      <c r="M263" s="363"/>
      <c r="N263" s="328"/>
    </row>
    <row r="264" spans="1:14" ht="20.149999999999999" customHeight="1" x14ac:dyDescent="0.35">
      <c r="A264" s="329">
        <v>7</v>
      </c>
      <c r="B264" s="321">
        <v>114</v>
      </c>
      <c r="C264" s="336" t="s">
        <v>468</v>
      </c>
      <c r="D264" s="336">
        <f>[30]CARRIAGEWAY!$D$13:$L$13</f>
        <v>9.5949999999999989</v>
      </c>
      <c r="E264" s="323">
        <f t="shared" si="23"/>
        <v>9.5949999999999989</v>
      </c>
      <c r="F264" s="323">
        <v>0</v>
      </c>
      <c r="G264" s="323">
        <v>0</v>
      </c>
      <c r="H264" s="323">
        <v>0</v>
      </c>
      <c r="I264" s="323">
        <f>D264</f>
        <v>9.5949999999999989</v>
      </c>
      <c r="J264" s="325" t="s">
        <v>12</v>
      </c>
      <c r="K264" s="323">
        <f t="shared" si="22"/>
        <v>9.5949999999999989</v>
      </c>
      <c r="L264" s="326" t="s">
        <v>469</v>
      </c>
      <c r="M264" s="363"/>
      <c r="N264" s="328"/>
    </row>
    <row r="265" spans="1:14" ht="20.149999999999999" customHeight="1" x14ac:dyDescent="0.35">
      <c r="A265" s="329">
        <v>8</v>
      </c>
      <c r="B265" s="321">
        <v>115</v>
      </c>
      <c r="C265" s="336" t="s">
        <v>77</v>
      </c>
      <c r="D265" s="336">
        <f>[31]CARRIAGEWAY!$D$13:$L$13</f>
        <v>11.143000000000001</v>
      </c>
      <c r="E265" s="323">
        <f t="shared" si="23"/>
        <v>11.143000000000001</v>
      </c>
      <c r="F265" s="323">
        <f>D265</f>
        <v>11.143000000000001</v>
      </c>
      <c r="G265" s="323">
        <v>0</v>
      </c>
      <c r="H265" s="323">
        <v>0</v>
      </c>
      <c r="I265" s="323">
        <v>0</v>
      </c>
      <c r="J265" s="326" t="s">
        <v>10</v>
      </c>
      <c r="K265" s="323">
        <f t="shared" si="22"/>
        <v>11.143000000000001</v>
      </c>
      <c r="L265" s="326" t="s">
        <v>470</v>
      </c>
      <c r="M265" s="363"/>
      <c r="N265" s="328"/>
    </row>
    <row r="266" spans="1:14" ht="20.149999999999999" customHeight="1" x14ac:dyDescent="0.35">
      <c r="A266" s="329">
        <v>9</v>
      </c>
      <c r="B266" s="321">
        <v>117</v>
      </c>
      <c r="C266" s="336" t="s">
        <v>79</v>
      </c>
      <c r="D266" s="336">
        <f>[32]CARRIAGEWAY!$D$13:$L$13</f>
        <v>8.0359999999999996</v>
      </c>
      <c r="E266" s="323">
        <f t="shared" si="23"/>
        <v>8.0359999999999996</v>
      </c>
      <c r="F266" s="323">
        <v>2.1800000000000002</v>
      </c>
      <c r="G266" s="323">
        <v>0</v>
      </c>
      <c r="H266" s="323">
        <v>0</v>
      </c>
      <c r="I266" s="323">
        <f>D266-F266</f>
        <v>5.8559999999999999</v>
      </c>
      <c r="J266" s="325" t="s">
        <v>12</v>
      </c>
      <c r="K266" s="323">
        <f t="shared" si="22"/>
        <v>8.0359999999999996</v>
      </c>
      <c r="L266" s="326" t="s">
        <v>471</v>
      </c>
      <c r="M266" s="363"/>
      <c r="N266" s="328"/>
    </row>
    <row r="267" spans="1:14" ht="20.149999999999999" customHeight="1" x14ac:dyDescent="0.35">
      <c r="A267" s="329">
        <v>10</v>
      </c>
      <c r="B267" s="321">
        <v>118</v>
      </c>
      <c r="C267" s="336" t="s">
        <v>83</v>
      </c>
      <c r="D267" s="336">
        <v>0.9</v>
      </c>
      <c r="E267" s="323">
        <f t="shared" si="23"/>
        <v>0.9</v>
      </c>
      <c r="F267" s="323">
        <v>0</v>
      </c>
      <c r="G267" s="323">
        <v>0</v>
      </c>
      <c r="H267" s="323">
        <v>0</v>
      </c>
      <c r="I267" s="323">
        <f>D267</f>
        <v>0.9</v>
      </c>
      <c r="J267" s="325" t="s">
        <v>41</v>
      </c>
      <c r="K267" s="323">
        <f t="shared" si="22"/>
        <v>0.9</v>
      </c>
      <c r="L267" s="326" t="s">
        <v>472</v>
      </c>
      <c r="M267" s="363" t="s">
        <v>848</v>
      </c>
      <c r="N267" s="328"/>
    </row>
    <row r="268" spans="1:14" ht="20.149999999999999" customHeight="1" x14ac:dyDescent="0.35">
      <c r="A268" s="329">
        <v>11</v>
      </c>
      <c r="B268" s="321">
        <v>132</v>
      </c>
      <c r="C268" s="336" t="s">
        <v>85</v>
      </c>
      <c r="D268" s="336">
        <f>[33]CARRIAGEWAY!$D$13:$L$13</f>
        <v>13.338000000000001</v>
      </c>
      <c r="E268" s="323">
        <f t="shared" si="23"/>
        <v>13.338000000000001</v>
      </c>
      <c r="F268" s="323">
        <v>9.7330000000000005</v>
      </c>
      <c r="G268" s="323">
        <v>0</v>
      </c>
      <c r="H268" s="323">
        <v>0</v>
      </c>
      <c r="I268" s="323">
        <f>D268-F268</f>
        <v>3.6050000000000004</v>
      </c>
      <c r="J268" s="325" t="s">
        <v>10</v>
      </c>
      <c r="K268" s="323">
        <f t="shared" si="22"/>
        <v>13.338000000000001</v>
      </c>
      <c r="L268" s="326" t="s">
        <v>473</v>
      </c>
      <c r="M268" s="363"/>
      <c r="N268" s="328">
        <f>1.895+2.42</f>
        <v>4.3149999999999995</v>
      </c>
    </row>
    <row r="269" spans="1:14" ht="20.149999999999999" customHeight="1" x14ac:dyDescent="0.35">
      <c r="A269" s="329">
        <v>12</v>
      </c>
      <c r="B269" s="321">
        <v>139</v>
      </c>
      <c r="C269" s="336" t="s">
        <v>474</v>
      </c>
      <c r="D269" s="336">
        <f>[34]CARRIAGEWAY!$D$13:$L$13</f>
        <v>9.1479999999999997</v>
      </c>
      <c r="E269" s="323">
        <f t="shared" si="23"/>
        <v>9.1479999999999997</v>
      </c>
      <c r="F269" s="323">
        <v>0</v>
      </c>
      <c r="G269" s="323">
        <v>0</v>
      </c>
      <c r="H269" s="323">
        <v>0</v>
      </c>
      <c r="I269" s="323">
        <f>D269</f>
        <v>9.1479999999999997</v>
      </c>
      <c r="J269" s="325" t="s">
        <v>12</v>
      </c>
      <c r="K269" s="323">
        <f t="shared" si="22"/>
        <v>9.1479999999999997</v>
      </c>
      <c r="L269" s="326" t="s">
        <v>475</v>
      </c>
      <c r="M269" s="363"/>
      <c r="N269" s="328"/>
    </row>
    <row r="270" spans="1:14" ht="20.149999999999999" customHeight="1" x14ac:dyDescent="0.35">
      <c r="A270" s="329">
        <v>13</v>
      </c>
      <c r="B270" s="321">
        <v>122</v>
      </c>
      <c r="C270" s="336" t="s">
        <v>476</v>
      </c>
      <c r="D270" s="336">
        <f>[35]CARRIAGEWAY!$D$13:$L$13</f>
        <v>3.8559999999999999</v>
      </c>
      <c r="E270" s="323">
        <f t="shared" si="23"/>
        <v>3.8559999999999999</v>
      </c>
      <c r="F270" s="323">
        <v>2.0139999999999998</v>
      </c>
      <c r="G270" s="323">
        <v>0</v>
      </c>
      <c r="H270" s="323">
        <v>0</v>
      </c>
      <c r="I270" s="323">
        <f>D270-F270</f>
        <v>1.8420000000000001</v>
      </c>
      <c r="J270" s="325" t="s">
        <v>12</v>
      </c>
      <c r="K270" s="323">
        <f t="shared" si="22"/>
        <v>3.8559999999999999</v>
      </c>
      <c r="L270" s="326" t="s">
        <v>477</v>
      </c>
      <c r="M270" s="350" t="s">
        <v>748</v>
      </c>
      <c r="N270" s="328">
        <v>2.0920000000000001</v>
      </c>
    </row>
    <row r="271" spans="1:14" ht="20.149999999999999" customHeight="1" x14ac:dyDescent="0.35">
      <c r="A271" s="329">
        <v>14</v>
      </c>
      <c r="B271" s="321">
        <v>216</v>
      </c>
      <c r="C271" s="336" t="s">
        <v>87</v>
      </c>
      <c r="D271" s="929">
        <f>[19]CARRIAGEWAY!$D$13:$L$13</f>
        <v>6.319</v>
      </c>
      <c r="E271" s="323">
        <f t="shared" si="23"/>
        <v>6.319</v>
      </c>
      <c r="F271" s="323">
        <v>0</v>
      </c>
      <c r="G271" s="323">
        <v>0</v>
      </c>
      <c r="H271" s="323">
        <v>0</v>
      </c>
      <c r="I271" s="323">
        <f>D271</f>
        <v>6.319</v>
      </c>
      <c r="J271" s="325" t="s">
        <v>12</v>
      </c>
      <c r="K271" s="323">
        <f t="shared" si="22"/>
        <v>6.319</v>
      </c>
      <c r="L271" s="326" t="s">
        <v>478</v>
      </c>
      <c r="M271" s="363"/>
      <c r="N271" s="328"/>
    </row>
    <row r="272" spans="1:14" ht="20.149999999999999" customHeight="1" x14ac:dyDescent="0.35">
      <c r="A272" s="329">
        <v>15</v>
      </c>
      <c r="B272" s="321">
        <v>133</v>
      </c>
      <c r="C272" s="336" t="s">
        <v>90</v>
      </c>
      <c r="D272" s="929">
        <f>[36]CARRIAGEWAY!$D$13:$L$13</f>
        <v>5.2159999999999993</v>
      </c>
      <c r="E272" s="323">
        <f t="shared" si="23"/>
        <v>5.2159999999999993</v>
      </c>
      <c r="F272" s="323">
        <v>0</v>
      </c>
      <c r="G272" s="323">
        <v>0</v>
      </c>
      <c r="H272" s="323">
        <v>0</v>
      </c>
      <c r="I272" s="323">
        <f>D272</f>
        <v>5.2159999999999993</v>
      </c>
      <c r="J272" s="325" t="s">
        <v>12</v>
      </c>
      <c r="K272" s="323">
        <f t="shared" si="22"/>
        <v>5.2159999999999993</v>
      </c>
      <c r="L272" s="326" t="s">
        <v>478</v>
      </c>
      <c r="M272" s="363"/>
      <c r="N272" s="328"/>
    </row>
    <row r="273" spans="1:15" ht="20.149999999999999" customHeight="1" x14ac:dyDescent="0.35">
      <c r="A273" s="329">
        <v>16</v>
      </c>
      <c r="B273" s="321">
        <v>123</v>
      </c>
      <c r="C273" s="336" t="s">
        <v>91</v>
      </c>
      <c r="D273" s="336">
        <f>[37]CARRIAGEWAY!$D$13:$L$13</f>
        <v>17.454000000000001</v>
      </c>
      <c r="E273" s="323">
        <f t="shared" si="23"/>
        <v>17.454000000000001</v>
      </c>
      <c r="F273" s="323">
        <v>9.9120000000000008</v>
      </c>
      <c r="G273" s="323">
        <v>0</v>
      </c>
      <c r="H273" s="323">
        <v>0</v>
      </c>
      <c r="I273" s="323">
        <f>D273-F273</f>
        <v>7.5419999999999998</v>
      </c>
      <c r="J273" s="325" t="s">
        <v>12</v>
      </c>
      <c r="K273" s="323">
        <f t="shared" si="22"/>
        <v>17.454000000000001</v>
      </c>
      <c r="L273" s="326" t="s">
        <v>475</v>
      </c>
      <c r="M273" s="363"/>
      <c r="N273" s="328">
        <v>12.19</v>
      </c>
    </row>
    <row r="274" spans="1:15" ht="20.149999999999999" customHeight="1" x14ac:dyDescent="0.35">
      <c r="A274" s="329">
        <v>17</v>
      </c>
      <c r="B274" s="321">
        <v>134</v>
      </c>
      <c r="C274" s="335" t="s">
        <v>284</v>
      </c>
      <c r="D274" s="928">
        <f>[20]CARRIAGEWAY!$D$13:$L$13</f>
        <v>8.4459999999999997</v>
      </c>
      <c r="E274" s="323">
        <f t="shared" si="23"/>
        <v>8.4459999999999997</v>
      </c>
      <c r="F274" s="323">
        <v>0</v>
      </c>
      <c r="G274" s="323">
        <v>0</v>
      </c>
      <c r="H274" s="323">
        <v>0</v>
      </c>
      <c r="I274" s="323">
        <f>D274</f>
        <v>8.4459999999999997</v>
      </c>
      <c r="J274" s="325" t="s">
        <v>12</v>
      </c>
      <c r="K274" s="323">
        <f t="shared" si="22"/>
        <v>8.4459999999999997</v>
      </c>
      <c r="L274" s="326"/>
      <c r="M274" s="363"/>
      <c r="N274" s="328"/>
    </row>
    <row r="275" spans="1:15" s="317" customFormat="1" ht="20.149999999999999" customHeight="1" x14ac:dyDescent="0.35">
      <c r="B275" s="373"/>
      <c r="C275" s="374" t="s">
        <v>341</v>
      </c>
      <c r="D275" s="374">
        <f t="shared" ref="D275:I275" si="24">SUM(D258:D274)</f>
        <v>129.17099999999999</v>
      </c>
      <c r="E275" s="375">
        <f t="shared" si="24"/>
        <v>129.17099999999999</v>
      </c>
      <c r="F275" s="375">
        <f t="shared" si="24"/>
        <v>37.722000000000001</v>
      </c>
      <c r="G275" s="375">
        <f t="shared" si="24"/>
        <v>0</v>
      </c>
      <c r="H275" s="375">
        <f t="shared" si="24"/>
        <v>0</v>
      </c>
      <c r="I275" s="375">
        <f t="shared" si="24"/>
        <v>91.448999999999984</v>
      </c>
      <c r="J275" s="376"/>
      <c r="K275" s="375"/>
      <c r="L275" s="372"/>
      <c r="M275" s="453">
        <f>F275+I275</f>
        <v>129.17099999999999</v>
      </c>
      <c r="N275" s="377"/>
      <c r="O275" s="320"/>
    </row>
    <row r="276" spans="1:15" ht="20.149999999999999" customHeight="1" x14ac:dyDescent="0.35">
      <c r="B276" s="321"/>
      <c r="C276" s="330"/>
      <c r="D276" s="330"/>
      <c r="E276" s="323"/>
      <c r="F276" s="323"/>
      <c r="G276" s="323"/>
      <c r="H276" s="323"/>
      <c r="I276" s="323"/>
      <c r="J276" s="325"/>
      <c r="K276" s="323"/>
      <c r="L276" s="326"/>
      <c r="M276" s="363"/>
      <c r="N276" s="328"/>
      <c r="O276" s="331"/>
    </row>
    <row r="277" spans="1:15" s="317" customFormat="1" ht="20.149999999999999" customHeight="1" x14ac:dyDescent="0.35">
      <c r="B277" s="389" t="s">
        <v>479</v>
      </c>
      <c r="C277" s="378"/>
      <c r="D277" s="378"/>
      <c r="E277" s="375"/>
      <c r="F277" s="375"/>
      <c r="G277" s="375"/>
      <c r="H277" s="375"/>
      <c r="I277" s="375"/>
      <c r="J277" s="376"/>
      <c r="K277" s="375"/>
      <c r="L277" s="400"/>
      <c r="M277" s="453"/>
      <c r="N277" s="377"/>
    </row>
    <row r="278" spans="1:15" ht="20.149999999999999" customHeight="1" x14ac:dyDescent="0.35">
      <c r="A278" s="329">
        <v>1</v>
      </c>
      <c r="B278" s="321">
        <v>136</v>
      </c>
      <c r="C278" s="336" t="s">
        <v>93</v>
      </c>
      <c r="D278" s="336">
        <f>[38]CARRIAGEWAY!$D$13:$L$13</f>
        <v>11.460999999999999</v>
      </c>
      <c r="E278" s="323">
        <f>D278</f>
        <v>11.460999999999999</v>
      </c>
      <c r="F278" s="323">
        <v>10.11</v>
      </c>
      <c r="G278" s="323">
        <v>0</v>
      </c>
      <c r="H278" s="323">
        <v>0</v>
      </c>
      <c r="I278" s="323">
        <f>D278-F278</f>
        <v>1.3509999999999991</v>
      </c>
      <c r="J278" s="326" t="s">
        <v>10</v>
      </c>
      <c r="K278" s="323">
        <f t="shared" ref="K278:K285" si="25">SUM(F278:I278)</f>
        <v>11.460999999999999</v>
      </c>
      <c r="L278" s="326" t="s">
        <v>480</v>
      </c>
      <c r="M278" s="363"/>
      <c r="N278" s="328"/>
    </row>
    <row r="279" spans="1:15" ht="20.149999999999999" customHeight="1" x14ac:dyDescent="0.35">
      <c r="A279" s="329">
        <v>2</v>
      </c>
      <c r="B279" s="321">
        <v>137</v>
      </c>
      <c r="C279" s="336" t="s">
        <v>95</v>
      </c>
      <c r="D279" s="336">
        <f>[39]CARRIAGEWAY!$D$13:$L$13</f>
        <v>14.598999999999998</v>
      </c>
      <c r="E279" s="323">
        <f t="shared" ref="E279:E285" si="26">D279</f>
        <v>14.598999999999998</v>
      </c>
      <c r="F279" s="323">
        <v>9.9</v>
      </c>
      <c r="G279" s="323">
        <v>0</v>
      </c>
      <c r="H279" s="323">
        <v>0</v>
      </c>
      <c r="I279" s="323">
        <f>D279-F279</f>
        <v>4.6989999999999981</v>
      </c>
      <c r="J279" s="326" t="s">
        <v>10</v>
      </c>
      <c r="K279" s="323">
        <f t="shared" si="25"/>
        <v>14.598999999999998</v>
      </c>
      <c r="L279" s="326" t="s">
        <v>481</v>
      </c>
      <c r="M279" s="363"/>
      <c r="N279" s="328"/>
    </row>
    <row r="280" spans="1:15" ht="20.149999999999999" customHeight="1" x14ac:dyDescent="0.35">
      <c r="A280" s="329">
        <v>3</v>
      </c>
      <c r="B280" s="321">
        <v>119</v>
      </c>
      <c r="C280" s="336" t="s">
        <v>97</v>
      </c>
      <c r="D280" s="336">
        <f>[40]CARRIAGEWAY!$D$13:$L$13</f>
        <v>5.5349999999999993</v>
      </c>
      <c r="E280" s="323">
        <f t="shared" si="26"/>
        <v>5.5349999999999993</v>
      </c>
      <c r="F280" s="323">
        <v>0</v>
      </c>
      <c r="G280" s="323">
        <v>0</v>
      </c>
      <c r="H280" s="323">
        <v>0</v>
      </c>
      <c r="I280" s="323">
        <f>D280</f>
        <v>5.5349999999999993</v>
      </c>
      <c r="J280" s="326" t="s">
        <v>33</v>
      </c>
      <c r="K280" s="323">
        <f t="shared" si="25"/>
        <v>5.5349999999999993</v>
      </c>
      <c r="L280" s="326" t="s">
        <v>482</v>
      </c>
      <c r="M280" s="363"/>
      <c r="N280" s="328"/>
    </row>
    <row r="281" spans="1:15" ht="20.149999999999999" customHeight="1" x14ac:dyDescent="0.35">
      <c r="A281" s="329">
        <v>4</v>
      </c>
      <c r="B281" s="321">
        <v>120</v>
      </c>
      <c r="C281" s="353" t="s">
        <v>99</v>
      </c>
      <c r="D281" s="353">
        <f>[22]CARRIAGEWAY!$D$13:$L$13</f>
        <v>10.984</v>
      </c>
      <c r="E281" s="323">
        <f t="shared" si="26"/>
        <v>10.984</v>
      </c>
      <c r="F281" s="323">
        <f>D281</f>
        <v>10.984</v>
      </c>
      <c r="G281" s="323">
        <v>0</v>
      </c>
      <c r="H281" s="323">
        <v>0</v>
      </c>
      <c r="I281" s="323">
        <v>0</v>
      </c>
      <c r="J281" s="326" t="s">
        <v>10</v>
      </c>
      <c r="K281" s="323">
        <f t="shared" si="25"/>
        <v>10.984</v>
      </c>
      <c r="L281" s="326" t="s">
        <v>483</v>
      </c>
      <c r="M281" s="363"/>
      <c r="N281" s="328"/>
    </row>
    <row r="282" spans="1:15" ht="20.149999999999999" customHeight="1" x14ac:dyDescent="0.35">
      <c r="A282" s="329">
        <v>5</v>
      </c>
      <c r="B282" s="321">
        <v>140</v>
      </c>
      <c r="C282" s="336" t="s">
        <v>101</v>
      </c>
      <c r="D282" s="336">
        <f>[41]CARRIAGEWAY!$D$13:$L$13</f>
        <v>20.084</v>
      </c>
      <c r="E282" s="323">
        <f t="shared" si="26"/>
        <v>20.084</v>
      </c>
      <c r="F282" s="323">
        <v>1.2909999999999999</v>
      </c>
      <c r="G282" s="323">
        <v>0</v>
      </c>
      <c r="H282" s="323">
        <v>0</v>
      </c>
      <c r="I282" s="323">
        <f>D282-F282</f>
        <v>18.792999999999999</v>
      </c>
      <c r="J282" s="326" t="s">
        <v>12</v>
      </c>
      <c r="K282" s="323">
        <f t="shared" si="25"/>
        <v>20.084</v>
      </c>
      <c r="L282" s="326"/>
      <c r="M282" s="363"/>
      <c r="N282" s="328"/>
    </row>
    <row r="283" spans="1:15" ht="20.149999999999999" customHeight="1" x14ac:dyDescent="0.35">
      <c r="A283" s="329">
        <v>6</v>
      </c>
      <c r="B283" s="321">
        <v>138</v>
      </c>
      <c r="C283" s="336" t="s">
        <v>103</v>
      </c>
      <c r="D283" s="336">
        <f>[42]CARRIAGEWAY!$D$13:$L$13</f>
        <v>5.6609999999999996</v>
      </c>
      <c r="E283" s="323">
        <f t="shared" si="26"/>
        <v>5.6609999999999996</v>
      </c>
      <c r="F283" s="323">
        <v>0</v>
      </c>
      <c r="G283" s="323">
        <v>0</v>
      </c>
      <c r="H283" s="323">
        <v>0</v>
      </c>
      <c r="I283" s="323">
        <f>D283</f>
        <v>5.6609999999999996</v>
      </c>
      <c r="J283" s="325" t="s">
        <v>12</v>
      </c>
      <c r="K283" s="323">
        <f t="shared" si="25"/>
        <v>5.6609999999999996</v>
      </c>
      <c r="L283" s="326" t="s">
        <v>484</v>
      </c>
      <c r="M283" s="363"/>
      <c r="N283" s="328"/>
    </row>
    <row r="284" spans="1:15" ht="20.149999999999999" customHeight="1" x14ac:dyDescent="0.35">
      <c r="A284" s="329">
        <v>7</v>
      </c>
      <c r="B284" s="321">
        <v>124</v>
      </c>
      <c r="C284" s="336" t="s">
        <v>485</v>
      </c>
      <c r="D284" s="336">
        <f>[43]CARRIAGEWAY!$D$13:$L$13</f>
        <v>17.052</v>
      </c>
      <c r="E284" s="323">
        <f t="shared" si="26"/>
        <v>17.052</v>
      </c>
      <c r="F284" s="323">
        <v>3.6110000000000002</v>
      </c>
      <c r="G284" s="323">
        <v>0</v>
      </c>
      <c r="H284" s="323">
        <v>0</v>
      </c>
      <c r="I284" s="323">
        <f>D284-F284</f>
        <v>13.440999999999999</v>
      </c>
      <c r="J284" s="325" t="s">
        <v>12</v>
      </c>
      <c r="K284" s="323">
        <f t="shared" si="25"/>
        <v>17.052</v>
      </c>
      <c r="L284" s="326"/>
      <c r="M284" s="363"/>
      <c r="N284" s="328"/>
    </row>
    <row r="285" spans="1:15" ht="20.149999999999999" customHeight="1" x14ac:dyDescent="0.35">
      <c r="A285" s="329">
        <v>8</v>
      </c>
      <c r="B285" s="321">
        <v>141</v>
      </c>
      <c r="C285" s="336" t="s">
        <v>486</v>
      </c>
      <c r="D285" s="336">
        <f>[44]CARRIAGEWAY!$D$13:$L$13</f>
        <v>1.925</v>
      </c>
      <c r="E285" s="323">
        <f t="shared" si="26"/>
        <v>1.925</v>
      </c>
      <c r="F285" s="323">
        <v>0</v>
      </c>
      <c r="G285" s="323">
        <v>0</v>
      </c>
      <c r="H285" s="323">
        <v>0</v>
      </c>
      <c r="I285" s="323">
        <f>D285</f>
        <v>1.925</v>
      </c>
      <c r="J285" s="325" t="s">
        <v>12</v>
      </c>
      <c r="K285" s="323">
        <f t="shared" si="25"/>
        <v>1.925</v>
      </c>
      <c r="L285" s="326" t="s">
        <v>487</v>
      </c>
      <c r="M285" s="363"/>
      <c r="N285" s="328"/>
    </row>
    <row r="286" spans="1:15" s="317" customFormat="1" ht="20.149999999999999" customHeight="1" x14ac:dyDescent="0.35">
      <c r="B286" s="373"/>
      <c r="C286" s="374" t="s">
        <v>341</v>
      </c>
      <c r="D286" s="374">
        <f t="shared" ref="D286:I286" si="27">SUM(D278:D285)</f>
        <v>87.301000000000002</v>
      </c>
      <c r="E286" s="375">
        <f t="shared" si="27"/>
        <v>87.301000000000002</v>
      </c>
      <c r="F286" s="375">
        <f t="shared" si="27"/>
        <v>35.895999999999994</v>
      </c>
      <c r="G286" s="375">
        <f t="shared" si="27"/>
        <v>0</v>
      </c>
      <c r="H286" s="375">
        <f t="shared" si="27"/>
        <v>0</v>
      </c>
      <c r="I286" s="375">
        <f t="shared" si="27"/>
        <v>51.404999999999987</v>
      </c>
      <c r="J286" s="376"/>
      <c r="K286" s="375"/>
      <c r="L286" s="372"/>
      <c r="M286" s="453">
        <f>F286+I286</f>
        <v>87.300999999999988</v>
      </c>
      <c r="N286" s="377"/>
      <c r="O286" s="320"/>
    </row>
    <row r="287" spans="1:15" ht="20.149999999999999" customHeight="1" x14ac:dyDescent="0.35">
      <c r="B287" s="321"/>
      <c r="C287" s="330"/>
      <c r="D287" s="330"/>
      <c r="E287" s="323"/>
      <c r="F287" s="323"/>
      <c r="G287" s="323"/>
      <c r="H287" s="323"/>
      <c r="I287" s="323"/>
      <c r="J287" s="325"/>
      <c r="K287" s="323"/>
      <c r="L287" s="326"/>
      <c r="M287" s="363"/>
      <c r="N287" s="328"/>
      <c r="O287" s="331"/>
    </row>
    <row r="288" spans="1:15" s="317" customFormat="1" ht="20.149999999999999" customHeight="1" x14ac:dyDescent="0.35">
      <c r="B288" s="390" t="s">
        <v>488</v>
      </c>
      <c r="C288" s="378"/>
      <c r="D288" s="378"/>
      <c r="E288" s="375"/>
      <c r="F288" s="375"/>
      <c r="G288" s="375"/>
      <c r="H288" s="375"/>
      <c r="I288" s="375"/>
      <c r="J288" s="376"/>
      <c r="K288" s="375"/>
      <c r="L288" s="400"/>
      <c r="M288" s="453"/>
      <c r="N288" s="377"/>
    </row>
    <row r="289" spans="1:14" ht="20.149999999999999" customHeight="1" x14ac:dyDescent="0.35">
      <c r="A289" s="329">
        <v>1</v>
      </c>
      <c r="B289" s="321">
        <v>142</v>
      </c>
      <c r="C289" s="336" t="s">
        <v>286</v>
      </c>
      <c r="D289" s="336"/>
      <c r="E289" s="323">
        <f>'[1]road inventory 2018'!C218</f>
        <v>19.299999999999997</v>
      </c>
      <c r="F289" s="323">
        <v>3</v>
      </c>
      <c r="G289" s="323">
        <v>0</v>
      </c>
      <c r="H289" s="323">
        <v>0</v>
      </c>
      <c r="I289" s="323">
        <v>16.3</v>
      </c>
      <c r="J289" s="325" t="s">
        <v>12</v>
      </c>
      <c r="K289" s="323">
        <f t="shared" ref="K289:K296" si="28">SUM(F289:I289)</f>
        <v>19.3</v>
      </c>
      <c r="L289" s="326" t="s">
        <v>489</v>
      </c>
      <c r="M289" s="363"/>
      <c r="N289" s="328">
        <v>3</v>
      </c>
    </row>
    <row r="290" spans="1:14" ht="20.149999999999999" customHeight="1" x14ac:dyDescent="0.35">
      <c r="A290" s="329">
        <v>2</v>
      </c>
      <c r="B290" s="321">
        <v>143</v>
      </c>
      <c r="C290" s="336" t="s">
        <v>287</v>
      </c>
      <c r="D290" s="336"/>
      <c r="E290" s="323">
        <f>'[1]road inventory 2018'!C219</f>
        <v>8.7999999999999989</v>
      </c>
      <c r="F290" s="323">
        <v>0.2</v>
      </c>
      <c r="G290" s="323">
        <v>0</v>
      </c>
      <c r="H290" s="323">
        <v>0</v>
      </c>
      <c r="I290" s="323">
        <v>8.6</v>
      </c>
      <c r="J290" s="325" t="s">
        <v>12</v>
      </c>
      <c r="K290" s="323">
        <f t="shared" si="28"/>
        <v>8.7999999999999989</v>
      </c>
      <c r="L290" s="326" t="s">
        <v>490</v>
      </c>
      <c r="M290" s="363"/>
      <c r="N290" s="328"/>
    </row>
    <row r="291" spans="1:14" ht="20.149999999999999" customHeight="1" x14ac:dyDescent="0.35">
      <c r="A291" s="329">
        <v>3</v>
      </c>
      <c r="B291" s="321">
        <v>144</v>
      </c>
      <c r="C291" s="336" t="s">
        <v>288</v>
      </c>
      <c r="D291" s="336"/>
      <c r="E291" s="323">
        <f>'[1]road inventory 2018'!C220</f>
        <v>7.8999999999999995</v>
      </c>
      <c r="F291" s="323">
        <v>1.75</v>
      </c>
      <c r="G291" s="323">
        <v>0</v>
      </c>
      <c r="H291" s="323">
        <v>0</v>
      </c>
      <c r="I291" s="323">
        <v>6.15</v>
      </c>
      <c r="J291" s="325" t="s">
        <v>12</v>
      </c>
      <c r="K291" s="323">
        <f t="shared" si="28"/>
        <v>7.9</v>
      </c>
      <c r="L291" s="326" t="s">
        <v>491</v>
      </c>
      <c r="M291" s="363"/>
      <c r="N291" s="328"/>
    </row>
    <row r="292" spans="1:14" ht="20.149999999999999" customHeight="1" x14ac:dyDescent="0.35">
      <c r="A292" s="329">
        <v>4</v>
      </c>
      <c r="B292" s="321">
        <v>121</v>
      </c>
      <c r="C292" s="336" t="s">
        <v>104</v>
      </c>
      <c r="D292" s="336"/>
      <c r="E292" s="323">
        <f>'[1]road inventory 2018'!C221</f>
        <v>23.2</v>
      </c>
      <c r="F292" s="323">
        <v>3.6030000000000002</v>
      </c>
      <c r="G292" s="323">
        <v>0</v>
      </c>
      <c r="H292" s="323">
        <v>1.72</v>
      </c>
      <c r="I292" s="323">
        <v>17.876999999999999</v>
      </c>
      <c r="J292" s="325" t="s">
        <v>12</v>
      </c>
      <c r="K292" s="323">
        <f t="shared" si="28"/>
        <v>23.2</v>
      </c>
      <c r="L292" s="326" t="s">
        <v>492</v>
      </c>
      <c r="M292" s="363"/>
      <c r="N292" s="328">
        <v>3.6030000000000002</v>
      </c>
    </row>
    <row r="293" spans="1:14" ht="20.149999999999999" customHeight="1" x14ac:dyDescent="0.35">
      <c r="A293" s="329">
        <v>5</v>
      </c>
      <c r="B293" s="321">
        <v>145</v>
      </c>
      <c r="C293" s="336" t="s">
        <v>109</v>
      </c>
      <c r="D293" s="336"/>
      <c r="E293" s="323">
        <f>'[1]road inventory 2018'!C222</f>
        <v>3.3</v>
      </c>
      <c r="F293" s="323">
        <v>0</v>
      </c>
      <c r="G293" s="323">
        <v>0</v>
      </c>
      <c r="H293" s="323">
        <v>0</v>
      </c>
      <c r="I293" s="323">
        <v>3.3</v>
      </c>
      <c r="J293" s="325" t="s">
        <v>41</v>
      </c>
      <c r="K293" s="323">
        <f t="shared" si="28"/>
        <v>3.3</v>
      </c>
      <c r="L293" s="326"/>
      <c r="M293" s="363"/>
      <c r="N293" s="328"/>
    </row>
    <row r="294" spans="1:14" ht="20.149999999999999" customHeight="1" x14ac:dyDescent="0.35">
      <c r="A294" s="329">
        <v>6</v>
      </c>
      <c r="B294" s="321">
        <v>126</v>
      </c>
      <c r="C294" s="336" t="s">
        <v>110</v>
      </c>
      <c r="D294" s="336"/>
      <c r="E294" s="323">
        <f>'[1]road inventory 2018'!C223</f>
        <v>9.6</v>
      </c>
      <c r="F294" s="323">
        <v>9.6</v>
      </c>
      <c r="G294" s="323">
        <v>0</v>
      </c>
      <c r="H294" s="323">
        <v>0</v>
      </c>
      <c r="I294" s="323">
        <v>0</v>
      </c>
      <c r="J294" s="325" t="s">
        <v>10</v>
      </c>
      <c r="K294" s="323">
        <f t="shared" si="28"/>
        <v>9.6</v>
      </c>
      <c r="L294" s="326" t="s">
        <v>493</v>
      </c>
      <c r="M294" s="363"/>
      <c r="N294" s="328">
        <v>9.9499999999999993</v>
      </c>
    </row>
    <row r="295" spans="1:14" ht="20.149999999999999" customHeight="1" x14ac:dyDescent="0.35">
      <c r="A295" s="329">
        <v>7</v>
      </c>
      <c r="B295" s="321">
        <v>146</v>
      </c>
      <c r="C295" s="336" t="s">
        <v>115</v>
      </c>
      <c r="D295" s="336"/>
      <c r="E295" s="323">
        <f>'[1]road inventory 2018'!C224</f>
        <v>8.3000000000000007</v>
      </c>
      <c r="F295" s="323">
        <v>0</v>
      </c>
      <c r="G295" s="323">
        <v>0</v>
      </c>
      <c r="H295" s="323">
        <v>0</v>
      </c>
      <c r="I295" s="323">
        <v>8.3000000000000007</v>
      </c>
      <c r="J295" s="325" t="s">
        <v>12</v>
      </c>
      <c r="K295" s="323">
        <f t="shared" si="28"/>
        <v>8.3000000000000007</v>
      </c>
      <c r="L295" s="326"/>
      <c r="M295" s="363"/>
      <c r="N295" s="328"/>
    </row>
    <row r="296" spans="1:14" ht="20.149999999999999" customHeight="1" x14ac:dyDescent="0.35">
      <c r="A296" s="329">
        <v>8</v>
      </c>
      <c r="B296" s="321">
        <v>147</v>
      </c>
      <c r="C296" s="336" t="s">
        <v>289</v>
      </c>
      <c r="D296" s="336"/>
      <c r="E296" s="323">
        <f>'[1]road inventory 2018'!C225</f>
        <v>4.2</v>
      </c>
      <c r="F296" s="323">
        <v>0.2</v>
      </c>
      <c r="G296" s="323">
        <v>0</v>
      </c>
      <c r="H296" s="323">
        <v>0</v>
      </c>
      <c r="I296" s="323">
        <v>4</v>
      </c>
      <c r="J296" s="325" t="s">
        <v>10</v>
      </c>
      <c r="K296" s="323">
        <f t="shared" si="28"/>
        <v>4.2</v>
      </c>
      <c r="L296" s="326"/>
      <c r="M296" s="363"/>
      <c r="N296" s="328"/>
    </row>
    <row r="297" spans="1:14" s="317" customFormat="1" ht="20.149999999999999" customHeight="1" x14ac:dyDescent="0.35">
      <c r="B297" s="373"/>
      <c r="C297" s="374" t="s">
        <v>341</v>
      </c>
      <c r="D297" s="374"/>
      <c r="E297" s="375">
        <f>SUM(E289:E296)</f>
        <v>84.59999999999998</v>
      </c>
      <c r="F297" s="375">
        <f>SUM(F289:F296)</f>
        <v>18.352999999999998</v>
      </c>
      <c r="G297" s="375">
        <f>SUM(G289:G296)</f>
        <v>0</v>
      </c>
      <c r="H297" s="375">
        <f>SUM(H289:H296)</f>
        <v>1.72</v>
      </c>
      <c r="I297" s="375">
        <f>SUM(I289:I296)</f>
        <v>64.526999999999987</v>
      </c>
      <c r="J297" s="376"/>
      <c r="K297" s="375"/>
      <c r="L297" s="372"/>
      <c r="M297" s="460"/>
      <c r="N297" s="410"/>
    </row>
    <row r="298" spans="1:14" s="317" customFormat="1" ht="20.149999999999999" customHeight="1" x14ac:dyDescent="0.35">
      <c r="B298" s="394"/>
      <c r="C298" s="395" t="s">
        <v>754</v>
      </c>
      <c r="D298" s="395">
        <f>D286+D275+D241+D233</f>
        <v>318.78599999999994</v>
      </c>
      <c r="E298" s="396">
        <f>E297+E286+E275+E255+E241+E233+E216+E205+E198+E182+E178+E167+E153+E148+E135+E131+E121+E91+E56+E38+E33</f>
        <v>1250.1510000000001</v>
      </c>
      <c r="F298" s="396"/>
      <c r="G298" s="396"/>
      <c r="H298" s="396"/>
      <c r="I298" s="396"/>
      <c r="J298" s="397"/>
      <c r="K298" s="396">
        <f>SUM(K7:K297)</f>
        <v>1235.1451999999995</v>
      </c>
      <c r="L298" s="393"/>
      <c r="M298" s="461"/>
      <c r="N298" s="398">
        <f>COUNT(N9:N295)</f>
        <v>24</v>
      </c>
    </row>
    <row r="299" spans="1:14" ht="18" customHeight="1" x14ac:dyDescent="0.35">
      <c r="E299" s="331"/>
      <c r="G299" s="331"/>
      <c r="K299" s="331"/>
      <c r="N299" s="327">
        <f>SUM(N7:N294)</f>
        <v>147.297</v>
      </c>
    </row>
    <row r="300" spans="1:14" ht="18" customHeight="1" x14ac:dyDescent="0.35"/>
    <row r="301" spans="1:14" ht="18" customHeight="1" x14ac:dyDescent="0.35">
      <c r="B301" s="329"/>
      <c r="C301" s="355" t="s">
        <v>755</v>
      </c>
      <c r="D301" s="355"/>
      <c r="G301" s="331" t="s">
        <v>757</v>
      </c>
      <c r="K301" s="331"/>
    </row>
    <row r="302" spans="1:14" ht="18" customHeight="1" x14ac:dyDescent="0.35">
      <c r="B302" s="329"/>
      <c r="C302" s="355"/>
      <c r="D302" s="355"/>
      <c r="G302" s="331"/>
      <c r="H302" s="331"/>
      <c r="I302" s="331"/>
      <c r="K302" s="331"/>
      <c r="L302" s="328"/>
      <c r="M302" s="363"/>
      <c r="N302" s="328"/>
    </row>
    <row r="303" spans="1:14" ht="18" customHeight="1" x14ac:dyDescent="0.35">
      <c r="B303" s="329"/>
      <c r="C303" s="355"/>
      <c r="D303" s="355"/>
      <c r="G303" s="331"/>
      <c r="I303" s="331"/>
      <c r="K303" s="331"/>
    </row>
    <row r="304" spans="1:14" ht="18" customHeight="1" x14ac:dyDescent="0.35">
      <c r="B304" s="329"/>
      <c r="C304" s="356" t="s">
        <v>150</v>
      </c>
      <c r="D304" s="356"/>
      <c r="G304" s="360" t="s">
        <v>153</v>
      </c>
    </row>
    <row r="305" spans="3:17" s="354" customFormat="1" ht="18" customHeight="1" x14ac:dyDescent="0.35">
      <c r="C305" s="355" t="s">
        <v>857</v>
      </c>
      <c r="D305" s="355"/>
      <c r="G305" s="350" t="s">
        <v>155</v>
      </c>
      <c r="H305" s="329"/>
      <c r="I305" s="329"/>
      <c r="J305" s="329"/>
      <c r="K305" s="331"/>
      <c r="L305" s="327"/>
      <c r="M305" s="452"/>
      <c r="N305" s="327"/>
    </row>
    <row r="306" spans="3:17" s="354" customFormat="1" ht="18" customHeight="1" x14ac:dyDescent="0.35">
      <c r="C306" s="355"/>
      <c r="D306" s="355"/>
      <c r="G306" s="332"/>
      <c r="H306" s="329"/>
      <c r="I306" s="329"/>
      <c r="J306" s="329"/>
      <c r="K306" s="329"/>
      <c r="L306" s="327"/>
      <c r="M306" s="452"/>
      <c r="N306" s="327"/>
    </row>
    <row r="307" spans="3:17" s="354" customFormat="1" ht="18" customHeight="1" x14ac:dyDescent="0.35">
      <c r="C307" s="355"/>
      <c r="D307" s="355"/>
      <c r="G307" s="332"/>
      <c r="H307" s="329"/>
      <c r="I307" s="329"/>
      <c r="J307" s="329"/>
      <c r="K307" s="329"/>
      <c r="L307" s="327"/>
      <c r="M307" s="452"/>
      <c r="N307" s="327"/>
    </row>
    <row r="308" spans="3:17" s="354" customFormat="1" ht="15" customHeight="1" x14ac:dyDescent="0.35">
      <c r="C308" s="355" t="s">
        <v>756</v>
      </c>
      <c r="D308" s="355"/>
      <c r="G308" s="350" t="s">
        <v>759</v>
      </c>
      <c r="H308" s="329"/>
      <c r="I308" s="329"/>
      <c r="J308" s="329"/>
      <c r="K308" s="329"/>
      <c r="L308" s="327"/>
      <c r="M308" s="452" t="s">
        <v>308</v>
      </c>
      <c r="N308" s="327" t="s">
        <v>309</v>
      </c>
      <c r="O308" s="354" t="s">
        <v>310</v>
      </c>
      <c r="P308" s="354" t="s">
        <v>311</v>
      </c>
    </row>
    <row r="309" spans="3:17" s="354" customFormat="1" ht="15" customHeight="1" x14ac:dyDescent="0.35">
      <c r="C309" s="355"/>
      <c r="D309" s="355"/>
      <c r="G309" s="332"/>
      <c r="H309" s="329"/>
      <c r="I309" s="329"/>
      <c r="J309" s="329"/>
      <c r="K309" s="329"/>
      <c r="L309" s="327"/>
      <c r="M309" s="363">
        <f>F33+F38+F56+F91+F121+F131+F135+F148+F153+F167+F178+F182+F198+F205+F216+F233+F241+F255+F275+F286+F297</f>
        <v>450.15219999999994</v>
      </c>
      <c r="N309" s="328">
        <f>G297+G286+G275+G255+G241+G233+G216+G205+G198+G182+G178+G167+G153+G148+G135+G131+G121+G91+G56+G38+G33</f>
        <v>10.742999999999999</v>
      </c>
      <c r="O309" s="755">
        <f>H297+H286+H275+H255+H241+H233+H216+H205+H198+H182+H178+H167+H153+H148+H135+H131+H121+H91+H56+H38+H33</f>
        <v>13.588000000000001</v>
      </c>
      <c r="P309" s="755">
        <f>I297+I286+I275+I255+I241+I233+I216+I205+I198+I182+I178+I167+I153+I148+I135+I131+I121+I91+I56+I38+I33</f>
        <v>760.66200000000003</v>
      </c>
      <c r="Q309" s="756">
        <f>SUM(M309:P309)</f>
        <v>1235.1451999999999</v>
      </c>
    </row>
    <row r="310" spans="3:17" s="354" customFormat="1" ht="15" customHeight="1" x14ac:dyDescent="0.35">
      <c r="C310" s="355"/>
      <c r="D310" s="355"/>
      <c r="G310" s="350"/>
      <c r="H310" s="329"/>
      <c r="I310" s="329"/>
      <c r="J310" s="329"/>
      <c r="K310" s="329"/>
      <c r="L310" s="327"/>
      <c r="M310" s="452"/>
      <c r="N310" s="327"/>
    </row>
    <row r="311" spans="3:17" s="354" customFormat="1" ht="15" customHeight="1" x14ac:dyDescent="0.35">
      <c r="C311" s="356" t="s">
        <v>147</v>
      </c>
      <c r="D311" s="356"/>
      <c r="G311" s="318" t="s">
        <v>852</v>
      </c>
      <c r="H311" s="329"/>
      <c r="I311" s="329"/>
      <c r="J311" s="329"/>
      <c r="K311" s="329"/>
      <c r="L311" s="327"/>
      <c r="M311" s="452"/>
      <c r="N311" s="327"/>
    </row>
    <row r="312" spans="3:17" s="354" customFormat="1" ht="15" customHeight="1" x14ac:dyDescent="0.35">
      <c r="C312" s="355" t="s">
        <v>149</v>
      </c>
      <c r="D312" s="355"/>
      <c r="G312" s="332" t="s">
        <v>853</v>
      </c>
      <c r="H312" s="329"/>
      <c r="I312" s="329"/>
      <c r="J312" s="329"/>
      <c r="K312" s="362"/>
      <c r="L312" s="327"/>
      <c r="M312" s="452"/>
      <c r="N312" s="327"/>
    </row>
    <row r="313" spans="3:17" s="354" customFormat="1" ht="15" customHeight="1" x14ac:dyDescent="0.35">
      <c r="C313" s="327"/>
      <c r="D313" s="327"/>
      <c r="G313" s="332" t="s">
        <v>858</v>
      </c>
      <c r="H313" s="329"/>
      <c r="I313" s="329"/>
      <c r="J313" s="329"/>
      <c r="K313" s="329"/>
      <c r="L313" s="327"/>
      <c r="M313" s="452"/>
      <c r="N313" s="327"/>
    </row>
    <row r="314" spans="3:17" s="354" customFormat="1" ht="15" customHeight="1" x14ac:dyDescent="0.35">
      <c r="C314" s="328"/>
      <c r="D314" s="328"/>
      <c r="E314" s="329"/>
      <c r="F314" s="329"/>
      <c r="G314" s="329"/>
      <c r="H314" s="329"/>
      <c r="I314" s="329"/>
      <c r="J314" s="329"/>
      <c r="K314" s="329"/>
      <c r="L314" s="327"/>
      <c r="M314" s="452"/>
      <c r="N314" s="327"/>
    </row>
    <row r="315" spans="3:17" s="354" customFormat="1" ht="15" customHeight="1" x14ac:dyDescent="0.35">
      <c r="C315" s="935" t="s">
        <v>152</v>
      </c>
      <c r="D315" s="328"/>
      <c r="F315" s="329"/>
      <c r="G315" s="329"/>
      <c r="H315" s="329"/>
      <c r="I315" s="329"/>
      <c r="J315" s="329"/>
      <c r="K315" s="329"/>
      <c r="L315" s="327"/>
      <c r="M315" s="452"/>
      <c r="N315" s="327"/>
    </row>
    <row r="316" spans="3:17" s="354" customFormat="1" ht="15" customHeight="1" x14ac:dyDescent="0.35">
      <c r="C316" s="327"/>
      <c r="D316" s="327"/>
      <c r="E316" s="329"/>
      <c r="F316" s="329"/>
      <c r="G316" s="329"/>
      <c r="H316" s="329"/>
      <c r="I316" s="329"/>
      <c r="J316" s="329"/>
      <c r="K316" s="329"/>
      <c r="L316" s="327"/>
      <c r="M316" s="452"/>
      <c r="N316" s="327"/>
    </row>
    <row r="317" spans="3:17" s="354" customFormat="1" ht="15" customHeight="1" x14ac:dyDescent="0.35">
      <c r="C317" s="327"/>
      <c r="D317" s="327"/>
      <c r="E317" s="329"/>
      <c r="F317" s="329"/>
      <c r="G317" s="329"/>
      <c r="H317" s="329"/>
      <c r="I317" s="329"/>
      <c r="J317" s="329"/>
      <c r="K317" s="329"/>
      <c r="L317" s="327"/>
      <c r="M317" s="452"/>
      <c r="N317" s="327"/>
    </row>
    <row r="318" spans="3:17" s="354" customFormat="1" ht="18" customHeight="1" x14ac:dyDescent="0.35">
      <c r="C318" s="327"/>
      <c r="D318" s="327"/>
      <c r="E318" s="318" t="s">
        <v>855</v>
      </c>
      <c r="F318" s="329"/>
      <c r="G318" s="329"/>
      <c r="H318" s="329"/>
      <c r="I318" s="329"/>
      <c r="J318" s="329"/>
      <c r="K318" s="329"/>
      <c r="L318" s="327"/>
      <c r="M318" s="452"/>
      <c r="N318" s="327"/>
    </row>
    <row r="319" spans="3:17" s="354" customFormat="1" ht="18" customHeight="1" x14ac:dyDescent="0.35">
      <c r="C319" s="327"/>
      <c r="D319" s="327"/>
      <c r="E319" s="1292" t="s">
        <v>763</v>
      </c>
      <c r="F319" s="1292"/>
      <c r="G319" s="329"/>
      <c r="H319" s="329"/>
      <c r="I319" s="329"/>
      <c r="J319" s="329"/>
      <c r="K319" s="329"/>
      <c r="L319" s="327"/>
      <c r="M319" s="452"/>
      <c r="N319" s="327"/>
    </row>
    <row r="327" spans="3:4" x14ac:dyDescent="0.35">
      <c r="C327" s="327" t="s">
        <v>849</v>
      </c>
      <c r="D327" s="328">
        <f>D286+D275+D241+D233</f>
        <v>318.78599999999994</v>
      </c>
    </row>
  </sheetData>
  <autoFilter ref="J1:J319" xr:uid="{00000000-0009-0000-0000-000017000000}"/>
  <mergeCells count="8">
    <mergeCell ref="E319:F319"/>
    <mergeCell ref="B1:J1"/>
    <mergeCell ref="B2:J2"/>
    <mergeCell ref="B3:J3"/>
    <mergeCell ref="D6:D7"/>
    <mergeCell ref="E6:E7"/>
    <mergeCell ref="F6:I6"/>
    <mergeCell ref="J6:J7"/>
  </mergeCells>
  <printOptions horizontalCentered="1"/>
  <pageMargins left="0" right="0" top="1" bottom="0.54" header="0.41" footer="0"/>
  <pageSetup paperSize="14" scale="65" fitToWidth="0" fitToHeight="0" orientation="portrait" useFirstPageNumber="1" horizontalDpi="300" verticalDpi="300" r:id="rId1"/>
  <headerFooter scaleWithDoc="0" alignWithMargins="0">
    <oddFooter>&amp;RPage &amp;P of &amp;N</oddFooter>
    <firstFooter>&amp;R&amp;P</firstFooter>
  </headerFooter>
  <rowBreaks count="3" manualBreakCount="3">
    <brk id="92" min="1" max="9" man="1"/>
    <brk id="179" min="1" max="9" man="1"/>
    <brk id="234" min="1" max="9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tabColor theme="4" tint="-0.499984740745262"/>
  </sheetPr>
  <dimension ref="A1:AG85"/>
  <sheetViews>
    <sheetView view="pageBreakPreview" zoomScale="85" zoomScaleNormal="100" zoomScaleSheetLayoutView="85" workbookViewId="0">
      <selection activeCell="P33" sqref="P33"/>
    </sheetView>
  </sheetViews>
  <sheetFormatPr defaultColWidth="9.1796875" defaultRowHeight="18" x14ac:dyDescent="0.4"/>
  <cols>
    <col min="1" max="1" width="15.7265625" style="307" customWidth="1"/>
    <col min="2" max="2" width="47.81640625" style="307" customWidth="1"/>
    <col min="3" max="8" width="15.7265625" style="307" customWidth="1"/>
    <col min="9" max="9" width="14.26953125" style="307" customWidth="1"/>
    <col min="10" max="10" width="10.81640625" style="307" bestFit="1" customWidth="1"/>
    <col min="11" max="14" width="14.26953125" style="462" customWidth="1"/>
    <col min="15" max="15" width="12.81640625" style="436" bestFit="1" customWidth="1"/>
    <col min="16" max="16" width="12" style="436" customWidth="1"/>
    <col min="17" max="17" width="9.7265625" style="436" bestFit="1" customWidth="1"/>
    <col min="18" max="18" width="11" style="436" bestFit="1" customWidth="1"/>
    <col min="19" max="19" width="11.1796875" style="436" customWidth="1"/>
    <col min="20" max="21" width="9.7265625" style="436" bestFit="1" customWidth="1"/>
    <col min="22" max="22" width="11.54296875" style="436" customWidth="1"/>
    <col min="23" max="23" width="13.26953125" style="436" customWidth="1"/>
    <col min="24" max="24" width="12.26953125" style="436" customWidth="1"/>
    <col min="25" max="25" width="9.7265625" style="436" bestFit="1" customWidth="1"/>
    <col min="26" max="27" width="11" style="436" bestFit="1" customWidth="1"/>
    <col min="28" max="28" width="9.7265625" style="436" bestFit="1" customWidth="1"/>
    <col min="29" max="29" width="13" style="436" customWidth="1"/>
    <col min="30" max="30" width="12.7265625" style="436" customWidth="1"/>
    <col min="31" max="31" width="9.7265625" style="436" bestFit="1" customWidth="1"/>
    <col min="32" max="32" width="13.1796875" style="436" customWidth="1"/>
    <col min="33" max="33" width="12.1796875" style="307" customWidth="1"/>
    <col min="34" max="16384" width="9.1796875" style="307"/>
  </cols>
  <sheetData>
    <row r="1" spans="1:32" s="113" customFormat="1" x14ac:dyDescent="0.35">
      <c r="A1" s="1184" t="s">
        <v>0</v>
      </c>
      <c r="B1" s="1184"/>
      <c r="C1" s="1184"/>
      <c r="D1" s="1184"/>
      <c r="E1" s="1184"/>
      <c r="F1" s="1184"/>
      <c r="G1" s="1184"/>
      <c r="H1" s="1184"/>
      <c r="I1" s="304"/>
      <c r="J1" s="304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</row>
    <row r="2" spans="1:32" s="113" customFormat="1" x14ac:dyDescent="0.35">
      <c r="A2" s="1184" t="s">
        <v>297</v>
      </c>
      <c r="B2" s="1184"/>
      <c r="C2" s="1184"/>
      <c r="D2" s="1184"/>
      <c r="E2" s="1184"/>
      <c r="F2" s="1184"/>
      <c r="G2" s="1184"/>
      <c r="H2" s="1184"/>
      <c r="I2" s="304"/>
      <c r="J2" s="304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</row>
    <row r="3" spans="1:32" s="113" customFormat="1" x14ac:dyDescent="0.35">
      <c r="A3" s="1194" t="s">
        <v>879</v>
      </c>
      <c r="B3" s="1194"/>
      <c r="C3" s="1194"/>
      <c r="D3" s="1194"/>
      <c r="E3" s="1194"/>
      <c r="F3" s="1194"/>
      <c r="G3" s="1194"/>
      <c r="H3" s="1194"/>
      <c r="I3" s="304"/>
      <c r="J3" s="304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</row>
    <row r="4" spans="1:32" s="113" customFormat="1" x14ac:dyDescent="0.35">
      <c r="A4" s="305"/>
      <c r="B4" s="305"/>
      <c r="C4" s="305"/>
      <c r="D4" s="305"/>
      <c r="E4" s="305"/>
      <c r="F4" s="305"/>
      <c r="G4" s="305"/>
      <c r="H4" s="305"/>
      <c r="I4" s="304"/>
      <c r="J4" s="304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</row>
    <row r="5" spans="1:32" ht="22.5" x14ac:dyDescent="0.45">
      <c r="A5" s="1195" t="s">
        <v>743</v>
      </c>
      <c r="B5" s="1195"/>
      <c r="C5" s="1195"/>
      <c r="D5" s="1195"/>
      <c r="E5" s="1195"/>
      <c r="F5" s="1195"/>
      <c r="G5" s="1195"/>
      <c r="H5" s="1195"/>
    </row>
    <row r="6" spans="1:32" ht="11.25" customHeight="1" x14ac:dyDescent="0.45">
      <c r="A6" s="425"/>
      <c r="B6" s="425"/>
      <c r="C6" s="425"/>
      <c r="D6" s="425"/>
      <c r="E6" s="425"/>
      <c r="F6" s="425"/>
      <c r="G6" s="425"/>
      <c r="H6" s="425"/>
      <c r="K6" s="463"/>
      <c r="L6" s="463"/>
      <c r="M6" s="463"/>
      <c r="N6" s="463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</row>
    <row r="7" spans="1:32" s="308" customFormat="1" ht="75" customHeight="1" x14ac:dyDescent="0.35">
      <c r="A7" s="411" t="s">
        <v>730</v>
      </c>
      <c r="B7" s="411" t="s">
        <v>704</v>
      </c>
      <c r="C7" s="412" t="s">
        <v>724</v>
      </c>
      <c r="D7" s="412" t="s">
        <v>725</v>
      </c>
      <c r="E7" s="412" t="s">
        <v>739</v>
      </c>
      <c r="F7" s="412" t="s">
        <v>740</v>
      </c>
      <c r="G7" s="412" t="s">
        <v>741</v>
      </c>
      <c r="H7" s="412" t="s">
        <v>742</v>
      </c>
      <c r="K7" s="464"/>
      <c r="L7" s="464"/>
      <c r="M7" s="464"/>
      <c r="N7" s="464"/>
      <c r="O7" s="438"/>
      <c r="P7" s="438"/>
      <c r="Q7" s="438"/>
      <c r="R7" s="438"/>
      <c r="S7" s="438"/>
      <c r="T7" s="438"/>
      <c r="U7" s="438"/>
      <c r="V7" s="438"/>
      <c r="W7" s="438"/>
      <c r="X7" s="438"/>
      <c r="Y7" s="438"/>
      <c r="Z7" s="438"/>
      <c r="AA7" s="438"/>
      <c r="AB7" s="438"/>
      <c r="AC7" s="438"/>
      <c r="AD7" s="438"/>
      <c r="AE7" s="438"/>
      <c r="AF7" s="438"/>
    </row>
    <row r="8" spans="1:32" x14ac:dyDescent="0.4">
      <c r="A8" s="310">
        <v>1</v>
      </c>
      <c r="B8" s="309" t="s">
        <v>703</v>
      </c>
      <c r="C8" s="310">
        <v>24</v>
      </c>
      <c r="D8" s="311">
        <f>' road inventory 2024'!D33</f>
        <v>96.916000000000025</v>
      </c>
      <c r="E8" s="312">
        <f>' road inventory 2024'!F33</f>
        <v>72.160000000000011</v>
      </c>
      <c r="F8" s="312">
        <f>' road inventory 2024'!G33</f>
        <v>0</v>
      </c>
      <c r="G8" s="312">
        <f>' road inventory 2024'!H33</f>
        <v>0</v>
      </c>
      <c r="H8" s="312">
        <f>' road inventory 2024'!I33</f>
        <v>24.756</v>
      </c>
      <c r="I8" s="313">
        <f t="shared" ref="I8:I15" si="0">SUM(E8:H8)</f>
        <v>96.916000000000011</v>
      </c>
      <c r="J8" s="313">
        <f>D8-I8</f>
        <v>0</v>
      </c>
    </row>
    <row r="9" spans="1:32" x14ac:dyDescent="0.4">
      <c r="A9" s="310">
        <v>2</v>
      </c>
      <c r="B9" s="309" t="s">
        <v>711</v>
      </c>
      <c r="C9" s="310">
        <v>2</v>
      </c>
      <c r="D9" s="311">
        <f>' road inventory 2024'!D38</f>
        <v>18.875999999999998</v>
      </c>
      <c r="E9" s="312">
        <f>' road inventory 2024'!F38</f>
        <v>18.378</v>
      </c>
      <c r="F9" s="312">
        <f>' road inventory 2024'!G38</f>
        <v>0</v>
      </c>
      <c r="G9" s="312">
        <f>' road inventory 2024'!H38</f>
        <v>0</v>
      </c>
      <c r="H9" s="312">
        <f>' road inventory 2024'!I38</f>
        <v>0.49799999999999933</v>
      </c>
      <c r="I9" s="313">
        <f t="shared" si="0"/>
        <v>18.875999999999998</v>
      </c>
      <c r="J9" s="313">
        <f t="shared" ref="J9:J29" si="1">D9-I9</f>
        <v>0</v>
      </c>
    </row>
    <row r="10" spans="1:32" x14ac:dyDescent="0.4">
      <c r="A10" s="310">
        <v>3</v>
      </c>
      <c r="B10" s="309" t="s">
        <v>710</v>
      </c>
      <c r="C10" s="310">
        <v>15</v>
      </c>
      <c r="D10" s="311">
        <f>' road inventory 2024'!D56</f>
        <v>50.042999999999999</v>
      </c>
      <c r="E10" s="312">
        <f>' road inventory 2024'!F56</f>
        <v>13.534000000000002</v>
      </c>
      <c r="F10" s="312">
        <f>' road inventory 2024'!G56</f>
        <v>0</v>
      </c>
      <c r="G10" s="312">
        <f>' road inventory 2024'!H56</f>
        <v>2.9039999999999999</v>
      </c>
      <c r="H10" s="312">
        <f>' road inventory 2024'!I56</f>
        <v>33.605000000000004</v>
      </c>
      <c r="I10" s="313">
        <f t="shared" si="0"/>
        <v>50.043000000000006</v>
      </c>
      <c r="J10" s="313">
        <f t="shared" si="1"/>
        <v>0</v>
      </c>
    </row>
    <row r="11" spans="1:32" x14ac:dyDescent="0.4">
      <c r="A11" s="310">
        <v>4</v>
      </c>
      <c r="B11" s="309" t="s">
        <v>709</v>
      </c>
      <c r="C11" s="310">
        <v>32</v>
      </c>
      <c r="D11" s="311">
        <f>' road inventory 2024'!D91</f>
        <v>110.607</v>
      </c>
      <c r="E11" s="312">
        <f>' road inventory 2024'!F91</f>
        <v>48.565999999999995</v>
      </c>
      <c r="F11" s="312">
        <f>' road inventory 2024'!G91</f>
        <v>0</v>
      </c>
      <c r="G11" s="312">
        <f>' road inventory 2024'!H91</f>
        <v>0</v>
      </c>
      <c r="H11" s="312">
        <f>' road inventory 2024'!I91</f>
        <v>62.04099999999999</v>
      </c>
      <c r="I11" s="313">
        <f t="shared" si="0"/>
        <v>110.60699999999999</v>
      </c>
      <c r="J11" s="313">
        <f t="shared" si="1"/>
        <v>0</v>
      </c>
    </row>
    <row r="12" spans="1:32" x14ac:dyDescent="0.4">
      <c r="A12" s="310">
        <v>5</v>
      </c>
      <c r="B12" s="309" t="s">
        <v>705</v>
      </c>
      <c r="C12" s="310">
        <v>29</v>
      </c>
      <c r="D12" s="311">
        <f>' road inventory 2024'!D123</f>
        <v>110.27700000000003</v>
      </c>
      <c r="E12" s="312">
        <f>' road inventory 2024'!F123</f>
        <v>40.840999999999994</v>
      </c>
      <c r="F12" s="312">
        <f>' road inventory 2024'!G123</f>
        <v>0</v>
      </c>
      <c r="G12" s="312">
        <f>' road inventory 2024'!H123</f>
        <v>0</v>
      </c>
      <c r="H12" s="312">
        <f>' road inventory 2024'!I123</f>
        <v>69.435999999999979</v>
      </c>
      <c r="I12" s="313">
        <f t="shared" si="0"/>
        <v>110.27699999999997</v>
      </c>
      <c r="J12" s="313">
        <f t="shared" si="1"/>
        <v>0</v>
      </c>
    </row>
    <row r="13" spans="1:32" x14ac:dyDescent="0.4">
      <c r="A13" s="310">
        <v>6</v>
      </c>
      <c r="B13" s="309" t="s">
        <v>706</v>
      </c>
      <c r="C13" s="310">
        <v>7</v>
      </c>
      <c r="D13" s="311">
        <f>' road inventory 2024'!D133</f>
        <v>42.079000000000001</v>
      </c>
      <c r="E13" s="312">
        <f>' road inventory 2024'!F133</f>
        <v>9.0960000000000001</v>
      </c>
      <c r="F13" s="312">
        <f>' road inventory 2024'!G133</f>
        <v>0</v>
      </c>
      <c r="G13" s="312">
        <f>' road inventory 2024'!H123</f>
        <v>0</v>
      </c>
      <c r="H13" s="312">
        <f>' road inventory 2024'!I133</f>
        <v>32.982999999999997</v>
      </c>
      <c r="I13" s="313">
        <f t="shared" si="0"/>
        <v>42.078999999999994</v>
      </c>
      <c r="J13" s="313">
        <f t="shared" si="1"/>
        <v>0</v>
      </c>
    </row>
    <row r="14" spans="1:32" x14ac:dyDescent="0.4">
      <c r="A14" s="310">
        <v>7</v>
      </c>
      <c r="B14" s="309" t="s">
        <v>707</v>
      </c>
      <c r="C14" s="310">
        <v>1</v>
      </c>
      <c r="D14" s="311">
        <f>' road inventory 2024'!D137</f>
        <v>3.33</v>
      </c>
      <c r="E14" s="312">
        <f>' road inventory 2024'!F137</f>
        <v>0.52</v>
      </c>
      <c r="F14" s="312">
        <f>' road inventory 2024'!G137</f>
        <v>0</v>
      </c>
      <c r="G14" s="312">
        <f>' road inventory 2024'!H137</f>
        <v>0</v>
      </c>
      <c r="H14" s="312">
        <f>' road inventory 2024'!I137</f>
        <v>2.81</v>
      </c>
      <c r="I14" s="313">
        <f t="shared" si="0"/>
        <v>3.33</v>
      </c>
      <c r="J14" s="313">
        <f t="shared" si="1"/>
        <v>0</v>
      </c>
    </row>
    <row r="15" spans="1:32" x14ac:dyDescent="0.4">
      <c r="A15" s="310">
        <v>8</v>
      </c>
      <c r="B15" s="309" t="s">
        <v>708</v>
      </c>
      <c r="C15" s="310">
        <v>10</v>
      </c>
      <c r="D15" s="311">
        <f>' road inventory 2024'!D150</f>
        <v>55.622000000000007</v>
      </c>
      <c r="E15" s="312">
        <f>' road inventory 2024'!F150</f>
        <v>24.810999999999996</v>
      </c>
      <c r="F15" s="312">
        <f>' road inventory 2024'!G150</f>
        <v>0</v>
      </c>
      <c r="G15" s="312">
        <f>' road inventory 2024'!H150</f>
        <v>0</v>
      </c>
      <c r="H15" s="312">
        <f>' road inventory 2024'!I150</f>
        <v>30.811000000000003</v>
      </c>
      <c r="I15" s="313">
        <f t="shared" si="0"/>
        <v>55.622</v>
      </c>
      <c r="J15" s="313">
        <f t="shared" si="1"/>
        <v>0</v>
      </c>
    </row>
    <row r="16" spans="1:32" x14ac:dyDescent="0.4">
      <c r="A16" s="413" t="s">
        <v>731</v>
      </c>
      <c r="B16" s="413"/>
      <c r="C16" s="414">
        <f t="shared" ref="C16:H16" si="2">SUM(C8:C15)</f>
        <v>120</v>
      </c>
      <c r="D16" s="415">
        <f t="shared" si="2"/>
        <v>487.75000000000006</v>
      </c>
      <c r="E16" s="416">
        <f t="shared" si="2"/>
        <v>227.90600000000001</v>
      </c>
      <c r="F16" s="416">
        <f t="shared" si="2"/>
        <v>0</v>
      </c>
      <c r="G16" s="416">
        <f t="shared" si="2"/>
        <v>2.9039999999999999</v>
      </c>
      <c r="H16" s="416">
        <f t="shared" si="2"/>
        <v>256.93999999999994</v>
      </c>
      <c r="I16" s="313">
        <f>SUM(E16:H16)</f>
        <v>487.74999999999994</v>
      </c>
      <c r="J16" s="313">
        <f t="shared" si="1"/>
        <v>0</v>
      </c>
    </row>
    <row r="17" spans="1:32" x14ac:dyDescent="0.4">
      <c r="A17" s="310">
        <v>9</v>
      </c>
      <c r="B17" s="309" t="s">
        <v>719</v>
      </c>
      <c r="C17" s="310">
        <v>2</v>
      </c>
      <c r="D17" s="311">
        <f>' road inventory 2024'!D155</f>
        <v>7.25</v>
      </c>
      <c r="E17" s="314">
        <f>' road inventory 2024'!F155</f>
        <v>3.3</v>
      </c>
      <c r="F17" s="314">
        <f>' road inventory 2024'!G155</f>
        <v>0</v>
      </c>
      <c r="G17" s="314">
        <f>' road inventory 2024'!H169</f>
        <v>0</v>
      </c>
      <c r="H17" s="314">
        <f>' road inventory 2024'!I155</f>
        <v>3.9499999999999997</v>
      </c>
      <c r="I17" s="313">
        <f t="shared" ref="I17:I22" si="3">SUM(E17:H17)</f>
        <v>7.25</v>
      </c>
      <c r="J17" s="313">
        <f t="shared" si="1"/>
        <v>0</v>
      </c>
    </row>
    <row r="18" spans="1:32" x14ac:dyDescent="0.4">
      <c r="A18" s="310">
        <v>10</v>
      </c>
      <c r="B18" s="309" t="s">
        <v>716</v>
      </c>
      <c r="C18" s="310">
        <v>11</v>
      </c>
      <c r="D18" s="311">
        <f>' road inventory 2024'!D169</f>
        <v>62</v>
      </c>
      <c r="E18" s="314">
        <f>' road inventory 2024'!F169</f>
        <v>18.149999999999999</v>
      </c>
      <c r="F18" s="314">
        <f>' road inventory 2024'!G169</f>
        <v>0</v>
      </c>
      <c r="G18" s="314">
        <f>' road inventory 2024'!H169</f>
        <v>0</v>
      </c>
      <c r="H18" s="314">
        <f>' road inventory 2024'!I169</f>
        <v>43.849999999999994</v>
      </c>
      <c r="I18" s="313">
        <f t="shared" si="3"/>
        <v>61.999999999999993</v>
      </c>
      <c r="J18" s="313">
        <f t="shared" si="1"/>
        <v>0</v>
      </c>
    </row>
    <row r="19" spans="1:32" x14ac:dyDescent="0.4">
      <c r="A19" s="310">
        <v>11</v>
      </c>
      <c r="B19" s="309" t="s">
        <v>722</v>
      </c>
      <c r="C19" s="310">
        <v>8</v>
      </c>
      <c r="D19" s="311">
        <f>' road inventory 2024'!D180</f>
        <v>42.083999999999996</v>
      </c>
      <c r="E19" s="314">
        <f>' road inventory 2024'!F180</f>
        <v>21.293999999999997</v>
      </c>
      <c r="F19" s="314">
        <f>' road inventory 2024'!G180</f>
        <v>0</v>
      </c>
      <c r="G19" s="314">
        <f>' road inventory 2024'!H180</f>
        <v>20.79</v>
      </c>
      <c r="H19" s="314">
        <f>' road inventory 2024'!I180</f>
        <v>0</v>
      </c>
      <c r="I19" s="313">
        <f t="shared" si="3"/>
        <v>42.083999999999996</v>
      </c>
      <c r="J19" s="313">
        <f t="shared" si="1"/>
        <v>0</v>
      </c>
    </row>
    <row r="20" spans="1:32" x14ac:dyDescent="0.4">
      <c r="A20" s="310">
        <v>12</v>
      </c>
      <c r="B20" s="309" t="s">
        <v>723</v>
      </c>
      <c r="C20" s="310">
        <v>1</v>
      </c>
      <c r="D20" s="311">
        <f>' road inventory 2024'!D184</f>
        <v>8.7409999999999997</v>
      </c>
      <c r="E20" s="314">
        <f>' road inventory 2024'!F184</f>
        <v>1.18</v>
      </c>
      <c r="F20" s="314">
        <f>'inventory2022 (FINAL)'!G179</f>
        <v>0</v>
      </c>
      <c r="G20" s="314">
        <f>' road inventory 2024'!H184</f>
        <v>0</v>
      </c>
      <c r="H20" s="314">
        <f>'inventory2022 (FINAL)'!I179</f>
        <v>7.5609999999999999</v>
      </c>
      <c r="I20" s="313">
        <f t="shared" si="3"/>
        <v>8.7409999999999997</v>
      </c>
      <c r="J20" s="313">
        <f t="shared" si="1"/>
        <v>0</v>
      </c>
    </row>
    <row r="21" spans="1:32" x14ac:dyDescent="0.4">
      <c r="A21" s="310">
        <v>13</v>
      </c>
      <c r="B21" s="309" t="s">
        <v>720</v>
      </c>
      <c r="C21" s="310">
        <v>13</v>
      </c>
      <c r="D21" s="311">
        <f>' road inventory 2024'!D200</f>
        <v>118.11000000000001</v>
      </c>
      <c r="E21" s="314">
        <f>' road inventory 2024'!F200</f>
        <v>73.3</v>
      </c>
      <c r="F21" s="314">
        <f>' road inventory 2024'!G200</f>
        <v>0</v>
      </c>
      <c r="G21" s="314">
        <f>' road inventory 2024'!H200</f>
        <v>30.729999999999997</v>
      </c>
      <c r="H21" s="314">
        <f>' road inventory 2024'!I200</f>
        <v>14.079999999999998</v>
      </c>
      <c r="I21" s="313">
        <f t="shared" si="3"/>
        <v>118.11</v>
      </c>
      <c r="J21" s="313">
        <f t="shared" si="1"/>
        <v>0</v>
      </c>
    </row>
    <row r="22" spans="1:32" x14ac:dyDescent="0.4">
      <c r="A22" s="310">
        <v>14</v>
      </c>
      <c r="B22" s="309" t="s">
        <v>721</v>
      </c>
      <c r="C22" s="310">
        <v>4</v>
      </c>
      <c r="D22" s="311">
        <f>' road inventory 2024'!D207</f>
        <v>24.270000000000003</v>
      </c>
      <c r="E22" s="314">
        <f>' road inventory 2024'!F207</f>
        <v>19.561</v>
      </c>
      <c r="F22" s="314">
        <f>' road inventory 2024'!G207</f>
        <v>0</v>
      </c>
      <c r="G22" s="314">
        <f>' road inventory 2024'!H207</f>
        <v>0</v>
      </c>
      <c r="H22" s="314">
        <f>' road inventory 2024'!I207</f>
        <v>4.7089999999999996</v>
      </c>
      <c r="I22" s="313">
        <f t="shared" si="3"/>
        <v>24.27</v>
      </c>
      <c r="J22" s="313">
        <f t="shared" si="1"/>
        <v>0</v>
      </c>
    </row>
    <row r="23" spans="1:32" x14ac:dyDescent="0.4">
      <c r="A23" s="310">
        <v>15</v>
      </c>
      <c r="B23" s="309" t="s">
        <v>717</v>
      </c>
      <c r="C23" s="310">
        <v>8</v>
      </c>
      <c r="D23" s="311">
        <f>' road inventory 2024'!D218</f>
        <v>49</v>
      </c>
      <c r="E23" s="314">
        <f>' road inventory 2024'!F218</f>
        <v>28.03</v>
      </c>
      <c r="F23" s="314">
        <f>' road inventory 2024'!G218</f>
        <v>4.1429999999999998</v>
      </c>
      <c r="G23" s="314">
        <f>' road inventory 2024'!H218</f>
        <v>0.1</v>
      </c>
      <c r="H23" s="314">
        <f>' road inventory 2024'!I218</f>
        <v>16.727000000000004</v>
      </c>
      <c r="I23" s="313">
        <f>SUM(E23:H23)</f>
        <v>49.000000000000007</v>
      </c>
      <c r="J23" s="313">
        <f t="shared" si="1"/>
        <v>0</v>
      </c>
    </row>
    <row r="24" spans="1:32" x14ac:dyDescent="0.4">
      <c r="A24" s="310">
        <v>1</v>
      </c>
      <c r="B24" s="309" t="s">
        <v>715</v>
      </c>
      <c r="C24" s="310">
        <v>14</v>
      </c>
      <c r="D24" s="311">
        <f>' road inventory 2024'!D235</f>
        <v>94.262000000000015</v>
      </c>
      <c r="E24" s="312">
        <f>' road inventory 2024'!F235</f>
        <v>40.067</v>
      </c>
      <c r="F24" s="312">
        <f>' road inventory 2024'!G235</f>
        <v>0</v>
      </c>
      <c r="G24" s="312">
        <f>' road inventory 2024'!H235</f>
        <v>12.154999999999999</v>
      </c>
      <c r="H24" s="312">
        <f>' road inventory 2024'!I235</f>
        <v>42.040000000000006</v>
      </c>
      <c r="I24" s="313">
        <f t="shared" ref="I24:I29" si="4">SUM(E24:H24)</f>
        <v>94.262</v>
      </c>
      <c r="J24" s="313">
        <f t="shared" si="1"/>
        <v>0</v>
      </c>
    </row>
    <row r="25" spans="1:32" x14ac:dyDescent="0.4">
      <c r="A25" s="310">
        <v>2</v>
      </c>
      <c r="B25" s="309" t="s">
        <v>765</v>
      </c>
      <c r="C25" s="310">
        <v>5</v>
      </c>
      <c r="D25" s="311">
        <f>' road inventory 2024'!D243</f>
        <v>28.124000000000002</v>
      </c>
      <c r="E25" s="312">
        <f>' road inventory 2024'!F243</f>
        <v>13.035</v>
      </c>
      <c r="F25" s="312">
        <f>' road inventory 2024'!G243</f>
        <v>0</v>
      </c>
      <c r="G25" s="312">
        <f>' road inventory 2024'!H243</f>
        <v>0</v>
      </c>
      <c r="H25" s="312">
        <f>' road inventory 2024'!I243</f>
        <v>15.089000000000002</v>
      </c>
      <c r="I25" s="313">
        <f t="shared" si="4"/>
        <v>28.124000000000002</v>
      </c>
      <c r="J25" s="313">
        <f t="shared" si="1"/>
        <v>0</v>
      </c>
    </row>
    <row r="26" spans="1:32" x14ac:dyDescent="0.4">
      <c r="A26" s="310">
        <v>18</v>
      </c>
      <c r="B26" s="309" t="s">
        <v>718</v>
      </c>
      <c r="C26" s="310">
        <v>11</v>
      </c>
      <c r="D26" s="311">
        <f>' road inventory 2024'!D257</f>
        <v>35.78</v>
      </c>
      <c r="E26" s="314">
        <f>' road inventory 2024'!F257</f>
        <v>19.315999999999999</v>
      </c>
      <c r="F26" s="314">
        <f>' road inventory 2024'!G257</f>
        <v>5.6</v>
      </c>
      <c r="G26" s="314">
        <f>' road inventory 2024'!H257</f>
        <v>0.91400000000000003</v>
      </c>
      <c r="H26" s="314">
        <f>' road inventory 2024'!I257</f>
        <v>9.9499999999999993</v>
      </c>
      <c r="I26" s="313">
        <f t="shared" si="4"/>
        <v>35.78</v>
      </c>
      <c r="J26" s="313">
        <f t="shared" si="1"/>
        <v>0</v>
      </c>
    </row>
    <row r="27" spans="1:32" x14ac:dyDescent="0.4">
      <c r="A27" s="310">
        <v>3</v>
      </c>
      <c r="B27" s="309" t="s">
        <v>712</v>
      </c>
      <c r="C27" s="310">
        <v>18</v>
      </c>
      <c r="D27" s="311">
        <f>' road inventory 2024'!D278</f>
        <v>138.06</v>
      </c>
      <c r="E27" s="314">
        <f>' road inventory 2024'!F278</f>
        <v>57.416000000000004</v>
      </c>
      <c r="F27" s="314">
        <f>' road inventory 2024'!G278</f>
        <v>0</v>
      </c>
      <c r="G27" s="314">
        <f>' road inventory 2024'!H278</f>
        <v>0</v>
      </c>
      <c r="H27" s="314">
        <f>' road inventory 2024'!I278</f>
        <v>80.643999999999991</v>
      </c>
      <c r="I27" s="313">
        <f t="shared" si="4"/>
        <v>138.06</v>
      </c>
      <c r="J27" s="313">
        <f t="shared" si="1"/>
        <v>0</v>
      </c>
    </row>
    <row r="28" spans="1:32" x14ac:dyDescent="0.4">
      <c r="A28" s="310">
        <v>4</v>
      </c>
      <c r="B28" s="309" t="s">
        <v>713</v>
      </c>
      <c r="C28" s="310">
        <v>8</v>
      </c>
      <c r="D28" s="311">
        <f>' road inventory 2024'!D289</f>
        <v>88.477999999999994</v>
      </c>
      <c r="E28" s="314">
        <f>' road inventory 2024'!F289</f>
        <v>60.39</v>
      </c>
      <c r="F28" s="314">
        <f>' road inventory 2024'!G289</f>
        <v>0</v>
      </c>
      <c r="G28" s="314">
        <f>' road inventory 2024'!H289</f>
        <v>0</v>
      </c>
      <c r="H28" s="314">
        <f>' road inventory 2024'!I289</f>
        <v>28.087999999999997</v>
      </c>
      <c r="I28" s="313">
        <f t="shared" si="4"/>
        <v>88.477999999999994</v>
      </c>
      <c r="J28" s="313">
        <f t="shared" si="1"/>
        <v>0</v>
      </c>
    </row>
    <row r="29" spans="1:32" x14ac:dyDescent="0.4">
      <c r="A29" s="310">
        <v>5</v>
      </c>
      <c r="B29" s="309" t="s">
        <v>714</v>
      </c>
      <c r="C29" s="310">
        <v>8</v>
      </c>
      <c r="D29" s="311">
        <f>' road inventory 2024'!D300</f>
        <v>87.624000000000009</v>
      </c>
      <c r="E29" s="314">
        <f>' road inventory 2024'!F300</f>
        <v>51.938999999999993</v>
      </c>
      <c r="F29" s="314">
        <f>' road inventory 2024'!G300</f>
        <v>0</v>
      </c>
      <c r="G29" s="314">
        <f>' road inventory 2024'!H300</f>
        <v>0</v>
      </c>
      <c r="H29" s="314">
        <f>' road inventory 2024'!I300</f>
        <v>35.685000000000002</v>
      </c>
      <c r="I29" s="313">
        <f t="shared" si="4"/>
        <v>87.623999999999995</v>
      </c>
      <c r="J29" s="313">
        <f t="shared" si="1"/>
        <v>0</v>
      </c>
    </row>
    <row r="30" spans="1:32" s="417" customFormat="1" x14ac:dyDescent="0.4">
      <c r="A30" s="413" t="s">
        <v>732</v>
      </c>
      <c r="B30" s="413"/>
      <c r="C30" s="414">
        <f>SUM(C17:C29)</f>
        <v>111</v>
      </c>
      <c r="D30" s="415">
        <f>SUM(D17:D29)</f>
        <v>783.78300000000002</v>
      </c>
      <c r="E30" s="416">
        <f>SUM(E17:E29)</f>
        <v>406.97799999999995</v>
      </c>
      <c r="F30" s="416">
        <f>SUM(F17:F28)</f>
        <v>9.7429999999999986</v>
      </c>
      <c r="G30" s="416">
        <f>SUM(G17:G29)</f>
        <v>64.688999999999993</v>
      </c>
      <c r="H30" s="416">
        <f>SUM(H17:H29)</f>
        <v>302.37300000000005</v>
      </c>
      <c r="I30" s="416">
        <f>SUM(E30:H30)</f>
        <v>783.78300000000002</v>
      </c>
      <c r="K30" s="465"/>
      <c r="L30" s="465"/>
      <c r="M30" s="465"/>
      <c r="N30" s="465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  <c r="AA30" s="439"/>
      <c r="AB30" s="439"/>
      <c r="AC30" s="439"/>
      <c r="AD30" s="439"/>
      <c r="AE30" s="439"/>
      <c r="AF30" s="439"/>
    </row>
    <row r="31" spans="1:32" s="422" customFormat="1" x14ac:dyDescent="0.4">
      <c r="A31" s="418" t="s">
        <v>878</v>
      </c>
      <c r="B31" s="418"/>
      <c r="C31" s="419">
        <f t="shared" ref="C31:H31" si="5">C16+C30</f>
        <v>231</v>
      </c>
      <c r="D31" s="420">
        <f t="shared" si="5"/>
        <v>1271.5330000000001</v>
      </c>
      <c r="E31" s="421">
        <f t="shared" si="5"/>
        <v>634.88400000000001</v>
      </c>
      <c r="F31" s="421">
        <f t="shared" si="5"/>
        <v>9.7429999999999986</v>
      </c>
      <c r="G31" s="421">
        <f t="shared" si="5"/>
        <v>67.592999999999989</v>
      </c>
      <c r="H31" s="421">
        <f t="shared" si="5"/>
        <v>559.31299999999999</v>
      </c>
      <c r="I31" s="432">
        <f>I30+I16</f>
        <v>1271.5329999999999</v>
      </c>
      <c r="J31" s="433">
        <f>SUM(E31:H31)</f>
        <v>1271.5329999999999</v>
      </c>
      <c r="K31" s="930">
        <f>D31/'inventory2022 (FINAL)'!E295*100</f>
        <v>102.21203120541153</v>
      </c>
      <c r="L31" s="466"/>
      <c r="M31" s="466"/>
      <c r="N31" s="466">
        <f>E31+H31</f>
        <v>1194.1970000000001</v>
      </c>
      <c r="O31" s="440"/>
      <c r="P31" s="440"/>
      <c r="Q31" s="440"/>
      <c r="R31" s="440"/>
      <c r="S31" s="440"/>
      <c r="T31" s="440"/>
      <c r="U31" s="440"/>
      <c r="V31" s="440"/>
      <c r="W31" s="440"/>
      <c r="X31" s="440"/>
      <c r="Y31" s="440"/>
      <c r="Z31" s="440"/>
      <c r="AA31" s="440"/>
      <c r="AB31" s="440"/>
      <c r="AC31" s="440"/>
      <c r="AD31" s="440"/>
      <c r="AE31" s="440"/>
      <c r="AF31" s="440"/>
    </row>
    <row r="32" spans="1:32" x14ac:dyDescent="0.4">
      <c r="A32" s="1257" t="s">
        <v>856</v>
      </c>
      <c r="B32" s="1257"/>
      <c r="C32" s="947"/>
      <c r="D32" s="948">
        <f>I76</f>
        <v>0.69804865696957041</v>
      </c>
      <c r="E32" s="316"/>
      <c r="F32" s="316"/>
      <c r="G32" s="316"/>
      <c r="H32" s="316"/>
    </row>
    <row r="33" spans="1:32" x14ac:dyDescent="0.4">
      <c r="A33" s="1196" t="s">
        <v>744</v>
      </c>
      <c r="B33" s="1196"/>
      <c r="C33" s="1196"/>
      <c r="D33" s="1196"/>
      <c r="E33" s="1196"/>
      <c r="F33" s="1196"/>
      <c r="G33" s="1196"/>
      <c r="H33" s="1196"/>
      <c r="I33" s="953">
        <f>D31-C40</f>
        <v>0</v>
      </c>
    </row>
    <row r="34" spans="1:32" x14ac:dyDescent="0.4">
      <c r="A34" s="306"/>
      <c r="B34" s="306"/>
      <c r="C34" s="306"/>
      <c r="D34" s="306"/>
      <c r="E34" s="306"/>
      <c r="F34" s="306"/>
      <c r="G34" s="306"/>
      <c r="H34" s="306"/>
    </row>
    <row r="35" spans="1:32" s="315" customFormat="1" ht="54" customHeight="1" x14ac:dyDescent="0.35">
      <c r="A35" s="426" t="s">
        <v>730</v>
      </c>
      <c r="B35" s="426" t="s">
        <v>29</v>
      </c>
      <c r="C35" s="427" t="s">
        <v>725</v>
      </c>
      <c r="D35" s="423"/>
      <c r="J35" s="434"/>
      <c r="K35" s="444" t="s">
        <v>766</v>
      </c>
      <c r="L35" s="444" t="s">
        <v>767</v>
      </c>
      <c r="M35" s="444" t="s">
        <v>768</v>
      </c>
      <c r="N35" s="445" t="s">
        <v>769</v>
      </c>
      <c r="O35" s="444" t="s">
        <v>770</v>
      </c>
      <c r="P35" s="444" t="s">
        <v>771</v>
      </c>
      <c r="Q35" s="444" t="s">
        <v>772</v>
      </c>
      <c r="R35" s="445" t="s">
        <v>773</v>
      </c>
      <c r="S35" s="444" t="s">
        <v>774</v>
      </c>
      <c r="T35" s="444" t="s">
        <v>775</v>
      </c>
      <c r="U35" s="447" t="s">
        <v>776</v>
      </c>
      <c r="V35" s="447" t="s">
        <v>777</v>
      </c>
      <c r="W35" s="444" t="s">
        <v>778</v>
      </c>
      <c r="X35" s="444" t="s">
        <v>779</v>
      </c>
      <c r="Y35" s="444" t="s">
        <v>780</v>
      </c>
      <c r="Z35" s="444" t="s">
        <v>781</v>
      </c>
      <c r="AA35" s="444" t="s">
        <v>782</v>
      </c>
      <c r="AB35" s="444" t="s">
        <v>783</v>
      </c>
      <c r="AC35" s="444" t="s">
        <v>784</v>
      </c>
      <c r="AD35" s="445" t="s">
        <v>785</v>
      </c>
      <c r="AE35" s="444" t="s">
        <v>786</v>
      </c>
      <c r="AF35" s="441" t="s">
        <v>665</v>
      </c>
    </row>
    <row r="36" spans="1:32" x14ac:dyDescent="0.4">
      <c r="A36" s="428">
        <v>1</v>
      </c>
      <c r="B36" s="428" t="s">
        <v>10</v>
      </c>
      <c r="C36" s="429">
        <f xml:space="preserve"> AF36</f>
        <v>340.6</v>
      </c>
      <c r="D36" s="424"/>
      <c r="J36" s="428" t="s">
        <v>10</v>
      </c>
      <c r="K36" s="429">
        <f>SUMIF(' road inventory 2024'!$J$9:$J$32,"Good",' road inventory 2024'!$D$9:$D$32)</f>
        <v>40.808</v>
      </c>
      <c r="L36" s="429">
        <f>SUMIF(' road inventory 2024'!$J$36:$J$37,"Good",' road inventory 2024'!$D$36:$D$37)</f>
        <v>0</v>
      </c>
      <c r="M36" s="429">
        <f>SUMIF(' road inventory 2024'!$J$41:$J$55,"Good",' road inventory 2024'!$D$41:$D$55)</f>
        <v>6.12</v>
      </c>
      <c r="N36" s="429">
        <f>SUMIF(' road inventory 2024'!$J$59:$J$90,"Good",' road inventory 2024'!$D$59:$D$90)</f>
        <v>40.74</v>
      </c>
      <c r="O36" s="446">
        <f>SUMIF(' road inventory 2024'!$J$94:$J$122,"Good",' road inventory 2024'!$D$94:$D$122)</f>
        <v>14.993</v>
      </c>
      <c r="P36" s="446">
        <f>SUMIF(' road inventory 2024'!$J$126:$J$132,"Good",' road inventory 2024'!$D$126:$D$132)</f>
        <v>0</v>
      </c>
      <c r="Q36" s="446">
        <f>SUMIF(' road inventory 2024'!$J$136,"Good",' road inventory 2024'!$D$136)</f>
        <v>0</v>
      </c>
      <c r="R36" s="446">
        <f>SUMIF(' road inventory 2024'!$J$140:$J$149,"Good",' road inventory 2024'!$D$140:$D$149)</f>
        <v>1.1000000000000001</v>
      </c>
      <c r="S36" s="446">
        <f>SUMIF(' road inventory 2024'!$J$153:$J$154,"Good",' road inventory 2024'!$D$153:$D$154)</f>
        <v>0</v>
      </c>
      <c r="T36" s="446">
        <f>SUMIF(' road inventory 2024'!$J$158:$J$168,"Good",' road inventory 2024'!$D$158:$D$168)</f>
        <v>0</v>
      </c>
      <c r="U36" s="446">
        <f>SUMIF(' road inventory 2024'!$J$172:$J$179,"Good",' road inventory 2024'!$D$172:$D$179)</f>
        <v>19.079999999999998</v>
      </c>
      <c r="V36" s="446">
        <f>SUMIF(' road inventory 2024'!$J$183:$J$183,"Good",' road inventory 2024'!$D$183:$D$183)</f>
        <v>0</v>
      </c>
      <c r="W36" s="446">
        <f>SUMIF(' road inventory 2024'!$J$187:$J$199,"Good",' road inventory 2024'!$D$187:$D$199)</f>
        <v>73.72</v>
      </c>
      <c r="X36" s="446">
        <f>SUMIF(' road inventory 2024'!$J$203:$J$206,"Good",' road inventory 2024'!$D$203:$D$206)</f>
        <v>13.27</v>
      </c>
      <c r="Y36" s="446">
        <f>SUMIF(' road inventory 2024'!$J$210:$J$217,"Good",' road inventory 2024'!$D$210:$D$217)</f>
        <v>12.900000000000002</v>
      </c>
      <c r="Z36" s="446">
        <f>SUMIF(' road inventory 2024'!$J$221:$J$234,"Good",' road inventory 2024'!$D$221:$D$234)</f>
        <v>5.423</v>
      </c>
      <c r="AA36" s="446">
        <f>SUMIF(' road inventory 2024'!$J$238:$J$242,"Good",' road inventory 2024'!$D$238:$D$242)</f>
        <v>11.209</v>
      </c>
      <c r="AB36" s="446">
        <f>SUMIF(' road inventory 2024'!$J$246:$J$256,"Good",' road inventory 2024'!$D$246:$D$256)</f>
        <v>4.67</v>
      </c>
      <c r="AC36" s="446">
        <f>SUMIF(' road inventory 2024'!$J$260:$J$277,"Good",' road inventory 2024'!$D$260:$D$277)</f>
        <v>18.948</v>
      </c>
      <c r="AD36" s="446">
        <f>SUMIF(' road inventory 2024'!$J$281:$J$288,"Good",' road inventory 2024'!$D$281:$D$288)</f>
        <v>42.768999999999998</v>
      </c>
      <c r="AE36" s="446">
        <f>SUMIF(' road inventory 2024'!$J$292:$J$299,"Good",' road inventory 2024'!$D$292:$D$299)</f>
        <v>34.85</v>
      </c>
      <c r="AF36" s="446">
        <f>SUM(K36:AE36)</f>
        <v>340.6</v>
      </c>
    </row>
    <row r="37" spans="1:32" x14ac:dyDescent="0.4">
      <c r="A37" s="428">
        <v>2</v>
      </c>
      <c r="B37" s="428" t="s">
        <v>12</v>
      </c>
      <c r="C37" s="429">
        <f>AF37</f>
        <v>571.61</v>
      </c>
      <c r="D37" s="424"/>
      <c r="J37" s="428" t="s">
        <v>12</v>
      </c>
      <c r="K37" s="429">
        <f>SUMIF(' road inventory 2024'!$J$9:$J$32,"Fair",' road inventory 2024'!$D$9:$D$32)</f>
        <v>46.508000000000003</v>
      </c>
      <c r="L37" s="429">
        <f>SUMIF(' road inventory 2024'!$J$36:$J$37,"Fair",' road inventory 2024'!$D$36:$D$37)</f>
        <v>18.875999999999998</v>
      </c>
      <c r="M37" s="429">
        <f>SUMIF(' road inventory 2024'!$J$41:$J$55,"Fair",' road inventory 2024'!$D$41:$D$55)</f>
        <v>31.12</v>
      </c>
      <c r="N37" s="429">
        <f>SUMIF(' road inventory 2024'!$J$59:$J$90,"Fair",' road inventory 2024'!$D$59:$D$90)</f>
        <v>38.475999999999999</v>
      </c>
      <c r="O37" s="446">
        <f>SUMIF(' road inventory 2024'!$J$94:$J$122,"Fair",' road inventory 2024'!$D$94:$D$122)</f>
        <v>52.858999999999995</v>
      </c>
      <c r="P37" s="446">
        <f>SUMIF(' road inventory 2024'!$J$126:$J$132,"Fair",' road inventory 2024'!$D$126:$D$132)</f>
        <v>9.1890000000000001</v>
      </c>
      <c r="Q37" s="446">
        <f>SUMIF(' road inventory 2024'!$J$136,"Fair",' road inventory 2024'!$D$136)</f>
        <v>3.33</v>
      </c>
      <c r="R37" s="446">
        <f>SUMIF(' road inventory 2024'!$J$140:$J$149,"Fair",' road inventory 2024'!$D$140:$D$149)</f>
        <v>34.321999999999996</v>
      </c>
      <c r="S37" s="446">
        <f>SUMIF(' road inventory 2024'!$J$153:$J$154,"Fair",' road inventory 2024'!$D$153:$D$154)</f>
        <v>7.25</v>
      </c>
      <c r="T37" s="446">
        <f>SUMIF(' road inventory 2024'!$J$158:$J$168,"Fair",' road inventory 2024'!$D$158:$D$168)</f>
        <v>4.5999999999999996</v>
      </c>
      <c r="U37" s="446">
        <f>SUMIF(' road inventory 2024'!$J$172:$J$179,"Fair",' road inventory 2024'!$D$172:$D$179)</f>
        <v>1.4039999999999999</v>
      </c>
      <c r="V37" s="446">
        <f>SUMIF(' road inventory 2024'!$J$183:$J$183,"Fair",' road inventory 2024'!$D$183:$D$183)</f>
        <v>8.7409999999999997</v>
      </c>
      <c r="W37" s="446">
        <f>SUMIF(' road inventory 2024'!$J$187:$J$199,"Fair",' road inventory 2024'!$D$187:$D$199)</f>
        <v>4.12</v>
      </c>
      <c r="X37" s="446">
        <f>SUMIF(' road inventory 2024'!$J$203:$J$206,"Fair",' road inventory 2024'!$D$203:$D$206)</f>
        <v>11</v>
      </c>
      <c r="Y37" s="446">
        <f>SUMIF(' road inventory 2024'!$J$210:$J$217,"Fair",' road inventory 2024'!$D$210:$D$217)</f>
        <v>25.8</v>
      </c>
      <c r="Z37" s="446">
        <f>SUMIF(' road inventory 2024'!$J$221:$J$234,"Fair",' road inventory 2024'!$D$221:$D$234)</f>
        <v>65.739999999999995</v>
      </c>
      <c r="AA37" s="446">
        <f>SUMIF(' road inventory 2024'!$J$238:$J$242,"Fair",' road inventory 2024'!$D$238:$D$242)</f>
        <v>13.839000000000002</v>
      </c>
      <c r="AB37" s="446">
        <f>SUMIF(' road inventory 2024'!$J$246:$J$256,"Fair",' road inventory 2024'!$D$246:$D$256)</f>
        <v>7.9600000000000009</v>
      </c>
      <c r="AC37" s="446">
        <f>SUMIF(' road inventory 2024'!$J$260:$J$277,"Fair",' road inventory 2024'!$D$260:$D$277)</f>
        <v>97.259</v>
      </c>
      <c r="AD37" s="446">
        <f>SUMIF(' road inventory 2024'!$J$281:$J$288,"Fair",' road inventory 2024'!$D$281:$D$288)</f>
        <v>40.038999999999994</v>
      </c>
      <c r="AE37" s="446">
        <f>SUMIF(' road inventory 2024'!$J$292:$J$299,"Fair",' road inventory 2024'!$D$292:$D$299)</f>
        <v>49.178000000000004</v>
      </c>
      <c r="AF37" s="446">
        <f>SUM(K37:AE37)</f>
        <v>571.61</v>
      </c>
    </row>
    <row r="38" spans="1:32" x14ac:dyDescent="0.4">
      <c r="A38" s="428">
        <v>3</v>
      </c>
      <c r="B38" s="428" t="s">
        <v>33</v>
      </c>
      <c r="C38" s="429">
        <f>AF38</f>
        <v>260.45400000000001</v>
      </c>
      <c r="D38" s="424"/>
      <c r="J38" s="428" t="s">
        <v>33</v>
      </c>
      <c r="K38" s="429">
        <f>SUMIF(' road inventory 2024'!$J$9:$J$32,"Poor",' road inventory 2024'!$D$9:$D$32)</f>
        <v>9.6000000000000014</v>
      </c>
      <c r="L38" s="429">
        <f>SUMIF(' road inventory 2024'!$J$36:$J$37,"Poor",' road inventory 2024'!$D$36:$D$37)</f>
        <v>0</v>
      </c>
      <c r="M38" s="429">
        <f>SUMIF(' road inventory 2024'!$J$41:$J$55,"Poor",' road inventory 2024'!$D$41:$D$55)</f>
        <v>6.9130000000000003</v>
      </c>
      <c r="N38" s="429">
        <f>SUMIF(' road inventory 2024'!$J$59:$J$90,"Poor",' road inventory 2024'!$D$59:$D$90)</f>
        <v>23.661000000000001</v>
      </c>
      <c r="O38" s="446">
        <f>SUMIF(' road inventory 2024'!$J$94:$J$122,"Poor",' road inventory 2024'!$D$94:$D$122)</f>
        <v>23.195</v>
      </c>
      <c r="P38" s="446">
        <f>SUMIF(' road inventory 2024'!$J$126:$J$132,"Poor",' road inventory 2024'!$D$126:$D$132)</f>
        <v>32.89</v>
      </c>
      <c r="Q38" s="446">
        <f>SUMIF(' road inventory 2024'!$J$136,"Poor",' road inventory 2024'!$D$136)</f>
        <v>0</v>
      </c>
      <c r="R38" s="446">
        <f>SUMIF(' road inventory 2024'!$J$140:$J$149,"Poor",' road inventory 2024'!$D$140:$D$149)</f>
        <v>11.899999999999999</v>
      </c>
      <c r="S38" s="446">
        <f>SUMIF(' road inventory 2024'!$J$153:$J$154,"Poor",' road inventory 2024'!$D$153:$D$154)</f>
        <v>0</v>
      </c>
      <c r="T38" s="446">
        <f>SUMIF(' road inventory 2024'!$J$158:$J$168,"Poor",' road inventory 2024'!$D$158:$D$168)</f>
        <v>57.4</v>
      </c>
      <c r="U38" s="446">
        <f>SUMIF(' road inventory 2024'!$J$172:$J$179,"Poor",' road inventory 2024'!$D$172:$D$179)</f>
        <v>21.6</v>
      </c>
      <c r="V38" s="446">
        <f>SUMIF(' road inventory 2024'!$J$183:$J$183,"Poor",' road inventory 2024'!$D$183:$D$183)</f>
        <v>0</v>
      </c>
      <c r="W38" s="446">
        <f>SUMIF(' road inventory 2024'!$J$187:$J$199,"Poor",' road inventory 2024'!$D$187:$D$199)</f>
        <v>0.2</v>
      </c>
      <c r="X38" s="446">
        <f>SUMIF(' road inventory 2024'!$J$203:$J$206,"Poor",' road inventory 2024'!$D$203:$D$206)</f>
        <v>0</v>
      </c>
      <c r="Y38" s="446">
        <f>SUMIF(' road inventory 2024'!$J$210:$J$217,"Poor",' road inventory 2024'!$D$210:$D$217)</f>
        <v>10.3</v>
      </c>
      <c r="Z38" s="446">
        <f>SUMIF(' road inventory 2024'!$J$221:$J$234,"Poor",' road inventory 2024'!$D$221:$D$234)</f>
        <v>19.302</v>
      </c>
      <c r="AA38" s="446">
        <f>SUMIF(' road inventory 2024'!$J$238:$J$242,"Poor",' road inventory 2024'!$D$238:$D$242)</f>
        <v>0</v>
      </c>
      <c r="AB38" s="446">
        <f>SUMIF(' road inventory 2024'!$J$246:$J$256,"Poor",' road inventory 2024'!$D$246:$D$256)</f>
        <v>15.969999999999999</v>
      </c>
      <c r="AC38" s="446">
        <f>SUMIF(' road inventory 2024'!$J$260:$J$277,"Poor",' road inventory 2024'!$D$260:$D$277)</f>
        <v>21.853000000000002</v>
      </c>
      <c r="AD38" s="446">
        <f>SUMIF(' road inventory 2024'!$J$281:$J$288,"Poor",' road inventory 2024'!$D$281:$D$288)</f>
        <v>5.67</v>
      </c>
      <c r="AE38" s="446">
        <f>SUMIF(' road inventory 2024'!$J$292:$J$299,"Poor",' road inventory 2024'!$D$292:$D$299)</f>
        <v>0</v>
      </c>
      <c r="AF38" s="446">
        <f>SUM(K38:AE38)</f>
        <v>260.45400000000001</v>
      </c>
    </row>
    <row r="39" spans="1:32" x14ac:dyDescent="0.4">
      <c r="A39" s="428">
        <v>4</v>
      </c>
      <c r="B39" s="428" t="s">
        <v>41</v>
      </c>
      <c r="C39" s="429">
        <f>AF39</f>
        <v>98.869</v>
      </c>
      <c r="D39" s="424"/>
      <c r="E39" s="313"/>
      <c r="F39" s="313"/>
      <c r="G39" s="313"/>
      <c r="H39" s="313"/>
      <c r="J39" s="428" t="s">
        <v>41</v>
      </c>
      <c r="K39" s="429">
        <f>SUMIF(' road inventory 2024'!$J$9:$J$32,"Bad",' road inventory 2024'!$D$9:$D$32)</f>
        <v>0</v>
      </c>
      <c r="L39" s="429">
        <f>SUMIF(' road inventory 2024'!$J$36:$J$37,"Bad",' road inventory 2024'!$D$36:$D$37)</f>
        <v>0</v>
      </c>
      <c r="M39" s="429">
        <f>SUMIF(' road inventory 2024'!$J$41:$J$55,"Bad",' road inventory 2024'!$D$41:$D$55)</f>
        <v>5.8900000000000006</v>
      </c>
      <c r="N39" s="429">
        <f>SUMIF(' road inventory 2024'!$J$59:$J$90,"Bad",' road inventory 2024'!$D$59:$D$90)</f>
        <v>7.73</v>
      </c>
      <c r="O39" s="446">
        <f>SUMIF(' road inventory 2024'!$J$94:$J$122,"Bad",' road inventory 2024'!$D$94:$D$122)</f>
        <v>19.23</v>
      </c>
      <c r="P39" s="446">
        <f>SUMIF(' road inventory 2024'!$J$126:$J$132,"Bad",' road inventory 2024'!$D$126:$D$132)</f>
        <v>0</v>
      </c>
      <c r="Q39" s="446">
        <f>SUMIF(' road inventory 2024'!$J$136,"Bad",' road inventory 2024'!$D$136)</f>
        <v>0</v>
      </c>
      <c r="R39" s="446">
        <f>SUMIF(' road inventory 2024'!$J$140:$J$149,"Bad",' road inventory 2024'!$D$140:$D$149)</f>
        <v>8.3000000000000007</v>
      </c>
      <c r="S39" s="446">
        <f>SUMIF(' road inventory 2024'!$J$153:$J$154,"Bad",' road inventory 2024'!$D$153:$D$154)</f>
        <v>0</v>
      </c>
      <c r="T39" s="446">
        <f>SUMIF(' road inventory 2024'!$J$158:$J$168,"Bad",' road inventory 2024'!$D$158:$D$168)</f>
        <v>0</v>
      </c>
      <c r="U39" s="446">
        <f>SUMIF(' road inventory 2024'!$J$172:$J$179,"Bad",' road inventory 2024'!$D$172:$D$179)</f>
        <v>0</v>
      </c>
      <c r="V39" s="446">
        <f>SUMIF(' road inventory 2024'!$J$183:$J$183,"Bad",' road inventory 2024'!$D$183:$D$183)</f>
        <v>0</v>
      </c>
      <c r="W39" s="446">
        <f>SUMIF(' road inventory 2024'!$J$187:$J$199,"Bad",' road inventory 2024'!$D$187:$D$199)</f>
        <v>40.07</v>
      </c>
      <c r="X39" s="446">
        <f>SUMIF(' road inventory 2024'!$J$203:$J$206,"Bad",' road inventory 2024'!$D$203:$D$206)</f>
        <v>0</v>
      </c>
      <c r="Y39" s="446">
        <f>SUMIF(' road inventory 2024'!$J$210:$J$217,"Bad",' road inventory 2024'!$D$210:$D$217)</f>
        <v>0</v>
      </c>
      <c r="Z39" s="446">
        <f>SUMIF(' road inventory 2024'!$J$221:$J$234,"Bad",' road inventory 2024'!$D$221:$D$234)</f>
        <v>3.7970000000000002</v>
      </c>
      <c r="AA39" s="446">
        <f>SUMIF(' road inventory 2024'!$J$238:$J$242,"Bad",' road inventory 2024'!$D$238:$D$242)</f>
        <v>3.0760000000000005</v>
      </c>
      <c r="AB39" s="446">
        <f>SUMIF(' road inventory 2024'!$J$246:$J$256,"Bad",' road inventory 2024'!$D$246:$D$256)</f>
        <v>7.18</v>
      </c>
      <c r="AC39" s="446">
        <f>SUMIF(' road inventory 2024'!$J$260:$J$277,"Bad",' road inventory 2024'!$D$260:$D$277)</f>
        <v>0</v>
      </c>
      <c r="AD39" s="446">
        <f>SUMIF(' road inventory 2024'!$J$281:$J$288,"Bad",' road inventory 2024'!$D$281:$D$288)</f>
        <v>0</v>
      </c>
      <c r="AE39" s="446">
        <f>SUMIF(' road inventory 2024'!$J$292:$J$299,"Bad",' road inventory 2024'!$D$292:$D$299)</f>
        <v>3.5960000000000001</v>
      </c>
      <c r="AF39" s="446">
        <f>SUM(K39:AE39)</f>
        <v>98.869</v>
      </c>
    </row>
    <row r="40" spans="1:32" x14ac:dyDescent="0.4">
      <c r="A40" s="1294" t="s">
        <v>754</v>
      </c>
      <c r="B40" s="1295"/>
      <c r="C40" s="430">
        <f>SUM(C36:C39)</f>
        <v>1271.5329999999999</v>
      </c>
      <c r="D40" s="424"/>
      <c r="E40" s="313"/>
      <c r="F40" s="313"/>
      <c r="G40" s="313"/>
      <c r="H40" s="313"/>
      <c r="J40" s="448"/>
      <c r="K40" s="467">
        <f>SUM(K36:K39)</f>
        <v>96.915999999999997</v>
      </c>
      <c r="L40" s="467">
        <f t="shared" ref="L40:AE40" si="6">SUM(L36:L39)</f>
        <v>18.875999999999998</v>
      </c>
      <c r="M40" s="467">
        <f>SUM(M36:M39)</f>
        <v>50.043000000000006</v>
      </c>
      <c r="N40" s="467">
        <f t="shared" si="6"/>
        <v>110.60700000000001</v>
      </c>
      <c r="O40" s="449">
        <f t="shared" si="6"/>
        <v>110.277</v>
      </c>
      <c r="P40" s="449">
        <f t="shared" si="6"/>
        <v>42.079000000000001</v>
      </c>
      <c r="Q40" s="449">
        <f t="shared" si="6"/>
        <v>3.33</v>
      </c>
      <c r="R40" s="449">
        <f t="shared" si="6"/>
        <v>55.622</v>
      </c>
      <c r="S40" s="449">
        <f t="shared" si="6"/>
        <v>7.25</v>
      </c>
      <c r="T40" s="449">
        <f t="shared" si="6"/>
        <v>62</v>
      </c>
      <c r="U40" s="449">
        <f t="shared" si="6"/>
        <v>42.084000000000003</v>
      </c>
      <c r="V40" s="449">
        <f t="shared" si="6"/>
        <v>8.7409999999999997</v>
      </c>
      <c r="W40" s="449">
        <f t="shared" si="6"/>
        <v>118.11000000000001</v>
      </c>
      <c r="X40" s="449">
        <f t="shared" si="6"/>
        <v>24.27</v>
      </c>
      <c r="Y40" s="449">
        <f t="shared" si="6"/>
        <v>49</v>
      </c>
      <c r="Z40" s="449">
        <f t="shared" si="6"/>
        <v>94.262</v>
      </c>
      <c r="AA40" s="449">
        <f t="shared" si="6"/>
        <v>28.124000000000002</v>
      </c>
      <c r="AB40" s="449">
        <f t="shared" si="6"/>
        <v>35.78</v>
      </c>
      <c r="AC40" s="449">
        <f t="shared" si="6"/>
        <v>138.06</v>
      </c>
      <c r="AD40" s="449">
        <f t="shared" si="6"/>
        <v>88.477999999999994</v>
      </c>
      <c r="AE40" s="449">
        <f t="shared" si="6"/>
        <v>87.624000000000009</v>
      </c>
      <c r="AF40" s="449">
        <f>SUM(AF36:AF39)</f>
        <v>1271.5329999999999</v>
      </c>
    </row>
    <row r="41" spans="1:32" x14ac:dyDescent="0.4">
      <c r="A41" s="306"/>
      <c r="B41" s="306"/>
      <c r="C41" s="969"/>
      <c r="D41" s="424"/>
      <c r="E41" s="313"/>
      <c r="F41" s="313"/>
      <c r="G41" s="313"/>
      <c r="H41" s="313"/>
      <c r="J41" s="966"/>
      <c r="K41" s="967"/>
      <c r="L41" s="967"/>
      <c r="M41" s="967"/>
      <c r="N41" s="967"/>
      <c r="O41" s="968"/>
      <c r="P41" s="968"/>
      <c r="Q41" s="968"/>
      <c r="R41" s="968"/>
      <c r="S41" s="968"/>
      <c r="T41" s="968"/>
      <c r="U41" s="968"/>
      <c r="V41" s="968"/>
      <c r="W41" s="968"/>
      <c r="X41" s="968"/>
      <c r="Y41" s="968"/>
      <c r="Z41" s="968"/>
      <c r="AA41" s="968"/>
      <c r="AB41" s="968"/>
      <c r="AC41" s="968"/>
      <c r="AD41" s="968"/>
      <c r="AE41" s="968"/>
      <c r="AF41" s="968"/>
    </row>
    <row r="42" spans="1:32" x14ac:dyDescent="0.4">
      <c r="C42" s="313"/>
      <c r="D42" s="313"/>
      <c r="R42" s="436">
        <f>SUM(K40:R40)</f>
        <v>487.75</v>
      </c>
    </row>
    <row r="43" spans="1:32" ht="18" customHeight="1" x14ac:dyDescent="0.4">
      <c r="A43" s="1298" t="s">
        <v>764</v>
      </c>
      <c r="B43" s="1299"/>
      <c r="C43" s="1300"/>
      <c r="D43" s="959"/>
    </row>
    <row r="44" spans="1:32" x14ac:dyDescent="0.4">
      <c r="A44" s="1296" t="s">
        <v>653</v>
      </c>
      <c r="B44" s="1297"/>
      <c r="C44" s="963">
        <f>C36+C37</f>
        <v>912.21</v>
      </c>
      <c r="D44" s="960"/>
    </row>
    <row r="45" spans="1:32" x14ac:dyDescent="0.4">
      <c r="A45" s="1296" t="s">
        <v>654</v>
      </c>
      <c r="B45" s="1297"/>
      <c r="C45" s="963">
        <f>C38+C39</f>
        <v>359.32299999999998</v>
      </c>
      <c r="D45" s="960"/>
    </row>
    <row r="46" spans="1:32" x14ac:dyDescent="0.4">
      <c r="A46" s="964" t="s">
        <v>754</v>
      </c>
      <c r="B46" s="964"/>
      <c r="C46" s="964">
        <f>C44+C45</f>
        <v>1271.5329999999999</v>
      </c>
      <c r="D46" s="962"/>
    </row>
    <row r="47" spans="1:32" x14ac:dyDescent="0.4">
      <c r="A47" s="961"/>
      <c r="B47" s="961"/>
      <c r="C47" s="961"/>
      <c r="D47" s="962"/>
    </row>
    <row r="48" spans="1:32" x14ac:dyDescent="0.4">
      <c r="C48" s="313"/>
      <c r="D48" s="313"/>
    </row>
    <row r="49" spans="1:32" ht="36" x14ac:dyDescent="0.4">
      <c r="A49" s="965" t="s">
        <v>29</v>
      </c>
      <c r="B49" s="427" t="s">
        <v>739</v>
      </c>
      <c r="C49" s="427" t="s">
        <v>740</v>
      </c>
      <c r="D49" s="427" t="s">
        <v>741</v>
      </c>
      <c r="E49" s="427" t="s">
        <v>742</v>
      </c>
      <c r="F49" s="958"/>
      <c r="G49" s="958"/>
      <c r="H49" s="958"/>
      <c r="J49" s="1191" t="s">
        <v>764</v>
      </c>
      <c r="K49" s="1191"/>
      <c r="L49" s="1191"/>
      <c r="M49" s="1191"/>
    </row>
    <row r="50" spans="1:32" x14ac:dyDescent="0.4">
      <c r="A50" s="428" t="s">
        <v>10</v>
      </c>
      <c r="B50" s="468">
        <f>SUMIF(' road inventory 2024'!$J$9:$J$299,"Good",' road inventory 2024'!$F$9:$F$299)</f>
        <v>280.83699999999999</v>
      </c>
      <c r="C50" s="468">
        <f>SUMIF(' road inventory 2024'!$J$9:$J$299,"Good",' road inventory 2024'!$G$9:$G$299)</f>
        <v>1.083</v>
      </c>
      <c r="D50" s="468">
        <f>SUMIF(' road inventory 2024'!$J$9:$J$299,"Good",' road inventory 2024'!$H$9:$H$299)</f>
        <v>11.394</v>
      </c>
      <c r="E50" s="468">
        <f>SUMIF(' road inventory 2024'!$J$9:$J$299,"Good",' road inventory 2024'!$I$9:$I$299)</f>
        <v>47.286000000000008</v>
      </c>
      <c r="F50" s="442"/>
      <c r="G50" s="442"/>
      <c r="H50" s="442"/>
      <c r="J50" s="1193" t="s">
        <v>653</v>
      </c>
      <c r="K50" s="1193"/>
      <c r="L50" s="1193"/>
      <c r="M50" s="431">
        <f>C36+C37</f>
        <v>912.21</v>
      </c>
    </row>
    <row r="51" spans="1:32" x14ac:dyDescent="0.4">
      <c r="A51" s="428" t="s">
        <v>12</v>
      </c>
      <c r="B51" s="468">
        <f>SUMIF(' road inventory 2024'!$J$9:$J$299,"Fair",' road inventory 2024'!$F$9:$F$299)</f>
        <v>273.74300000000011</v>
      </c>
      <c r="C51" s="468">
        <f>SUMIF(' road inventory 2024'!$J$9:$J$299,"Fair",' road inventory 2024'!$G$9:$G$299)</f>
        <v>0</v>
      </c>
      <c r="D51" s="468">
        <f>SUMIF(' road inventory 2024'!$J$9:$J$299,"Fair",' road inventory 2024'!$H$9:$H$299)</f>
        <v>3.21</v>
      </c>
      <c r="E51" s="468">
        <f>SUMIF(' road inventory 2024'!$J$9:$J$299,"Fair",' road inventory 2024'!$I$9:$I$299)</f>
        <v>294.65700000000004</v>
      </c>
      <c r="F51" s="442"/>
      <c r="G51" s="442"/>
      <c r="H51" s="442"/>
      <c r="J51" s="1193" t="s">
        <v>654</v>
      </c>
      <c r="K51" s="1193"/>
      <c r="L51" s="1193"/>
      <c r="M51" s="431">
        <f>C38+C39</f>
        <v>359.32299999999998</v>
      </c>
    </row>
    <row r="52" spans="1:32" x14ac:dyDescent="0.4">
      <c r="A52" s="428" t="s">
        <v>33</v>
      </c>
      <c r="B52" s="468">
        <f>SUMIF(' road inventory 2024'!$J$9:$J$299,"Poor",' road inventory 2024'!$F$9:$F$299)</f>
        <v>61.448000000000008</v>
      </c>
      <c r="C52" s="468">
        <f>SUMIF(' road inventory 2024'!$J$9:$J$299,"Poor",' road inventory 2024'!$G$9:$G$299)</f>
        <v>5.8599999999999994</v>
      </c>
      <c r="D52" s="468">
        <f>SUMIF(' road inventory 2024'!$J$9:$J$299,"Poor",' road inventory 2024'!$H$9:$H$299)</f>
        <v>27.335000000000001</v>
      </c>
      <c r="E52" s="468">
        <f>SUMIF(' road inventory 2024'!$J$9:$J$299,"Poor",' road inventory 2024'!$I$9:$I$299)</f>
        <v>165.81099999999995</v>
      </c>
      <c r="F52" s="442"/>
      <c r="G52" s="442"/>
      <c r="H52" s="442"/>
      <c r="J52" s="1192" t="s">
        <v>754</v>
      </c>
      <c r="K52" s="1192"/>
      <c r="L52" s="1192"/>
      <c r="M52" s="450">
        <f>SUM(M50:M51)</f>
        <v>1271.5329999999999</v>
      </c>
    </row>
    <row r="53" spans="1:32" x14ac:dyDescent="0.4">
      <c r="A53" s="428" t="s">
        <v>41</v>
      </c>
      <c r="B53" s="468">
        <f>SUMIF(' road inventory 2024'!$J$9:$J$299,"Bad",' road inventory 2024'!$F$9:$F$299)</f>
        <v>18.856000000000002</v>
      </c>
      <c r="C53" s="468">
        <f>SUMIF(' road inventory 2024'!$J$9:$J$299,"Bad",' road inventory 2024'!$G$9:$G$299)</f>
        <v>2.8</v>
      </c>
      <c r="D53" s="468">
        <f>SUMIF(' road inventory 2024'!$J$9:$J$299,"Bad",' road inventory 2024'!$H$9:$H$299)</f>
        <v>25.654000000000003</v>
      </c>
      <c r="E53" s="468">
        <f>SUMIF(' road inventory 2024'!$J$9:$J$299,"Bad",' road inventory 2024'!$I$9:$I$299)</f>
        <v>51.558999999999997</v>
      </c>
      <c r="F53" s="442"/>
      <c r="G53" s="442"/>
      <c r="H53" s="442"/>
    </row>
    <row r="54" spans="1:32" x14ac:dyDescent="0.4">
      <c r="A54" s="956" t="s">
        <v>877</v>
      </c>
      <c r="B54" s="957">
        <f>SUM(B50:B53)</f>
        <v>634.88400000000013</v>
      </c>
      <c r="C54" s="957">
        <f>SUM(C50:C53)</f>
        <v>9.7429999999999986</v>
      </c>
      <c r="D54" s="957">
        <f>SUM(D50:D53)</f>
        <v>67.593000000000004</v>
      </c>
      <c r="E54" s="957">
        <f>SUM(E50:E53)</f>
        <v>559.31299999999999</v>
      </c>
      <c r="F54" s="442"/>
      <c r="G54" s="442"/>
      <c r="H54" s="442"/>
    </row>
    <row r="55" spans="1:32" x14ac:dyDescent="0.4">
      <c r="C55" s="313"/>
      <c r="D55" s="313"/>
    </row>
    <row r="56" spans="1:32" x14ac:dyDescent="0.4">
      <c r="C56" s="313"/>
      <c r="D56" s="313"/>
    </row>
    <row r="57" spans="1:32" x14ac:dyDescent="0.4">
      <c r="C57" s="313"/>
      <c r="D57" s="313"/>
    </row>
    <row r="58" spans="1:32" s="329" customFormat="1" ht="18" customHeight="1" x14ac:dyDescent="0.35">
      <c r="B58" s="355" t="s">
        <v>755</v>
      </c>
      <c r="E58" s="331" t="s">
        <v>757</v>
      </c>
      <c r="I58" s="331"/>
      <c r="J58" s="327"/>
      <c r="K58" s="442"/>
      <c r="L58" s="442"/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2"/>
      <c r="AA58" s="442"/>
      <c r="AB58" s="442"/>
      <c r="AC58" s="442"/>
      <c r="AD58" s="442"/>
      <c r="AE58" s="442"/>
      <c r="AF58" s="442"/>
    </row>
    <row r="59" spans="1:32" s="329" customFormat="1" ht="18" customHeight="1" x14ac:dyDescent="0.35">
      <c r="B59" s="355"/>
      <c r="E59" s="331"/>
      <c r="F59" s="331"/>
      <c r="G59" s="331"/>
      <c r="I59" s="331"/>
      <c r="J59" s="469"/>
      <c r="K59" s="427" t="s">
        <v>739</v>
      </c>
      <c r="L59" s="427" t="s">
        <v>740</v>
      </c>
      <c r="M59" s="427" t="s">
        <v>741</v>
      </c>
      <c r="N59" s="427" t="s">
        <v>742</v>
      </c>
      <c r="O59" s="954"/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  <c r="AA59" s="442"/>
      <c r="AB59" s="442"/>
      <c r="AC59" s="442"/>
      <c r="AD59" s="442"/>
      <c r="AE59" s="442">
        <f>D31-AF40</f>
        <v>0</v>
      </c>
      <c r="AF59" s="442"/>
    </row>
    <row r="60" spans="1:32" s="329" customFormat="1" ht="18" customHeight="1" x14ac:dyDescent="0.4">
      <c r="B60" s="355"/>
      <c r="E60" s="331"/>
      <c r="G60" s="331"/>
      <c r="I60" s="331"/>
      <c r="J60" s="428" t="s">
        <v>10</v>
      </c>
      <c r="K60" s="468">
        <f>SUMIF(' road inventory 2024'!$J$9:$J$299,"Good",' road inventory 2024'!$F$9:$F$299)</f>
        <v>280.83699999999999</v>
      </c>
      <c r="L60" s="468">
        <f>SUMIF(' road inventory 2024'!$J$9:$J$299,"Good",' road inventory 2024'!$G$9:$G$299)</f>
        <v>1.083</v>
      </c>
      <c r="M60" s="468">
        <f>SUMIF(' road inventory 2024'!$J$9:$J$299,"Good",' road inventory 2024'!$H$9:$H$299)</f>
        <v>11.394</v>
      </c>
      <c r="N60" s="468">
        <f>SUMIF(' road inventory 2024'!$J$9:$J$299,"Good",' road inventory 2024'!$I$9:$I$299)</f>
        <v>47.286000000000008</v>
      </c>
      <c r="O60" s="954">
        <f>SUM(K60:N60)</f>
        <v>340.6</v>
      </c>
      <c r="P60" s="442"/>
      <c r="Q60" s="442"/>
      <c r="R60" s="442"/>
      <c r="S60" s="442"/>
      <c r="T60" s="442"/>
      <c r="U60" s="442"/>
      <c r="V60" s="442"/>
      <c r="W60" s="442"/>
      <c r="X60" s="442"/>
      <c r="Y60" s="442"/>
      <c r="Z60" s="442"/>
      <c r="AA60" s="442"/>
      <c r="AB60" s="442"/>
      <c r="AC60" s="442"/>
      <c r="AD60" s="442"/>
      <c r="AE60" s="442"/>
      <c r="AF60" s="442"/>
    </row>
    <row r="61" spans="1:32" s="329" customFormat="1" ht="18" customHeight="1" x14ac:dyDescent="0.4">
      <c r="B61" s="356" t="s">
        <v>873</v>
      </c>
      <c r="E61" s="356" t="s">
        <v>871</v>
      </c>
      <c r="J61" s="428" t="s">
        <v>12</v>
      </c>
      <c r="K61" s="468">
        <f>SUMIF(' road inventory 2024'!$J$9:$J$299,"Fair",' road inventory 2024'!$F$9:$F$299)</f>
        <v>273.74300000000011</v>
      </c>
      <c r="L61" s="468">
        <f>SUMIF(' road inventory 2024'!$J$9:$J$299,"Fair",' road inventory 2024'!$G$9:$G$299)</f>
        <v>0</v>
      </c>
      <c r="M61" s="468">
        <f>SUMIF(' road inventory 2024'!$J$9:$J$299,"Fair",' road inventory 2024'!$H$9:$H$299)</f>
        <v>3.21</v>
      </c>
      <c r="N61" s="468">
        <f>SUMIF(' road inventory 2024'!$J$9:$J$299,"Fair",' road inventory 2024'!$I$9:$I$299)</f>
        <v>294.65700000000004</v>
      </c>
      <c r="O61" s="954">
        <f>SUM(K61:N61)</f>
        <v>571.61000000000013</v>
      </c>
      <c r="P61" s="442"/>
      <c r="Q61" s="442"/>
      <c r="R61" s="442"/>
      <c r="S61" s="442"/>
      <c r="T61" s="442"/>
      <c r="U61" s="442"/>
      <c r="V61" s="442"/>
      <c r="W61" s="442"/>
      <c r="X61" s="442"/>
      <c r="Y61" s="442"/>
      <c r="Z61" s="442"/>
      <c r="AA61" s="442"/>
      <c r="AB61" s="442"/>
      <c r="AC61" s="442"/>
      <c r="AD61" s="442"/>
      <c r="AE61" s="442"/>
      <c r="AF61" s="442"/>
    </row>
    <row r="62" spans="1:32" s="354" customFormat="1" ht="18" customHeight="1" x14ac:dyDescent="0.4">
      <c r="B62" s="355" t="s">
        <v>148</v>
      </c>
      <c r="E62" s="355" t="s">
        <v>149</v>
      </c>
      <c r="F62" s="329"/>
      <c r="G62" s="329"/>
      <c r="H62" s="329"/>
      <c r="I62" s="331"/>
      <c r="J62" s="428" t="s">
        <v>33</v>
      </c>
      <c r="K62" s="468">
        <f>SUMIF(' road inventory 2024'!$J$9:$J$299,"Poor",' road inventory 2024'!$F$9:$F$299)</f>
        <v>61.448000000000008</v>
      </c>
      <c r="L62" s="468">
        <f>SUMIF(' road inventory 2024'!$J$9:$J$299,"Poor",' road inventory 2024'!$G$9:$G$299)</f>
        <v>5.8599999999999994</v>
      </c>
      <c r="M62" s="468">
        <f>SUMIF(' road inventory 2024'!$J$9:$J$299,"Poor",' road inventory 2024'!$H$9:$H$299)</f>
        <v>27.335000000000001</v>
      </c>
      <c r="N62" s="468">
        <f>SUMIF(' road inventory 2024'!$J$9:$J$299,"Poor",' road inventory 2024'!$I$9:$I$299)</f>
        <v>165.81099999999995</v>
      </c>
      <c r="O62" s="954">
        <f>SUM(K62:N62)</f>
        <v>260.45399999999995</v>
      </c>
      <c r="P62" s="442"/>
      <c r="Q62" s="442"/>
      <c r="R62" s="442"/>
      <c r="S62" s="442"/>
      <c r="T62" s="442"/>
      <c r="U62" s="442"/>
      <c r="V62" s="442"/>
      <c r="W62" s="442"/>
      <c r="X62" s="442"/>
      <c r="Y62" s="442"/>
      <c r="Z62" s="442"/>
      <c r="AA62" s="442"/>
      <c r="AB62" s="442"/>
      <c r="AC62" s="442"/>
      <c r="AD62" s="442"/>
      <c r="AE62" s="442"/>
      <c r="AF62" s="442"/>
    </row>
    <row r="63" spans="1:32" s="354" customFormat="1" ht="18" customHeight="1" x14ac:dyDescent="0.4">
      <c r="B63" s="355"/>
      <c r="E63" s="1293" t="s">
        <v>872</v>
      </c>
      <c r="F63" s="1293"/>
      <c r="G63" s="329"/>
      <c r="H63" s="329"/>
      <c r="I63" s="329"/>
      <c r="J63" s="428" t="s">
        <v>41</v>
      </c>
      <c r="K63" s="468">
        <f>SUMIF(' road inventory 2024'!$J$9:$J$299,"Bad",' road inventory 2024'!$F$9:$F$299)</f>
        <v>18.856000000000002</v>
      </c>
      <c r="L63" s="468">
        <f>SUMIF(' road inventory 2024'!$J$9:$J$299,"Bad",' road inventory 2024'!$G$9:$G$299)</f>
        <v>2.8</v>
      </c>
      <c r="M63" s="468">
        <f>SUMIF(' road inventory 2024'!$J$9:$J$299,"Bad",' road inventory 2024'!$H$9:$H$299)</f>
        <v>25.654000000000003</v>
      </c>
      <c r="N63" s="468">
        <f>SUMIF(' road inventory 2024'!$J$9:$J$299,"Bad",' road inventory 2024'!$I$9:$I$299)</f>
        <v>51.558999999999997</v>
      </c>
      <c r="O63" s="954">
        <f>SUM(K63:N63)</f>
        <v>98.869</v>
      </c>
      <c r="P63" s="442"/>
      <c r="Q63" s="442"/>
      <c r="R63" s="442"/>
      <c r="S63" s="442"/>
      <c r="T63" s="442"/>
      <c r="U63" s="442"/>
      <c r="V63" s="442"/>
      <c r="W63" s="442"/>
      <c r="X63" s="442"/>
      <c r="Y63" s="442"/>
      <c r="Z63" s="442"/>
      <c r="AA63" s="442"/>
      <c r="AB63" s="442"/>
      <c r="AC63" s="442"/>
      <c r="AD63" s="442"/>
      <c r="AE63" s="442"/>
      <c r="AF63" s="442"/>
    </row>
    <row r="64" spans="1:32" s="354" customFormat="1" ht="18" customHeight="1" x14ac:dyDescent="0.35">
      <c r="B64" s="355"/>
      <c r="E64" s="332"/>
      <c r="F64" s="329"/>
      <c r="G64" s="329"/>
      <c r="H64" s="329"/>
      <c r="I64" s="329"/>
      <c r="J64" s="955" t="s">
        <v>877</v>
      </c>
      <c r="K64" s="468">
        <f>SUM(K60:K63)</f>
        <v>634.88400000000013</v>
      </c>
      <c r="L64" s="468">
        <f>SUM(L60:L63)</f>
        <v>9.7429999999999986</v>
      </c>
      <c r="M64" s="468">
        <f>SUM(M60:M63)</f>
        <v>67.593000000000004</v>
      </c>
      <c r="N64" s="468">
        <f>SUM(N60:N63)</f>
        <v>559.31299999999999</v>
      </c>
      <c r="O64" s="470">
        <f>SUM(O60:O63)</f>
        <v>1271.5330000000001</v>
      </c>
      <c r="P64" s="442"/>
      <c r="Q64" s="442"/>
      <c r="R64" s="442"/>
      <c r="S64" s="442"/>
      <c r="T64" s="442"/>
      <c r="U64" s="442"/>
      <c r="V64" s="442"/>
      <c r="W64" s="442"/>
      <c r="X64" s="442"/>
      <c r="Y64" s="442"/>
      <c r="Z64" s="442"/>
      <c r="AA64" s="442"/>
      <c r="AB64" s="442"/>
      <c r="AC64" s="442"/>
      <c r="AD64" s="442"/>
      <c r="AE64" s="442"/>
      <c r="AF64" s="442"/>
    </row>
    <row r="65" spans="2:33" s="354" customFormat="1" ht="15" customHeight="1" x14ac:dyDescent="0.35">
      <c r="B65" s="355" t="s">
        <v>756</v>
      </c>
      <c r="E65" s="350" t="s">
        <v>152</v>
      </c>
      <c r="F65" s="329"/>
      <c r="G65" s="329"/>
      <c r="H65" s="329"/>
      <c r="I65" s="329"/>
      <c r="J65" s="327"/>
      <c r="K65" s="442"/>
      <c r="L65" s="442"/>
      <c r="M65" s="442"/>
      <c r="N65" s="442"/>
      <c r="O65" s="442"/>
      <c r="P65" s="442"/>
      <c r="Q65" s="442"/>
      <c r="R65" s="442"/>
      <c r="S65" s="442"/>
      <c r="T65" s="442"/>
      <c r="U65" s="442"/>
      <c r="V65" s="442"/>
      <c r="W65" s="442"/>
      <c r="X65" s="442"/>
      <c r="Y65" s="442"/>
      <c r="Z65" s="442"/>
      <c r="AA65" s="442"/>
      <c r="AB65" s="442"/>
      <c r="AC65" s="442"/>
      <c r="AD65" s="442"/>
      <c r="AE65" s="442"/>
      <c r="AF65" s="442"/>
    </row>
    <row r="66" spans="2:33" s="354" customFormat="1" ht="15" customHeight="1" x14ac:dyDescent="0.35">
      <c r="B66" s="355"/>
      <c r="E66" s="332"/>
      <c r="F66" s="329"/>
      <c r="G66" s="329"/>
      <c r="H66" s="329"/>
      <c r="I66" s="329"/>
      <c r="J66" s="327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  <c r="AA66" s="442"/>
      <c r="AB66" s="442"/>
      <c r="AC66" s="442"/>
      <c r="AD66" s="442"/>
      <c r="AE66" s="442"/>
      <c r="AF66" s="442"/>
    </row>
    <row r="67" spans="2:33" s="354" customFormat="1" ht="15" customHeight="1" x14ac:dyDescent="0.35">
      <c r="B67" s="355"/>
      <c r="E67" s="350"/>
      <c r="F67" s="329"/>
      <c r="G67" s="329"/>
      <c r="H67" s="329"/>
      <c r="I67" s="329"/>
      <c r="J67" s="327"/>
      <c r="K67" s="442"/>
      <c r="L67" s="442"/>
      <c r="M67" s="442"/>
      <c r="N67" s="442"/>
      <c r="O67" s="442"/>
      <c r="P67" s="442"/>
      <c r="Q67" s="442"/>
      <c r="R67" s="442"/>
      <c r="S67" s="442"/>
      <c r="T67" s="442"/>
      <c r="U67" s="442"/>
      <c r="V67" s="442"/>
      <c r="W67" s="442"/>
      <c r="X67" s="442"/>
      <c r="Y67" s="442"/>
      <c r="Z67" s="442"/>
      <c r="AA67" s="442"/>
      <c r="AB67" s="442"/>
      <c r="AC67" s="442"/>
      <c r="AD67" s="442"/>
      <c r="AE67" s="442"/>
      <c r="AF67" s="442"/>
    </row>
    <row r="68" spans="2:33" s="354" customFormat="1" ht="15" customHeight="1" x14ac:dyDescent="0.35">
      <c r="B68" s="356" t="s">
        <v>153</v>
      </c>
      <c r="E68" s="318" t="s">
        <v>852</v>
      </c>
      <c r="F68" s="329"/>
      <c r="G68" s="329"/>
      <c r="H68" s="329"/>
      <c r="I68" s="329"/>
      <c r="J68" s="327"/>
      <c r="K68" s="442"/>
      <c r="L68" s="442"/>
      <c r="M68" s="442"/>
      <c r="N68" s="442"/>
      <c r="O68" s="442"/>
      <c r="P68" s="442"/>
      <c r="Q68" s="442"/>
      <c r="R68" s="442"/>
      <c r="S68" s="442"/>
      <c r="T68" s="442"/>
      <c r="U68" s="442"/>
      <c r="V68" s="442"/>
      <c r="W68" s="442"/>
      <c r="X68" s="442"/>
      <c r="Y68" s="442"/>
      <c r="Z68" s="442"/>
      <c r="AA68" s="442"/>
      <c r="AB68" s="442"/>
      <c r="AC68" s="442"/>
      <c r="AD68" s="442"/>
      <c r="AE68" s="442"/>
      <c r="AF68" s="442"/>
    </row>
    <row r="69" spans="2:33" s="354" customFormat="1" ht="18" customHeight="1" x14ac:dyDescent="0.35">
      <c r="B69" s="355" t="s">
        <v>155</v>
      </c>
      <c r="E69" s="332" t="s">
        <v>853</v>
      </c>
      <c r="F69" s="329"/>
      <c r="G69" s="329"/>
      <c r="H69" s="329"/>
      <c r="I69" s="362"/>
      <c r="J69" s="327"/>
      <c r="K69" s="442"/>
      <c r="L69" s="442"/>
      <c r="M69" s="442"/>
      <c r="N69" s="442"/>
      <c r="O69" s="442"/>
      <c r="P69" s="442"/>
      <c r="Q69" s="442"/>
      <c r="R69" s="442"/>
      <c r="S69" s="442"/>
      <c r="T69" s="442"/>
      <c r="U69" s="442"/>
      <c r="V69" s="442"/>
      <c r="W69" s="442"/>
      <c r="X69" s="442"/>
      <c r="Y69" s="442"/>
      <c r="Z69" s="442"/>
      <c r="AA69" s="442"/>
      <c r="AB69" s="442"/>
      <c r="AC69" s="442"/>
      <c r="AD69" s="442"/>
      <c r="AE69" s="442"/>
      <c r="AF69" s="442"/>
    </row>
    <row r="70" spans="2:33" s="354" customFormat="1" ht="15" customHeight="1" x14ac:dyDescent="0.35">
      <c r="B70" s="452"/>
      <c r="E70" s="332" t="s">
        <v>854</v>
      </c>
      <c r="F70" s="329"/>
      <c r="G70" s="329"/>
      <c r="H70" s="329"/>
      <c r="I70" s="329"/>
      <c r="J70" s="327"/>
      <c r="K70" s="442"/>
      <c r="L70" s="442"/>
      <c r="M70" s="442"/>
      <c r="N70" s="442"/>
      <c r="O70" s="442"/>
      <c r="P70" s="442"/>
      <c r="Q70" s="442"/>
      <c r="R70" s="442"/>
      <c r="S70" s="442"/>
      <c r="T70" s="442"/>
      <c r="U70" s="442"/>
      <c r="V70" s="442"/>
      <c r="W70" s="442"/>
      <c r="X70" s="442"/>
      <c r="Y70" s="442"/>
      <c r="Z70" s="442"/>
      <c r="AA70" s="442"/>
      <c r="AB70" s="442"/>
      <c r="AC70" s="442"/>
      <c r="AD70" s="442"/>
      <c r="AE70" s="442"/>
      <c r="AF70" s="442"/>
    </row>
    <row r="71" spans="2:33" s="354" customFormat="1" ht="55.5" customHeight="1" x14ac:dyDescent="0.35">
      <c r="B71" s="328"/>
      <c r="C71" s="329"/>
      <c r="D71" s="329"/>
      <c r="E71" s="329"/>
      <c r="F71" s="329"/>
      <c r="G71" s="329"/>
      <c r="H71" s="329"/>
      <c r="I71" s="329"/>
      <c r="J71" s="327"/>
      <c r="K71" s="434"/>
      <c r="L71" s="444" t="s">
        <v>766</v>
      </c>
      <c r="M71" s="444" t="s">
        <v>767</v>
      </c>
      <c r="N71" s="444" t="s">
        <v>768</v>
      </c>
      <c r="O71" s="445" t="s">
        <v>769</v>
      </c>
      <c r="P71" s="444" t="s">
        <v>770</v>
      </c>
      <c r="Q71" s="444" t="s">
        <v>771</v>
      </c>
      <c r="R71" s="444" t="s">
        <v>772</v>
      </c>
      <c r="S71" s="445" t="s">
        <v>773</v>
      </c>
      <c r="T71" s="444" t="s">
        <v>774</v>
      </c>
      <c r="U71" s="444" t="s">
        <v>775</v>
      </c>
      <c r="V71" s="444" t="s">
        <v>776</v>
      </c>
      <c r="W71" s="444" t="s">
        <v>777</v>
      </c>
      <c r="X71" s="444" t="s">
        <v>778</v>
      </c>
      <c r="Y71" s="444" t="s">
        <v>779</v>
      </c>
      <c r="Z71" s="444" t="s">
        <v>780</v>
      </c>
      <c r="AA71" s="444" t="s">
        <v>781</v>
      </c>
      <c r="AB71" s="444" t="s">
        <v>782</v>
      </c>
      <c r="AC71" s="444" t="s">
        <v>783</v>
      </c>
      <c r="AD71" s="444" t="s">
        <v>784</v>
      </c>
      <c r="AE71" s="445" t="s">
        <v>785</v>
      </c>
      <c r="AF71" s="444" t="s">
        <v>786</v>
      </c>
      <c r="AG71" s="441" t="s">
        <v>665</v>
      </c>
    </row>
    <row r="72" spans="2:33" s="354" customFormat="1" ht="15" customHeight="1" x14ac:dyDescent="0.4">
      <c r="B72" s="328"/>
      <c r="C72" s="332" t="s">
        <v>152</v>
      </c>
      <c r="D72" s="329"/>
      <c r="E72" s="329"/>
      <c r="F72" s="329"/>
      <c r="G72" s="329"/>
      <c r="H72" s="329"/>
      <c r="I72" s="329"/>
      <c r="J72" s="327"/>
      <c r="K72" s="428" t="s">
        <v>10</v>
      </c>
      <c r="L72" s="429">
        <f>SUMIF(' road inventory 2024'!$J$9:$J$32,"Good",' road inventory 2024'!$D$9:$D$32)</f>
        <v>40.808</v>
      </c>
      <c r="M72" s="429">
        <f>SUMIF(' road inventory 2024'!$J$36:$J$37,"Good",' road inventory 2024'!$D$36:$D$37)</f>
        <v>0</v>
      </c>
      <c r="N72" s="429">
        <f>SUMIF(' road inventory 2024'!$J$41:$J$55,"Good",' road inventory 2024'!$D$41:$D$55)</f>
        <v>6.12</v>
      </c>
      <c r="O72" s="429">
        <f>SUMIF(' road inventory 2024'!$J$59:$J$90,"Good",' road inventory 2024'!$D$59:$D$90)</f>
        <v>40.74</v>
      </c>
      <c r="P72" s="446">
        <f>SUMIF(' road inventory 2024'!$J$94:$J$122,"Good",' road inventory 2024'!$D$94:$D$122)</f>
        <v>14.993</v>
      </c>
      <c r="Q72" s="446">
        <f>SUMIF(' road inventory 2024'!$J$126:$J$132,"Good",' road inventory 2024'!$D$126:$D$132)</f>
        <v>0</v>
      </c>
      <c r="R72" s="446">
        <f>SUMIF(' road inventory 2024'!$J$136,"Good",' road inventory 2024'!$D$136)</f>
        <v>0</v>
      </c>
      <c r="S72" s="446">
        <f>SUMIF(' road inventory 2024'!$J$140:$J$149,"Good",' road inventory 2024'!$D$140:$D$149)</f>
        <v>1.1000000000000001</v>
      </c>
      <c r="T72" s="446">
        <f>SUMIF(' road inventory 2024'!$J$153:$J$154,"Good",' road inventory 2024'!$D$153:$D$154)</f>
        <v>0</v>
      </c>
      <c r="U72" s="446">
        <f>SUMIF('inventory2022 (FINAL)'!$J$153:$J$163,"Good",'inventory2022 (FINAL)'!$E$153:$E$163)</f>
        <v>0</v>
      </c>
      <c r="V72" s="446">
        <f>SUMIF('inventory2022 (FINAL)'!$J$167:$J$174,"Good",'inventory2022 (FINAL)'!$E$167:$E$174)</f>
        <v>7.6</v>
      </c>
      <c r="W72" s="446">
        <f>SUMIF('inventory2022 (FINAL)'!$J$178,"Good",'inventory2022 (FINAL)'!$E$178)</f>
        <v>0</v>
      </c>
      <c r="X72" s="446">
        <f>SUMIF('inventory2022 (FINAL)'!$J$182:$J$194,"Good",'inventory2022 (FINAL)'!$E$182:$E$194)</f>
        <v>53.6</v>
      </c>
      <c r="Y72" s="446">
        <f>SUMIF('inventory2022 (FINAL)'!$J$198:$J$201,"Good",'inventory2022 (FINAL)'!$E$198:$E$201)</f>
        <v>17</v>
      </c>
      <c r="Z72" s="446">
        <f>SUMIF(' road inventory 2024'!$J$210:$J$217,"Good",' road inventory 2024'!$D$210:$D$217)</f>
        <v>12.900000000000002</v>
      </c>
      <c r="AA72" s="446">
        <f>SUMIF(' road inventory 2024'!$J$221:$J$234,"Good",' road inventory 2024'!$D$221:$D$234)</f>
        <v>5.423</v>
      </c>
      <c r="AB72" s="446">
        <f>SUMIF(' road inventory 2024'!$J$238:$J$242,"Good",' road inventory 2024'!$D$238:$D$242)</f>
        <v>11.209</v>
      </c>
      <c r="AC72" s="446">
        <f>SUMIF(' road inventory 2024'!$J$246:$J$256,"Good",' road inventory 2024'!$D$246:$D$256)</f>
        <v>4.67</v>
      </c>
      <c r="AD72" s="446">
        <f>SUMIF(' road inventory 2024'!$J$260:$J$276,"Good",' road inventory 2024'!$D$260:$D$277)</f>
        <v>18.948</v>
      </c>
      <c r="AE72" s="446">
        <f>SUMIF(' road inventory 2024'!$J$281:$J$288,"Good",' road inventory 2024'!$D$281:$D$288)</f>
        <v>42.768999999999998</v>
      </c>
      <c r="AF72" s="446">
        <f>SUMIF(' road inventory 2024'!$J$292:$J$299,"Good",' road inventory 2024'!$D$292:$D$299)</f>
        <v>34.85</v>
      </c>
      <c r="AG72" s="446">
        <f>SUM(L72:AF72)</f>
        <v>312.73</v>
      </c>
    </row>
    <row r="73" spans="2:33" s="354" customFormat="1" ht="15" customHeight="1" x14ac:dyDescent="0.4">
      <c r="B73" s="327"/>
      <c r="C73" s="329"/>
      <c r="D73" s="329"/>
      <c r="E73" s="329"/>
      <c r="F73" s="329"/>
      <c r="G73" s="329"/>
      <c r="H73" s="329"/>
      <c r="I73" s="329"/>
      <c r="J73" s="327"/>
      <c r="K73" s="428" t="s">
        <v>12</v>
      </c>
      <c r="L73" s="429">
        <f>SUMIF(' road inventory 2024'!$J$9:$J$32,"Fair",' road inventory 2024'!$D$9:$D$32)</f>
        <v>46.508000000000003</v>
      </c>
      <c r="M73" s="429">
        <f>SUMIF(' road inventory 2024'!$J$36:$J$37,"Fair",' road inventory 2024'!$D$36:$D$37)</f>
        <v>18.875999999999998</v>
      </c>
      <c r="N73" s="429">
        <f>SUMIF(' road inventory 2024'!$J$41:$J$55,"Fair",' road inventory 2024'!$D$41:$D$55)</f>
        <v>31.12</v>
      </c>
      <c r="O73" s="429">
        <f>SUMIF(' road inventory 2024'!$J$59:$J$90,"Fair",' road inventory 2024'!$D$59:$D$90)</f>
        <v>38.475999999999999</v>
      </c>
      <c r="P73" s="446">
        <f>SUMIF(' road inventory 2024'!$J$94:$J$122,"Fair",' road inventory 2024'!$D$94:$D$122)</f>
        <v>52.858999999999995</v>
      </c>
      <c r="Q73" s="446">
        <f>SUMIF(' road inventory 2024'!$J$126:$J$132,"Fair",' road inventory 2024'!$D$126:$D$132)</f>
        <v>9.1890000000000001</v>
      </c>
      <c r="R73" s="446">
        <f>SUMIF(' road inventory 2024'!$J$136,"Fair",' road inventory 2024'!$D$136)</f>
        <v>3.33</v>
      </c>
      <c r="S73" s="446">
        <f>SUMIF(' road inventory 2024'!$J$140:$J$149,"Fair",' road inventory 2024'!$D$140:$D$149)</f>
        <v>34.321999999999996</v>
      </c>
      <c r="T73" s="446">
        <f>SUMIF(' road inventory 2024'!$J$153:$J$154,"Fair",' road inventory 2024'!$D$153:$D$154)</f>
        <v>7.25</v>
      </c>
      <c r="U73" s="446">
        <f>SUMIF('inventory2022 (FINAL)'!$J$153:$J$163,"Fair",'inventory2022 (FINAL)'!$E$153:$E$163)</f>
        <v>10.1</v>
      </c>
      <c r="V73" s="446">
        <f>SUMIF('inventory2022 (FINAL)'!$J$167:$J$174,"Fair",'inventory2022 (FINAL)'!$E$167:$E$174)</f>
        <v>32.903999999999996</v>
      </c>
      <c r="W73" s="446">
        <f>SUMIF('inventory2022 (FINAL)'!$J$178,"Fair",'inventory2022 (FINAL)'!$E$178)</f>
        <v>8.7409999999999997</v>
      </c>
      <c r="X73" s="446">
        <f>SUMIF('inventory2022 (FINAL)'!$J$182:$J$194,"Fair",'inventory2022 (FINAL)'!$E$182:$E$194)</f>
        <v>63.160000000000004</v>
      </c>
      <c r="Y73" s="446">
        <f>SUMIF('inventory2022 (FINAL)'!$J$198:$J$201,"Fair",'inventory2022 (FINAL)'!$E$198:$E$201)</f>
        <v>11</v>
      </c>
      <c r="Z73" s="446">
        <f>SUMIF(' road inventory 2024'!$J$210:$J$217,"Fair",' road inventory 2024'!$D$210:$D$217)</f>
        <v>25.8</v>
      </c>
      <c r="AA73" s="446">
        <f>SUMIF(' road inventory 2024'!$J$221:$J$234,"Fair",' road inventory 2024'!$D$221:$D$234)</f>
        <v>65.739999999999995</v>
      </c>
      <c r="AB73" s="446">
        <f>SUMIF(' road inventory 2024'!$J$238:$J$242,"Fair",' road inventory 2024'!$D$238:$D$242)</f>
        <v>13.839000000000002</v>
      </c>
      <c r="AC73" s="446">
        <f>SUMIF(' road inventory 2024'!$J$246:$J$256,"Fair",' road inventory 2024'!$D$246:$D$256)</f>
        <v>7.9600000000000009</v>
      </c>
      <c r="AD73" s="446">
        <f>SUMIF(' road inventory 2024'!$J$260:$J$276,"Fair",' road inventory 2024'!$D$260:$D$277)</f>
        <v>97.259</v>
      </c>
      <c r="AE73" s="446">
        <f>SUMIF(' road inventory 2024'!$J$281:$J$288,"Fair",' road inventory 2024'!$D$281:$D$288)</f>
        <v>40.038999999999994</v>
      </c>
      <c r="AF73" s="446">
        <f>SUMIF(' road inventory 2024'!$J$292:$J$299,"Fair",' road inventory 2024'!$D$292:$D$299)</f>
        <v>49.178000000000004</v>
      </c>
      <c r="AG73" s="446">
        <f>SUM(L73:AF73)</f>
        <v>667.65</v>
      </c>
    </row>
    <row r="74" spans="2:33" s="354" customFormat="1" ht="15" customHeight="1" x14ac:dyDescent="0.4">
      <c r="B74" s="327"/>
      <c r="C74" s="329"/>
      <c r="D74" s="329"/>
      <c r="E74" s="329"/>
      <c r="F74" s="329"/>
      <c r="G74" s="329"/>
      <c r="H74" s="329"/>
      <c r="I74" s="329"/>
      <c r="J74" s="327"/>
      <c r="K74" s="428" t="s">
        <v>33</v>
      </c>
      <c r="L74" s="429">
        <f>SUMIF(' road inventory 2024'!$J$9:$J$32,"Poor",' road inventory 2024'!$D$9:$D$32)</f>
        <v>9.6000000000000014</v>
      </c>
      <c r="M74" s="429">
        <f>SUMIF(' road inventory 2024'!$J$36:$J$37,"Poor",' road inventory 2024'!$D$36:$D$37)</f>
        <v>0</v>
      </c>
      <c r="N74" s="429">
        <f>SUMIF(' road inventory 2024'!$J$41:$J$55,"Poor",' road inventory 2024'!$D$41:$D$55)</f>
        <v>6.9130000000000003</v>
      </c>
      <c r="O74" s="429">
        <f>SUMIF(' road inventory 2024'!$J$59:$J$90,"Poor",' road inventory 2024'!$D$59:$D$90)</f>
        <v>23.661000000000001</v>
      </c>
      <c r="P74" s="446">
        <f>SUMIF(' road inventory 2024'!$J$94:$J$122,"Poor",' road inventory 2024'!$D$94:$D$122)</f>
        <v>23.195</v>
      </c>
      <c r="Q74" s="446">
        <f>SUMIF(' road inventory 2024'!$J$126:$J$132,"Poor",' road inventory 2024'!$D$126:$D$132)</f>
        <v>32.89</v>
      </c>
      <c r="R74" s="446">
        <f>SUMIF(' road inventory 2024'!$J$136,"Poor",' road inventory 2024'!$D$136)</f>
        <v>0</v>
      </c>
      <c r="S74" s="446">
        <f>SUMIF(' road inventory 2024'!$J$140:$J$149,"Poor",' road inventory 2024'!$D$140:$D$149)</f>
        <v>11.899999999999999</v>
      </c>
      <c r="T74" s="446">
        <f>SUMIF(' road inventory 2024'!$J$153:$J$154,"Poor",' road inventory 2024'!$D$153:$D$154)</f>
        <v>0</v>
      </c>
      <c r="U74" s="446">
        <f>SUMIF('inventory2022 (FINAL)'!$J$153:$J$163,"Poor",'inventory2022 (FINAL)'!$E$153:$E$163)</f>
        <v>48.699999999999996</v>
      </c>
      <c r="V74" s="446">
        <f>SUMIF('inventory2022 (FINAL)'!$J$167:$J$174,"Poor",'inventory2022 (FINAL)'!$E$167:$E$174)</f>
        <v>0</v>
      </c>
      <c r="W74" s="446">
        <f>SUMIF('inventory2022 (FINAL)'!$J$178,"Poor",'inventory2022 (FINAL)'!$E$178)</f>
        <v>0</v>
      </c>
      <c r="X74" s="446">
        <f>SUMIF('inventory2022 (FINAL)'!$J$182:$J$194,"Poor",'inventory2022 (FINAL)'!$E$182:$E$194)</f>
        <v>0.2</v>
      </c>
      <c r="Y74" s="446">
        <f>SUMIF('inventory2022 (FINAL)'!$J$198:$J$201,"Poor",'inventory2022 (FINAL)'!$E$198:$E$201)</f>
        <v>0</v>
      </c>
      <c r="Z74" s="446">
        <f>SUMIF(' road inventory 2024'!$J$210:$J$217,"Poor",' road inventory 2024'!$D$210:$D$217)</f>
        <v>10.3</v>
      </c>
      <c r="AA74" s="446">
        <f>SUMIF(' road inventory 2024'!$J$221:$J$234,"Poor",' road inventory 2024'!$D$221:$D$234)</f>
        <v>19.302</v>
      </c>
      <c r="AB74" s="446">
        <f>SUMIF(' road inventory 2024'!$J$238:$J$242,"Poor",' road inventory 2024'!$D$238:$D$242)</f>
        <v>0</v>
      </c>
      <c r="AC74" s="446">
        <f>SUMIF(' road inventory 2024'!$J$246:$J$256,"Poor",' road inventory 2024'!$D$246:$D$256)</f>
        <v>15.969999999999999</v>
      </c>
      <c r="AD74" s="446">
        <f>SUMIF(' road inventory 2024'!$J$260:$J$276,"Poor",' road inventory 2024'!$D$260:$D$277)</f>
        <v>21.853000000000002</v>
      </c>
      <c r="AE74" s="446">
        <f>SUMIF(' road inventory 2024'!$J$281:$J$288,"Poor",' road inventory 2024'!$D$281:$D$288)</f>
        <v>5.67</v>
      </c>
      <c r="AF74" s="446">
        <f>SUMIF(' road inventory 2024'!$J$292:$J$299,"Poor",' road inventory 2024'!$D$292:$D$299)</f>
        <v>0</v>
      </c>
      <c r="AG74" s="446">
        <f>SUM(L74:AF74)</f>
        <v>230.154</v>
      </c>
    </row>
    <row r="75" spans="2:33" s="354" customFormat="1" ht="18" customHeight="1" x14ac:dyDescent="0.4">
      <c r="B75" s="327"/>
      <c r="C75" s="318" t="s">
        <v>855</v>
      </c>
      <c r="D75" s="329"/>
      <c r="E75" s="329"/>
      <c r="F75" s="329"/>
      <c r="G75" s="329"/>
      <c r="H75" s="329"/>
      <c r="I75" s="932">
        <f>D30+'inventory2022 (FINAL)'!E294</f>
        <v>868.38300000000004</v>
      </c>
      <c r="J75" s="327"/>
      <c r="K75" s="428" t="s">
        <v>41</v>
      </c>
      <c r="L75" s="429">
        <f>SUMIF(' road inventory 2024'!J9:J32,"Bad",' road inventory 2024'!D9:D32)</f>
        <v>0</v>
      </c>
      <c r="M75" s="429">
        <f>SUMIF(' road inventory 2024'!$J$36:$J$37,"Bad",' road inventory 2024'!$D$36:$D$37)</f>
        <v>0</v>
      </c>
      <c r="N75" s="429">
        <f>SUMIF(' road inventory 2024'!$J$41:$J$55,"Bad",' road inventory 2024'!$D$41:$D$55)</f>
        <v>5.8900000000000006</v>
      </c>
      <c r="O75" s="429">
        <f>SUMIF(' road inventory 2024'!$J$59:$J$90,"Bad",' road inventory 2024'!$D$59:$D$90)</f>
        <v>7.73</v>
      </c>
      <c r="P75" s="446">
        <f>SUMIF(' road inventory 2024'!$J$94:$J$122,"Bad",' road inventory 2024'!$D$94:$D$122)</f>
        <v>19.23</v>
      </c>
      <c r="Q75" s="446">
        <f>SUMIF(' road inventory 2024'!$J$126:$J$132,"Bad",' road inventory 2024'!$D$126:$D$132)</f>
        <v>0</v>
      </c>
      <c r="R75" s="446">
        <f>SUMIF(' road inventory 2024'!$J$136,"Bad",' road inventory 2024'!$D$136)</f>
        <v>0</v>
      </c>
      <c r="S75" s="446">
        <f>SUMIF(' road inventory 2024'!$J$140:$J$149,"Bad",' road inventory 2024'!$D$140:$D$149)</f>
        <v>8.3000000000000007</v>
      </c>
      <c r="T75" s="446">
        <f>SUMIF(' road inventory 2024'!$J$153:$J$154,"Bad",' road inventory 2024'!$D$153:$D$154)</f>
        <v>0</v>
      </c>
      <c r="U75" s="446">
        <f>SUMIF('inventory2022 (FINAL)'!$J$153:$J$163,"Bad",'inventory2022 (FINAL)'!$E$153:$E$163)</f>
        <v>3.2</v>
      </c>
      <c r="V75" s="446">
        <f>SUMIF('inventory2022 (FINAL)'!$J$167:$J$174,"Bad",'inventory2022 (FINAL)'!$E$167:$E$174)</f>
        <v>1.58</v>
      </c>
      <c r="W75" s="446">
        <f>SUMIF('inventory2022 (FINAL)'!$J$178,"Bad",'inventory2022 (FINAL)'!$E$178)</f>
        <v>0</v>
      </c>
      <c r="X75" s="446">
        <f>SUMIF('inventory2022 (FINAL)'!$J$182:$J$194,"Bad",'inventory2022 (FINAL)'!$E$182:$E$194)</f>
        <v>0</v>
      </c>
      <c r="Y75" s="446">
        <f>SUMIF('inventory2022 (FINAL)'!$J$198:$J$201,"Bad",'inventory2022 (FINAL)'!$E$198:$E$201)</f>
        <v>0</v>
      </c>
      <c r="Z75" s="446">
        <f>SUMIF(' road inventory 2024'!$J$210:$J$217,"Bad",' road inventory 2024'!$D$210:$D$217)</f>
        <v>0</v>
      </c>
      <c r="AA75" s="446">
        <f>SUMIF(' road inventory 2024'!$J$221:$J$234,"Bad",' road inventory 2024'!$D$221:$D$234)</f>
        <v>3.7970000000000002</v>
      </c>
      <c r="AB75" s="446">
        <f>SUMIF(' road inventory 2024'!$J$238:$J$242,"Bad",' road inventory 2024'!$D$238:$D$242)</f>
        <v>3.0760000000000005</v>
      </c>
      <c r="AC75" s="446">
        <f>SUMIF(' road inventory 2024'!$J$246:$J$256,"Bad",' road inventory 2024'!$D$246:$D$256)</f>
        <v>7.18</v>
      </c>
      <c r="AD75" s="446">
        <f>SUMIF(' road inventory 2024'!$J$260:$J$276,"Bad",' road inventory 2024'!$D$260:$D$277)</f>
        <v>0</v>
      </c>
      <c r="AE75" s="446">
        <f>SUMIF(' road inventory 2024'!$J$281:$J$288,"Bad",' road inventory 2024'!$D$281:$D$288)</f>
        <v>0</v>
      </c>
      <c r="AF75" s="446">
        <f>SUMIF(' road inventory 2024'!$J$292:$J$299,"Bad",' road inventory 2024'!$D$292:$D$299)</f>
        <v>3.5960000000000001</v>
      </c>
      <c r="AG75" s="446">
        <f>SUM(L75:AF75)</f>
        <v>63.579000000000008</v>
      </c>
    </row>
    <row r="76" spans="2:33" s="354" customFormat="1" ht="18" customHeight="1" x14ac:dyDescent="0.4">
      <c r="B76" s="327"/>
      <c r="C76" s="332" t="s">
        <v>763</v>
      </c>
      <c r="D76" s="329"/>
      <c r="E76" s="329"/>
      <c r="F76" s="329"/>
      <c r="G76" s="329"/>
      <c r="H76" s="329"/>
      <c r="I76" s="933">
        <f>I75/'inventory2022 (FINAL)'!E295</f>
        <v>0.69804865696957041</v>
      </c>
      <c r="J76" s="327"/>
      <c r="K76" s="448"/>
      <c r="L76" s="467">
        <f>SUM(L72:L75)</f>
        <v>96.915999999999997</v>
      </c>
      <c r="M76" s="467">
        <f t="shared" ref="M76:AF76" si="7">SUM(M72:M75)</f>
        <v>18.875999999999998</v>
      </c>
      <c r="N76" s="467">
        <f>SUM(N72:N75)</f>
        <v>50.043000000000006</v>
      </c>
      <c r="O76" s="467">
        <f t="shared" si="7"/>
        <v>110.60700000000001</v>
      </c>
      <c r="P76" s="449">
        <f t="shared" si="7"/>
        <v>110.277</v>
      </c>
      <c r="Q76" s="449">
        <f t="shared" si="7"/>
        <v>42.079000000000001</v>
      </c>
      <c r="R76" s="449">
        <f t="shared" si="7"/>
        <v>3.33</v>
      </c>
      <c r="S76" s="449">
        <f t="shared" si="7"/>
        <v>55.622</v>
      </c>
      <c r="T76" s="449">
        <f t="shared" si="7"/>
        <v>7.25</v>
      </c>
      <c r="U76" s="449">
        <f t="shared" si="7"/>
        <v>62</v>
      </c>
      <c r="V76" s="449">
        <f t="shared" si="7"/>
        <v>42.083999999999996</v>
      </c>
      <c r="W76" s="449">
        <f t="shared" si="7"/>
        <v>8.7409999999999997</v>
      </c>
      <c r="X76" s="449">
        <f t="shared" si="7"/>
        <v>116.96000000000001</v>
      </c>
      <c r="Y76" s="449">
        <f t="shared" si="7"/>
        <v>28</v>
      </c>
      <c r="Z76" s="449">
        <f t="shared" si="7"/>
        <v>49</v>
      </c>
      <c r="AA76" s="449">
        <f>SUM(AA72:AA75)</f>
        <v>94.262</v>
      </c>
      <c r="AB76" s="449">
        <f t="shared" si="7"/>
        <v>28.124000000000002</v>
      </c>
      <c r="AC76" s="449">
        <f t="shared" si="7"/>
        <v>35.78</v>
      </c>
      <c r="AD76" s="449">
        <f t="shared" si="7"/>
        <v>138.06</v>
      </c>
      <c r="AE76" s="449">
        <f t="shared" si="7"/>
        <v>88.477999999999994</v>
      </c>
      <c r="AF76" s="449">
        <f t="shared" si="7"/>
        <v>87.624000000000009</v>
      </c>
      <c r="AG76" s="449">
        <f>SUM(AG72:AG75)</f>
        <v>1274.1130000000001</v>
      </c>
    </row>
    <row r="77" spans="2:33" x14ac:dyDescent="0.4">
      <c r="K77" s="307"/>
      <c r="O77" s="462"/>
      <c r="AG77" s="436"/>
    </row>
    <row r="78" spans="2:33" x14ac:dyDescent="0.4">
      <c r="K78" s="307"/>
      <c r="O78" s="462"/>
      <c r="AG78" s="436"/>
    </row>
    <row r="79" spans="2:33" x14ac:dyDescent="0.4">
      <c r="K79" s="327"/>
      <c r="L79" s="442"/>
      <c r="M79" s="442"/>
      <c r="N79" s="442"/>
      <c r="O79" s="442"/>
      <c r="P79" s="442"/>
      <c r="Q79" s="442"/>
      <c r="R79" s="442"/>
      <c r="S79" s="442"/>
      <c r="T79" s="442"/>
      <c r="U79" s="442"/>
      <c r="V79" s="442"/>
      <c r="W79" s="442"/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</row>
    <row r="80" spans="2:33" ht="36" x14ac:dyDescent="0.4">
      <c r="K80" s="469"/>
      <c r="L80" s="427" t="s">
        <v>739</v>
      </c>
      <c r="M80" s="427" t="s">
        <v>740</v>
      </c>
      <c r="N80" s="427" t="s">
        <v>741</v>
      </c>
      <c r="O80" s="427" t="s">
        <v>742</v>
      </c>
      <c r="P80" s="468"/>
      <c r="Q80" s="442"/>
      <c r="R80" s="442"/>
      <c r="S80" s="442"/>
      <c r="T80" s="442"/>
      <c r="U80" s="442"/>
      <c r="V80" s="442"/>
      <c r="W80" s="442"/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</row>
    <row r="81" spans="11:33" x14ac:dyDescent="0.4">
      <c r="K81" s="428" t="s">
        <v>10</v>
      </c>
      <c r="L81" s="468">
        <f>SUMIF('inventory2022 (FINAL)'!$J$8:$J$294,"Good",'inventory2022 (FINAL)'!$F$8:$F$294)</f>
        <v>221.18819999999997</v>
      </c>
      <c r="M81" s="468">
        <f>SUMIF('inventory2022 (FINAL)'!$J$8:$J$294,"Good",'inventory2022 (FINAL)'!$G$8:$G$294)</f>
        <v>2.0830000000000002</v>
      </c>
      <c r="N81" s="468">
        <f>SUMIF('inventory2022 (FINAL)'!$J$8:$J$294,"Good",'inventory2022 (FINAL)'!$H$8:$H$294)</f>
        <v>3.42</v>
      </c>
      <c r="O81" s="468">
        <f>SUMIF('inventory2022 (FINAL)'!$J$8:$J$294,"Good",'inventory2022 (FINAL)'!$I$8:$I$294)</f>
        <v>76.465999999999994</v>
      </c>
      <c r="P81" s="468">
        <f>SUM(L81:O81)</f>
        <v>303.15719999999993</v>
      </c>
      <c r="Q81" s="442"/>
      <c r="R81" s="442"/>
      <c r="S81" s="442"/>
      <c r="T81" s="442"/>
      <c r="U81" s="442"/>
      <c r="V81" s="442"/>
      <c r="W81" s="442"/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</row>
    <row r="82" spans="11:33" x14ac:dyDescent="0.4">
      <c r="K82" s="428" t="s">
        <v>12</v>
      </c>
      <c r="L82" s="468">
        <f>SUMIF('inventory2022 (FINAL)'!$J$8:$J$294,"Fair",'inventory2022 (FINAL)'!$F$8:$F$294)</f>
        <v>171.76400000000004</v>
      </c>
      <c r="M82" s="468">
        <f>SUMIF('inventory2022 (FINAL)'!$J$8:$J$294,"Fair",'inventory2022 (FINAL)'!$G$8:$G$294)</f>
        <v>0</v>
      </c>
      <c r="N82" s="468">
        <f>SUMIF('inventory2022 (FINAL)'!$J$8:$J$294,"Fair",'inventory2022 (FINAL)'!$H$8:$H$294)</f>
        <v>1.72</v>
      </c>
      <c r="O82" s="468">
        <f>SUMIF('inventory2022 (FINAL)'!$J$8:$J$294,"Fair",'inventory2022 (FINAL)'!$I$8:$I$294)</f>
        <v>450.97199999999998</v>
      </c>
      <c r="P82" s="468">
        <f>SUM(L82:O82)</f>
        <v>624.45600000000002</v>
      </c>
      <c r="Q82" s="442"/>
      <c r="R82" s="442"/>
      <c r="S82" s="442"/>
      <c r="T82" s="442"/>
      <c r="U82" s="442"/>
      <c r="V82" s="442"/>
      <c r="W82" s="442"/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</row>
    <row r="83" spans="11:33" x14ac:dyDescent="0.4">
      <c r="K83" s="428" t="s">
        <v>33</v>
      </c>
      <c r="L83" s="468">
        <f>SUMIF('inventory2022 (FINAL)'!$J$8:$J$294,"Poor",'inventory2022 (FINAL)'!$F$8:$F$294)</f>
        <v>33.223999999999997</v>
      </c>
      <c r="M83" s="468">
        <f>SUMIF('inventory2022 (FINAL)'!$J$8:$J$294,"Poor",'inventory2022 (FINAL)'!$G$8:$G$294)</f>
        <v>2.5499999999999998</v>
      </c>
      <c r="N83" s="468">
        <f>SUMIF('inventory2022 (FINAL)'!$J$8:$J$294,"Poor",'inventory2022 (FINAL)'!$H$8:$H$294)</f>
        <v>0</v>
      </c>
      <c r="O83" s="468">
        <f>SUMIF('inventory2022 (FINAL)'!$J$8:$J$294,"Poor",'inventory2022 (FINAL)'!$I$8:$I$294)</f>
        <v>149.18100000000001</v>
      </c>
      <c r="P83" s="468">
        <f>SUM(L83:O83)</f>
        <v>184.95500000000001</v>
      </c>
      <c r="Q83" s="442"/>
      <c r="R83" s="442"/>
      <c r="S83" s="442"/>
      <c r="T83" s="442"/>
      <c r="U83" s="442"/>
      <c r="V83" s="442"/>
      <c r="W83" s="442"/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</row>
    <row r="84" spans="11:33" x14ac:dyDescent="0.4">
      <c r="K84" s="428" t="s">
        <v>41</v>
      </c>
      <c r="L84" s="468">
        <f>SUMIF('inventory2022 (FINAL)'!$J$8:$J$294,"Bad",'inventory2022 (FINAL)'!$F$8:$F$294)</f>
        <v>14.332000000000001</v>
      </c>
      <c r="M84" s="468">
        <f>SUMIF('inventory2022 (FINAL)'!$J$8:$J$294,"Bad",'inventory2022 (FINAL)'!$G$8:$G$294)</f>
        <v>6.1099999999999994</v>
      </c>
      <c r="N84" s="468">
        <f>SUMIF('inventory2022 (FINAL)'!$J$8:$J$294,"Bad",'inventory2022 (FINAL)'!$H$8:$H$294)</f>
        <v>5.5439999999999996</v>
      </c>
      <c r="O84" s="468">
        <f>SUMIF('inventory2022 (FINAL)'!$J$8:$J$294,"Bad",'inventory2022 (FINAL)'!$I$8:$I$294)</f>
        <v>90.997</v>
      </c>
      <c r="P84" s="468">
        <f>SUM(L84:O84)</f>
        <v>116.983</v>
      </c>
      <c r="Q84" s="442"/>
      <c r="R84" s="442"/>
      <c r="S84" s="442"/>
      <c r="T84" s="442"/>
      <c r="U84" s="442"/>
      <c r="V84" s="442"/>
      <c r="W84" s="442"/>
      <c r="X84" s="442"/>
      <c r="Y84" s="442"/>
      <c r="Z84" s="442"/>
      <c r="AA84" s="442"/>
      <c r="AB84" s="442"/>
      <c r="AC84" s="442"/>
      <c r="AD84" s="442"/>
      <c r="AE84" s="442"/>
      <c r="AF84" s="442"/>
      <c r="AG84" s="442"/>
    </row>
    <row r="85" spans="11:33" x14ac:dyDescent="0.4">
      <c r="K85" s="327"/>
      <c r="L85" s="442"/>
      <c r="M85" s="442"/>
      <c r="N85" s="442"/>
      <c r="O85" s="442"/>
      <c r="P85" s="470">
        <f>SUM(P81:P84)</f>
        <v>1229.5511999999999</v>
      </c>
      <c r="Q85" s="442"/>
      <c r="R85" s="442"/>
      <c r="S85" s="442"/>
      <c r="T85" s="442"/>
      <c r="U85" s="442"/>
      <c r="V85" s="442"/>
      <c r="W85" s="442"/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</row>
  </sheetData>
  <mergeCells count="15">
    <mergeCell ref="A1:H1"/>
    <mergeCell ref="A2:H2"/>
    <mergeCell ref="A3:H3"/>
    <mergeCell ref="A5:H5"/>
    <mergeCell ref="A32:B32"/>
    <mergeCell ref="J49:M49"/>
    <mergeCell ref="J50:L50"/>
    <mergeCell ref="J51:L51"/>
    <mergeCell ref="J52:L52"/>
    <mergeCell ref="A33:H33"/>
    <mergeCell ref="E63:F63"/>
    <mergeCell ref="A40:B40"/>
    <mergeCell ref="A45:B45"/>
    <mergeCell ref="A44:B44"/>
    <mergeCell ref="A43:C43"/>
  </mergeCells>
  <printOptions horizontalCentered="1"/>
  <pageMargins left="0" right="0" top="1" bottom="0.54" header="0.41" footer="0"/>
  <pageSetup paperSize="14" scale="63" fitToWidth="0" fitToHeight="0" orientation="portrait" horizontalDpi="1200" verticalDpi="1200" r:id="rId1"/>
  <headerFooter>
    <oddFooter>&amp;L&amp;"-,Italic"&amp;9&amp;K01+049&amp;F&amp;R&amp;"-,Italic"&amp;9&amp;K01+049Page &amp;P of 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/>
  <dimension ref="A1:S544"/>
  <sheetViews>
    <sheetView view="pageBreakPreview" zoomScale="80" zoomScaleNormal="100" zoomScaleSheetLayoutView="80" workbookViewId="0">
      <pane ySplit="3" topLeftCell="A260" activePane="bottomLeft" state="frozen"/>
      <selection pane="bottomLeft" activeCell="M290" sqref="M290"/>
    </sheetView>
  </sheetViews>
  <sheetFormatPr defaultRowHeight="15.5" x14ac:dyDescent="0.35"/>
  <cols>
    <col min="1" max="1" width="22.81640625" style="95" customWidth="1"/>
    <col min="2" max="2" width="27.453125" style="2" customWidth="1"/>
    <col min="3" max="3" width="11.26953125" style="3" customWidth="1"/>
    <col min="4" max="4" width="10" style="582" hidden="1" customWidth="1"/>
    <col min="5" max="5" width="10.54296875" style="3" customWidth="1"/>
    <col min="6" max="6" width="9.7265625" style="3" customWidth="1"/>
    <col min="7" max="7" width="9.54296875" style="3" customWidth="1"/>
    <col min="8" max="9" width="12.54296875" style="3" customWidth="1"/>
    <col min="10" max="10" width="11.54296875" style="3" customWidth="1"/>
    <col min="11" max="13" width="27.1796875" style="2" customWidth="1"/>
    <col min="14" max="14" width="52.26953125" style="583" customWidth="1"/>
    <col min="15" max="15" width="15.81640625" style="3" customWidth="1"/>
    <col min="16" max="257" width="9.1796875" style="3"/>
    <col min="258" max="258" width="13.26953125" style="3" customWidth="1"/>
    <col min="259" max="259" width="27.453125" style="3" customWidth="1"/>
    <col min="260" max="261" width="9.54296875" style="3" customWidth="1"/>
    <col min="262" max="262" width="9.7265625" style="3" customWidth="1"/>
    <col min="263" max="263" width="9.54296875" style="3" customWidth="1"/>
    <col min="264" max="264" width="12.54296875" style="3" customWidth="1"/>
    <col min="265" max="265" width="10" style="3" customWidth="1"/>
    <col min="266" max="266" width="9.7265625" style="3" customWidth="1"/>
    <col min="267" max="269" width="0" style="3" hidden="1" customWidth="1"/>
    <col min="270" max="513" width="9.1796875" style="3"/>
    <col min="514" max="514" width="13.26953125" style="3" customWidth="1"/>
    <col min="515" max="515" width="27.453125" style="3" customWidth="1"/>
    <col min="516" max="517" width="9.54296875" style="3" customWidth="1"/>
    <col min="518" max="518" width="9.7265625" style="3" customWidth="1"/>
    <col min="519" max="519" width="9.54296875" style="3" customWidth="1"/>
    <col min="520" max="520" width="12.54296875" style="3" customWidth="1"/>
    <col min="521" max="521" width="10" style="3" customWidth="1"/>
    <col min="522" max="522" width="9.7265625" style="3" customWidth="1"/>
    <col min="523" max="525" width="0" style="3" hidden="1" customWidth="1"/>
    <col min="526" max="769" width="9.1796875" style="3"/>
    <col min="770" max="770" width="13.26953125" style="3" customWidth="1"/>
    <col min="771" max="771" width="27.453125" style="3" customWidth="1"/>
    <col min="772" max="773" width="9.54296875" style="3" customWidth="1"/>
    <col min="774" max="774" width="9.7265625" style="3" customWidth="1"/>
    <col min="775" max="775" width="9.54296875" style="3" customWidth="1"/>
    <col min="776" max="776" width="12.54296875" style="3" customWidth="1"/>
    <col min="777" max="777" width="10" style="3" customWidth="1"/>
    <col min="778" max="778" width="9.7265625" style="3" customWidth="1"/>
    <col min="779" max="781" width="0" style="3" hidden="1" customWidth="1"/>
    <col min="782" max="1025" width="9.1796875" style="3"/>
    <col min="1026" max="1026" width="13.26953125" style="3" customWidth="1"/>
    <col min="1027" max="1027" width="27.453125" style="3" customWidth="1"/>
    <col min="1028" max="1029" width="9.54296875" style="3" customWidth="1"/>
    <col min="1030" max="1030" width="9.7265625" style="3" customWidth="1"/>
    <col min="1031" max="1031" width="9.54296875" style="3" customWidth="1"/>
    <col min="1032" max="1032" width="12.54296875" style="3" customWidth="1"/>
    <col min="1033" max="1033" width="10" style="3" customWidth="1"/>
    <col min="1034" max="1034" width="9.7265625" style="3" customWidth="1"/>
    <col min="1035" max="1037" width="0" style="3" hidden="1" customWidth="1"/>
    <col min="1038" max="1281" width="9.1796875" style="3"/>
    <col min="1282" max="1282" width="13.26953125" style="3" customWidth="1"/>
    <col min="1283" max="1283" width="27.453125" style="3" customWidth="1"/>
    <col min="1284" max="1285" width="9.54296875" style="3" customWidth="1"/>
    <col min="1286" max="1286" width="9.7265625" style="3" customWidth="1"/>
    <col min="1287" max="1287" width="9.54296875" style="3" customWidth="1"/>
    <col min="1288" max="1288" width="12.54296875" style="3" customWidth="1"/>
    <col min="1289" max="1289" width="10" style="3" customWidth="1"/>
    <col min="1290" max="1290" width="9.7265625" style="3" customWidth="1"/>
    <col min="1291" max="1293" width="0" style="3" hidden="1" customWidth="1"/>
    <col min="1294" max="1537" width="9.1796875" style="3"/>
    <col min="1538" max="1538" width="13.26953125" style="3" customWidth="1"/>
    <col min="1539" max="1539" width="27.453125" style="3" customWidth="1"/>
    <col min="1540" max="1541" width="9.54296875" style="3" customWidth="1"/>
    <col min="1542" max="1542" width="9.7265625" style="3" customWidth="1"/>
    <col min="1543" max="1543" width="9.54296875" style="3" customWidth="1"/>
    <col min="1544" max="1544" width="12.54296875" style="3" customWidth="1"/>
    <col min="1545" max="1545" width="10" style="3" customWidth="1"/>
    <col min="1546" max="1546" width="9.7265625" style="3" customWidth="1"/>
    <col min="1547" max="1549" width="0" style="3" hidden="1" customWidth="1"/>
    <col min="1550" max="1793" width="9.1796875" style="3"/>
    <col min="1794" max="1794" width="13.26953125" style="3" customWidth="1"/>
    <col min="1795" max="1795" width="27.453125" style="3" customWidth="1"/>
    <col min="1796" max="1797" width="9.54296875" style="3" customWidth="1"/>
    <col min="1798" max="1798" width="9.7265625" style="3" customWidth="1"/>
    <col min="1799" max="1799" width="9.54296875" style="3" customWidth="1"/>
    <col min="1800" max="1800" width="12.54296875" style="3" customWidth="1"/>
    <col min="1801" max="1801" width="10" style="3" customWidth="1"/>
    <col min="1802" max="1802" width="9.7265625" style="3" customWidth="1"/>
    <col min="1803" max="1805" width="0" style="3" hidden="1" customWidth="1"/>
    <col min="1806" max="2049" width="9.1796875" style="3"/>
    <col min="2050" max="2050" width="13.26953125" style="3" customWidth="1"/>
    <col min="2051" max="2051" width="27.453125" style="3" customWidth="1"/>
    <col min="2052" max="2053" width="9.54296875" style="3" customWidth="1"/>
    <col min="2054" max="2054" width="9.7265625" style="3" customWidth="1"/>
    <col min="2055" max="2055" width="9.54296875" style="3" customWidth="1"/>
    <col min="2056" max="2056" width="12.54296875" style="3" customWidth="1"/>
    <col min="2057" max="2057" width="10" style="3" customWidth="1"/>
    <col min="2058" max="2058" width="9.7265625" style="3" customWidth="1"/>
    <col min="2059" max="2061" width="0" style="3" hidden="1" customWidth="1"/>
    <col min="2062" max="2305" width="9.1796875" style="3"/>
    <col min="2306" max="2306" width="13.26953125" style="3" customWidth="1"/>
    <col min="2307" max="2307" width="27.453125" style="3" customWidth="1"/>
    <col min="2308" max="2309" width="9.54296875" style="3" customWidth="1"/>
    <col min="2310" max="2310" width="9.7265625" style="3" customWidth="1"/>
    <col min="2311" max="2311" width="9.54296875" style="3" customWidth="1"/>
    <col min="2312" max="2312" width="12.54296875" style="3" customWidth="1"/>
    <col min="2313" max="2313" width="10" style="3" customWidth="1"/>
    <col min="2314" max="2314" width="9.7265625" style="3" customWidth="1"/>
    <col min="2315" max="2317" width="0" style="3" hidden="1" customWidth="1"/>
    <col min="2318" max="2561" width="9.1796875" style="3"/>
    <col min="2562" max="2562" width="13.26953125" style="3" customWidth="1"/>
    <col min="2563" max="2563" width="27.453125" style="3" customWidth="1"/>
    <col min="2564" max="2565" width="9.54296875" style="3" customWidth="1"/>
    <col min="2566" max="2566" width="9.7265625" style="3" customWidth="1"/>
    <col min="2567" max="2567" width="9.54296875" style="3" customWidth="1"/>
    <col min="2568" max="2568" width="12.54296875" style="3" customWidth="1"/>
    <col min="2569" max="2569" width="10" style="3" customWidth="1"/>
    <col min="2570" max="2570" width="9.7265625" style="3" customWidth="1"/>
    <col min="2571" max="2573" width="0" style="3" hidden="1" customWidth="1"/>
    <col min="2574" max="2817" width="9.1796875" style="3"/>
    <col min="2818" max="2818" width="13.26953125" style="3" customWidth="1"/>
    <col min="2819" max="2819" width="27.453125" style="3" customWidth="1"/>
    <col min="2820" max="2821" width="9.54296875" style="3" customWidth="1"/>
    <col min="2822" max="2822" width="9.7265625" style="3" customWidth="1"/>
    <col min="2823" max="2823" width="9.54296875" style="3" customWidth="1"/>
    <col min="2824" max="2824" width="12.54296875" style="3" customWidth="1"/>
    <col min="2825" max="2825" width="10" style="3" customWidth="1"/>
    <col min="2826" max="2826" width="9.7265625" style="3" customWidth="1"/>
    <col min="2827" max="2829" width="0" style="3" hidden="1" customWidth="1"/>
    <col min="2830" max="3073" width="9.1796875" style="3"/>
    <col min="3074" max="3074" width="13.26953125" style="3" customWidth="1"/>
    <col min="3075" max="3075" width="27.453125" style="3" customWidth="1"/>
    <col min="3076" max="3077" width="9.54296875" style="3" customWidth="1"/>
    <col min="3078" max="3078" width="9.7265625" style="3" customWidth="1"/>
    <col min="3079" max="3079" width="9.54296875" style="3" customWidth="1"/>
    <col min="3080" max="3080" width="12.54296875" style="3" customWidth="1"/>
    <col min="3081" max="3081" width="10" style="3" customWidth="1"/>
    <col min="3082" max="3082" width="9.7265625" style="3" customWidth="1"/>
    <col min="3083" max="3085" width="0" style="3" hidden="1" customWidth="1"/>
    <col min="3086" max="3329" width="9.1796875" style="3"/>
    <col min="3330" max="3330" width="13.26953125" style="3" customWidth="1"/>
    <col min="3331" max="3331" width="27.453125" style="3" customWidth="1"/>
    <col min="3332" max="3333" width="9.54296875" style="3" customWidth="1"/>
    <col min="3334" max="3334" width="9.7265625" style="3" customWidth="1"/>
    <col min="3335" max="3335" width="9.54296875" style="3" customWidth="1"/>
    <col min="3336" max="3336" width="12.54296875" style="3" customWidth="1"/>
    <col min="3337" max="3337" width="10" style="3" customWidth="1"/>
    <col min="3338" max="3338" width="9.7265625" style="3" customWidth="1"/>
    <col min="3339" max="3341" width="0" style="3" hidden="1" customWidth="1"/>
    <col min="3342" max="3585" width="9.1796875" style="3"/>
    <col min="3586" max="3586" width="13.26953125" style="3" customWidth="1"/>
    <col min="3587" max="3587" width="27.453125" style="3" customWidth="1"/>
    <col min="3588" max="3589" width="9.54296875" style="3" customWidth="1"/>
    <col min="3590" max="3590" width="9.7265625" style="3" customWidth="1"/>
    <col min="3591" max="3591" width="9.54296875" style="3" customWidth="1"/>
    <col min="3592" max="3592" width="12.54296875" style="3" customWidth="1"/>
    <col min="3593" max="3593" width="10" style="3" customWidth="1"/>
    <col min="3594" max="3594" width="9.7265625" style="3" customWidth="1"/>
    <col min="3595" max="3597" width="0" style="3" hidden="1" customWidth="1"/>
    <col min="3598" max="3841" width="9.1796875" style="3"/>
    <col min="3842" max="3842" width="13.26953125" style="3" customWidth="1"/>
    <col min="3843" max="3843" width="27.453125" style="3" customWidth="1"/>
    <col min="3844" max="3845" width="9.54296875" style="3" customWidth="1"/>
    <col min="3846" max="3846" width="9.7265625" style="3" customWidth="1"/>
    <col min="3847" max="3847" width="9.54296875" style="3" customWidth="1"/>
    <col min="3848" max="3848" width="12.54296875" style="3" customWidth="1"/>
    <col min="3849" max="3849" width="10" style="3" customWidth="1"/>
    <col min="3850" max="3850" width="9.7265625" style="3" customWidth="1"/>
    <col min="3851" max="3853" width="0" style="3" hidden="1" customWidth="1"/>
    <col min="3854" max="4097" width="9.1796875" style="3"/>
    <col min="4098" max="4098" width="13.26953125" style="3" customWidth="1"/>
    <col min="4099" max="4099" width="27.453125" style="3" customWidth="1"/>
    <col min="4100" max="4101" width="9.54296875" style="3" customWidth="1"/>
    <col min="4102" max="4102" width="9.7265625" style="3" customWidth="1"/>
    <col min="4103" max="4103" width="9.54296875" style="3" customWidth="1"/>
    <col min="4104" max="4104" width="12.54296875" style="3" customWidth="1"/>
    <col min="4105" max="4105" width="10" style="3" customWidth="1"/>
    <col min="4106" max="4106" width="9.7265625" style="3" customWidth="1"/>
    <col min="4107" max="4109" width="0" style="3" hidden="1" customWidth="1"/>
    <col min="4110" max="4353" width="9.1796875" style="3"/>
    <col min="4354" max="4354" width="13.26953125" style="3" customWidth="1"/>
    <col min="4355" max="4355" width="27.453125" style="3" customWidth="1"/>
    <col min="4356" max="4357" width="9.54296875" style="3" customWidth="1"/>
    <col min="4358" max="4358" width="9.7265625" style="3" customWidth="1"/>
    <col min="4359" max="4359" width="9.54296875" style="3" customWidth="1"/>
    <col min="4360" max="4360" width="12.54296875" style="3" customWidth="1"/>
    <col min="4361" max="4361" width="10" style="3" customWidth="1"/>
    <col min="4362" max="4362" width="9.7265625" style="3" customWidth="1"/>
    <col min="4363" max="4365" width="0" style="3" hidden="1" customWidth="1"/>
    <col min="4366" max="4609" width="9.1796875" style="3"/>
    <col min="4610" max="4610" width="13.26953125" style="3" customWidth="1"/>
    <col min="4611" max="4611" width="27.453125" style="3" customWidth="1"/>
    <col min="4612" max="4613" width="9.54296875" style="3" customWidth="1"/>
    <col min="4614" max="4614" width="9.7265625" style="3" customWidth="1"/>
    <col min="4615" max="4615" width="9.54296875" style="3" customWidth="1"/>
    <col min="4616" max="4616" width="12.54296875" style="3" customWidth="1"/>
    <col min="4617" max="4617" width="10" style="3" customWidth="1"/>
    <col min="4618" max="4618" width="9.7265625" style="3" customWidth="1"/>
    <col min="4619" max="4621" width="0" style="3" hidden="1" customWidth="1"/>
    <col min="4622" max="4865" width="9.1796875" style="3"/>
    <col min="4866" max="4866" width="13.26953125" style="3" customWidth="1"/>
    <col min="4867" max="4867" width="27.453125" style="3" customWidth="1"/>
    <col min="4868" max="4869" width="9.54296875" style="3" customWidth="1"/>
    <col min="4870" max="4870" width="9.7265625" style="3" customWidth="1"/>
    <col min="4871" max="4871" width="9.54296875" style="3" customWidth="1"/>
    <col min="4872" max="4872" width="12.54296875" style="3" customWidth="1"/>
    <col min="4873" max="4873" width="10" style="3" customWidth="1"/>
    <col min="4874" max="4874" width="9.7265625" style="3" customWidth="1"/>
    <col min="4875" max="4877" width="0" style="3" hidden="1" customWidth="1"/>
    <col min="4878" max="5121" width="9.1796875" style="3"/>
    <col min="5122" max="5122" width="13.26953125" style="3" customWidth="1"/>
    <col min="5123" max="5123" width="27.453125" style="3" customWidth="1"/>
    <col min="5124" max="5125" width="9.54296875" style="3" customWidth="1"/>
    <col min="5126" max="5126" width="9.7265625" style="3" customWidth="1"/>
    <col min="5127" max="5127" width="9.54296875" style="3" customWidth="1"/>
    <col min="5128" max="5128" width="12.54296875" style="3" customWidth="1"/>
    <col min="5129" max="5129" width="10" style="3" customWidth="1"/>
    <col min="5130" max="5130" width="9.7265625" style="3" customWidth="1"/>
    <col min="5131" max="5133" width="0" style="3" hidden="1" customWidth="1"/>
    <col min="5134" max="5377" width="9.1796875" style="3"/>
    <col min="5378" max="5378" width="13.26953125" style="3" customWidth="1"/>
    <col min="5379" max="5379" width="27.453125" style="3" customWidth="1"/>
    <col min="5380" max="5381" width="9.54296875" style="3" customWidth="1"/>
    <col min="5382" max="5382" width="9.7265625" style="3" customWidth="1"/>
    <col min="5383" max="5383" width="9.54296875" style="3" customWidth="1"/>
    <col min="5384" max="5384" width="12.54296875" style="3" customWidth="1"/>
    <col min="5385" max="5385" width="10" style="3" customWidth="1"/>
    <col min="5386" max="5386" width="9.7265625" style="3" customWidth="1"/>
    <col min="5387" max="5389" width="0" style="3" hidden="1" customWidth="1"/>
    <col min="5390" max="5633" width="9.1796875" style="3"/>
    <col min="5634" max="5634" width="13.26953125" style="3" customWidth="1"/>
    <col min="5635" max="5635" width="27.453125" style="3" customWidth="1"/>
    <col min="5636" max="5637" width="9.54296875" style="3" customWidth="1"/>
    <col min="5638" max="5638" width="9.7265625" style="3" customWidth="1"/>
    <col min="5639" max="5639" width="9.54296875" style="3" customWidth="1"/>
    <col min="5640" max="5640" width="12.54296875" style="3" customWidth="1"/>
    <col min="5641" max="5641" width="10" style="3" customWidth="1"/>
    <col min="5642" max="5642" width="9.7265625" style="3" customWidth="1"/>
    <col min="5643" max="5645" width="0" style="3" hidden="1" customWidth="1"/>
    <col min="5646" max="5889" width="9.1796875" style="3"/>
    <col min="5890" max="5890" width="13.26953125" style="3" customWidth="1"/>
    <col min="5891" max="5891" width="27.453125" style="3" customWidth="1"/>
    <col min="5892" max="5893" width="9.54296875" style="3" customWidth="1"/>
    <col min="5894" max="5894" width="9.7265625" style="3" customWidth="1"/>
    <col min="5895" max="5895" width="9.54296875" style="3" customWidth="1"/>
    <col min="5896" max="5896" width="12.54296875" style="3" customWidth="1"/>
    <col min="5897" max="5897" width="10" style="3" customWidth="1"/>
    <col min="5898" max="5898" width="9.7265625" style="3" customWidth="1"/>
    <col min="5899" max="5901" width="0" style="3" hidden="1" customWidth="1"/>
    <col min="5902" max="6145" width="9.1796875" style="3"/>
    <col min="6146" max="6146" width="13.26953125" style="3" customWidth="1"/>
    <col min="6147" max="6147" width="27.453125" style="3" customWidth="1"/>
    <col min="6148" max="6149" width="9.54296875" style="3" customWidth="1"/>
    <col min="6150" max="6150" width="9.7265625" style="3" customWidth="1"/>
    <col min="6151" max="6151" width="9.54296875" style="3" customWidth="1"/>
    <col min="6152" max="6152" width="12.54296875" style="3" customWidth="1"/>
    <col min="6153" max="6153" width="10" style="3" customWidth="1"/>
    <col min="6154" max="6154" width="9.7265625" style="3" customWidth="1"/>
    <col min="6155" max="6157" width="0" style="3" hidden="1" customWidth="1"/>
    <col min="6158" max="6401" width="9.1796875" style="3"/>
    <col min="6402" max="6402" width="13.26953125" style="3" customWidth="1"/>
    <col min="6403" max="6403" width="27.453125" style="3" customWidth="1"/>
    <col min="6404" max="6405" width="9.54296875" style="3" customWidth="1"/>
    <col min="6406" max="6406" width="9.7265625" style="3" customWidth="1"/>
    <col min="6407" max="6407" width="9.54296875" style="3" customWidth="1"/>
    <col min="6408" max="6408" width="12.54296875" style="3" customWidth="1"/>
    <col min="6409" max="6409" width="10" style="3" customWidth="1"/>
    <col min="6410" max="6410" width="9.7265625" style="3" customWidth="1"/>
    <col min="6411" max="6413" width="0" style="3" hidden="1" customWidth="1"/>
    <col min="6414" max="6657" width="9.1796875" style="3"/>
    <col min="6658" max="6658" width="13.26953125" style="3" customWidth="1"/>
    <col min="6659" max="6659" width="27.453125" style="3" customWidth="1"/>
    <col min="6660" max="6661" width="9.54296875" style="3" customWidth="1"/>
    <col min="6662" max="6662" width="9.7265625" style="3" customWidth="1"/>
    <col min="6663" max="6663" width="9.54296875" style="3" customWidth="1"/>
    <col min="6664" max="6664" width="12.54296875" style="3" customWidth="1"/>
    <col min="6665" max="6665" width="10" style="3" customWidth="1"/>
    <col min="6666" max="6666" width="9.7265625" style="3" customWidth="1"/>
    <col min="6667" max="6669" width="0" style="3" hidden="1" customWidth="1"/>
    <col min="6670" max="6913" width="9.1796875" style="3"/>
    <col min="6914" max="6914" width="13.26953125" style="3" customWidth="1"/>
    <col min="6915" max="6915" width="27.453125" style="3" customWidth="1"/>
    <col min="6916" max="6917" width="9.54296875" style="3" customWidth="1"/>
    <col min="6918" max="6918" width="9.7265625" style="3" customWidth="1"/>
    <col min="6919" max="6919" width="9.54296875" style="3" customWidth="1"/>
    <col min="6920" max="6920" width="12.54296875" style="3" customWidth="1"/>
    <col min="6921" max="6921" width="10" style="3" customWidth="1"/>
    <col min="6922" max="6922" width="9.7265625" style="3" customWidth="1"/>
    <col min="6923" max="6925" width="0" style="3" hidden="1" customWidth="1"/>
    <col min="6926" max="7169" width="9.1796875" style="3"/>
    <col min="7170" max="7170" width="13.26953125" style="3" customWidth="1"/>
    <col min="7171" max="7171" width="27.453125" style="3" customWidth="1"/>
    <col min="7172" max="7173" width="9.54296875" style="3" customWidth="1"/>
    <col min="7174" max="7174" width="9.7265625" style="3" customWidth="1"/>
    <col min="7175" max="7175" width="9.54296875" style="3" customWidth="1"/>
    <col min="7176" max="7176" width="12.54296875" style="3" customWidth="1"/>
    <col min="7177" max="7177" width="10" style="3" customWidth="1"/>
    <col min="7178" max="7178" width="9.7265625" style="3" customWidth="1"/>
    <col min="7179" max="7181" width="0" style="3" hidden="1" customWidth="1"/>
    <col min="7182" max="7425" width="9.1796875" style="3"/>
    <col min="7426" max="7426" width="13.26953125" style="3" customWidth="1"/>
    <col min="7427" max="7427" width="27.453125" style="3" customWidth="1"/>
    <col min="7428" max="7429" width="9.54296875" style="3" customWidth="1"/>
    <col min="7430" max="7430" width="9.7265625" style="3" customWidth="1"/>
    <col min="7431" max="7431" width="9.54296875" style="3" customWidth="1"/>
    <col min="7432" max="7432" width="12.54296875" style="3" customWidth="1"/>
    <col min="7433" max="7433" width="10" style="3" customWidth="1"/>
    <col min="7434" max="7434" width="9.7265625" style="3" customWidth="1"/>
    <col min="7435" max="7437" width="0" style="3" hidden="1" customWidth="1"/>
    <col min="7438" max="7681" width="9.1796875" style="3"/>
    <col min="7682" max="7682" width="13.26953125" style="3" customWidth="1"/>
    <col min="7683" max="7683" width="27.453125" style="3" customWidth="1"/>
    <col min="7684" max="7685" width="9.54296875" style="3" customWidth="1"/>
    <col min="7686" max="7686" width="9.7265625" style="3" customWidth="1"/>
    <col min="7687" max="7687" width="9.54296875" style="3" customWidth="1"/>
    <col min="7688" max="7688" width="12.54296875" style="3" customWidth="1"/>
    <col min="7689" max="7689" width="10" style="3" customWidth="1"/>
    <col min="7690" max="7690" width="9.7265625" style="3" customWidth="1"/>
    <col min="7691" max="7693" width="0" style="3" hidden="1" customWidth="1"/>
    <col min="7694" max="7937" width="9.1796875" style="3"/>
    <col min="7938" max="7938" width="13.26953125" style="3" customWidth="1"/>
    <col min="7939" max="7939" width="27.453125" style="3" customWidth="1"/>
    <col min="7940" max="7941" width="9.54296875" style="3" customWidth="1"/>
    <col min="7942" max="7942" width="9.7265625" style="3" customWidth="1"/>
    <col min="7943" max="7943" width="9.54296875" style="3" customWidth="1"/>
    <col min="7944" max="7944" width="12.54296875" style="3" customWidth="1"/>
    <col min="7945" max="7945" width="10" style="3" customWidth="1"/>
    <col min="7946" max="7946" width="9.7265625" style="3" customWidth="1"/>
    <col min="7947" max="7949" width="0" style="3" hidden="1" customWidth="1"/>
    <col min="7950" max="8193" width="9.1796875" style="3"/>
    <col min="8194" max="8194" width="13.26953125" style="3" customWidth="1"/>
    <col min="8195" max="8195" width="27.453125" style="3" customWidth="1"/>
    <col min="8196" max="8197" width="9.54296875" style="3" customWidth="1"/>
    <col min="8198" max="8198" width="9.7265625" style="3" customWidth="1"/>
    <col min="8199" max="8199" width="9.54296875" style="3" customWidth="1"/>
    <col min="8200" max="8200" width="12.54296875" style="3" customWidth="1"/>
    <col min="8201" max="8201" width="10" style="3" customWidth="1"/>
    <col min="8202" max="8202" width="9.7265625" style="3" customWidth="1"/>
    <col min="8203" max="8205" width="0" style="3" hidden="1" customWidth="1"/>
    <col min="8206" max="8449" width="9.1796875" style="3"/>
    <col min="8450" max="8450" width="13.26953125" style="3" customWidth="1"/>
    <col min="8451" max="8451" width="27.453125" style="3" customWidth="1"/>
    <col min="8452" max="8453" width="9.54296875" style="3" customWidth="1"/>
    <col min="8454" max="8454" width="9.7265625" style="3" customWidth="1"/>
    <col min="8455" max="8455" width="9.54296875" style="3" customWidth="1"/>
    <col min="8456" max="8456" width="12.54296875" style="3" customWidth="1"/>
    <col min="8457" max="8457" width="10" style="3" customWidth="1"/>
    <col min="8458" max="8458" width="9.7265625" style="3" customWidth="1"/>
    <col min="8459" max="8461" width="0" style="3" hidden="1" customWidth="1"/>
    <col min="8462" max="8705" width="9.1796875" style="3"/>
    <col min="8706" max="8706" width="13.26953125" style="3" customWidth="1"/>
    <col min="8707" max="8707" width="27.453125" style="3" customWidth="1"/>
    <col min="8708" max="8709" width="9.54296875" style="3" customWidth="1"/>
    <col min="8710" max="8710" width="9.7265625" style="3" customWidth="1"/>
    <col min="8711" max="8711" width="9.54296875" style="3" customWidth="1"/>
    <col min="8712" max="8712" width="12.54296875" style="3" customWidth="1"/>
    <col min="8713" max="8713" width="10" style="3" customWidth="1"/>
    <col min="8714" max="8714" width="9.7265625" style="3" customWidth="1"/>
    <col min="8715" max="8717" width="0" style="3" hidden="1" customWidth="1"/>
    <col min="8718" max="8961" width="9.1796875" style="3"/>
    <col min="8962" max="8962" width="13.26953125" style="3" customWidth="1"/>
    <col min="8963" max="8963" width="27.453125" style="3" customWidth="1"/>
    <col min="8964" max="8965" width="9.54296875" style="3" customWidth="1"/>
    <col min="8966" max="8966" width="9.7265625" style="3" customWidth="1"/>
    <col min="8967" max="8967" width="9.54296875" style="3" customWidth="1"/>
    <col min="8968" max="8968" width="12.54296875" style="3" customWidth="1"/>
    <col min="8969" max="8969" width="10" style="3" customWidth="1"/>
    <col min="8970" max="8970" width="9.7265625" style="3" customWidth="1"/>
    <col min="8971" max="8973" width="0" style="3" hidden="1" customWidth="1"/>
    <col min="8974" max="9217" width="9.1796875" style="3"/>
    <col min="9218" max="9218" width="13.26953125" style="3" customWidth="1"/>
    <col min="9219" max="9219" width="27.453125" style="3" customWidth="1"/>
    <col min="9220" max="9221" width="9.54296875" style="3" customWidth="1"/>
    <col min="9222" max="9222" width="9.7265625" style="3" customWidth="1"/>
    <col min="9223" max="9223" width="9.54296875" style="3" customWidth="1"/>
    <col min="9224" max="9224" width="12.54296875" style="3" customWidth="1"/>
    <col min="9225" max="9225" width="10" style="3" customWidth="1"/>
    <col min="9226" max="9226" width="9.7265625" style="3" customWidth="1"/>
    <col min="9227" max="9229" width="0" style="3" hidden="1" customWidth="1"/>
    <col min="9230" max="9473" width="9.1796875" style="3"/>
    <col min="9474" max="9474" width="13.26953125" style="3" customWidth="1"/>
    <col min="9475" max="9475" width="27.453125" style="3" customWidth="1"/>
    <col min="9476" max="9477" width="9.54296875" style="3" customWidth="1"/>
    <col min="9478" max="9478" width="9.7265625" style="3" customWidth="1"/>
    <col min="9479" max="9479" width="9.54296875" style="3" customWidth="1"/>
    <col min="9480" max="9480" width="12.54296875" style="3" customWidth="1"/>
    <col min="9481" max="9481" width="10" style="3" customWidth="1"/>
    <col min="9482" max="9482" width="9.7265625" style="3" customWidth="1"/>
    <col min="9483" max="9485" width="0" style="3" hidden="1" customWidth="1"/>
    <col min="9486" max="9729" width="9.1796875" style="3"/>
    <col min="9730" max="9730" width="13.26953125" style="3" customWidth="1"/>
    <col min="9731" max="9731" width="27.453125" style="3" customWidth="1"/>
    <col min="9732" max="9733" width="9.54296875" style="3" customWidth="1"/>
    <col min="9734" max="9734" width="9.7265625" style="3" customWidth="1"/>
    <col min="9735" max="9735" width="9.54296875" style="3" customWidth="1"/>
    <col min="9736" max="9736" width="12.54296875" style="3" customWidth="1"/>
    <col min="9737" max="9737" width="10" style="3" customWidth="1"/>
    <col min="9738" max="9738" width="9.7265625" style="3" customWidth="1"/>
    <col min="9739" max="9741" width="0" style="3" hidden="1" customWidth="1"/>
    <col min="9742" max="9985" width="9.1796875" style="3"/>
    <col min="9986" max="9986" width="13.26953125" style="3" customWidth="1"/>
    <col min="9987" max="9987" width="27.453125" style="3" customWidth="1"/>
    <col min="9988" max="9989" width="9.54296875" style="3" customWidth="1"/>
    <col min="9990" max="9990" width="9.7265625" style="3" customWidth="1"/>
    <col min="9991" max="9991" width="9.54296875" style="3" customWidth="1"/>
    <col min="9992" max="9992" width="12.54296875" style="3" customWidth="1"/>
    <col min="9993" max="9993" width="10" style="3" customWidth="1"/>
    <col min="9994" max="9994" width="9.7265625" style="3" customWidth="1"/>
    <col min="9995" max="9997" width="0" style="3" hidden="1" customWidth="1"/>
    <col min="9998" max="10241" width="9.1796875" style="3"/>
    <col min="10242" max="10242" width="13.26953125" style="3" customWidth="1"/>
    <col min="10243" max="10243" width="27.453125" style="3" customWidth="1"/>
    <col min="10244" max="10245" width="9.54296875" style="3" customWidth="1"/>
    <col min="10246" max="10246" width="9.7265625" style="3" customWidth="1"/>
    <col min="10247" max="10247" width="9.54296875" style="3" customWidth="1"/>
    <col min="10248" max="10248" width="12.54296875" style="3" customWidth="1"/>
    <col min="10249" max="10249" width="10" style="3" customWidth="1"/>
    <col min="10250" max="10250" width="9.7265625" style="3" customWidth="1"/>
    <col min="10251" max="10253" width="0" style="3" hidden="1" customWidth="1"/>
    <col min="10254" max="10497" width="9.1796875" style="3"/>
    <col min="10498" max="10498" width="13.26953125" style="3" customWidth="1"/>
    <col min="10499" max="10499" width="27.453125" style="3" customWidth="1"/>
    <col min="10500" max="10501" width="9.54296875" style="3" customWidth="1"/>
    <col min="10502" max="10502" width="9.7265625" style="3" customWidth="1"/>
    <col min="10503" max="10503" width="9.54296875" style="3" customWidth="1"/>
    <col min="10504" max="10504" width="12.54296875" style="3" customWidth="1"/>
    <col min="10505" max="10505" width="10" style="3" customWidth="1"/>
    <col min="10506" max="10506" width="9.7265625" style="3" customWidth="1"/>
    <col min="10507" max="10509" width="0" style="3" hidden="1" customWidth="1"/>
    <col min="10510" max="10753" width="9.1796875" style="3"/>
    <col min="10754" max="10754" width="13.26953125" style="3" customWidth="1"/>
    <col min="10755" max="10755" width="27.453125" style="3" customWidth="1"/>
    <col min="10756" max="10757" width="9.54296875" style="3" customWidth="1"/>
    <col min="10758" max="10758" width="9.7265625" style="3" customWidth="1"/>
    <col min="10759" max="10759" width="9.54296875" style="3" customWidth="1"/>
    <col min="10760" max="10760" width="12.54296875" style="3" customWidth="1"/>
    <col min="10761" max="10761" width="10" style="3" customWidth="1"/>
    <col min="10762" max="10762" width="9.7265625" style="3" customWidth="1"/>
    <col min="10763" max="10765" width="0" style="3" hidden="1" customWidth="1"/>
    <col min="10766" max="11009" width="9.1796875" style="3"/>
    <col min="11010" max="11010" width="13.26953125" style="3" customWidth="1"/>
    <col min="11011" max="11011" width="27.453125" style="3" customWidth="1"/>
    <col min="11012" max="11013" width="9.54296875" style="3" customWidth="1"/>
    <col min="11014" max="11014" width="9.7265625" style="3" customWidth="1"/>
    <col min="11015" max="11015" width="9.54296875" style="3" customWidth="1"/>
    <col min="11016" max="11016" width="12.54296875" style="3" customWidth="1"/>
    <col min="11017" max="11017" width="10" style="3" customWidth="1"/>
    <col min="11018" max="11018" width="9.7265625" style="3" customWidth="1"/>
    <col min="11019" max="11021" width="0" style="3" hidden="1" customWidth="1"/>
    <col min="11022" max="11265" width="9.1796875" style="3"/>
    <col min="11266" max="11266" width="13.26953125" style="3" customWidth="1"/>
    <col min="11267" max="11267" width="27.453125" style="3" customWidth="1"/>
    <col min="11268" max="11269" width="9.54296875" style="3" customWidth="1"/>
    <col min="11270" max="11270" width="9.7265625" style="3" customWidth="1"/>
    <col min="11271" max="11271" width="9.54296875" style="3" customWidth="1"/>
    <col min="11272" max="11272" width="12.54296875" style="3" customWidth="1"/>
    <col min="11273" max="11273" width="10" style="3" customWidth="1"/>
    <col min="11274" max="11274" width="9.7265625" style="3" customWidth="1"/>
    <col min="11275" max="11277" width="0" style="3" hidden="1" customWidth="1"/>
    <col min="11278" max="11521" width="9.1796875" style="3"/>
    <col min="11522" max="11522" width="13.26953125" style="3" customWidth="1"/>
    <col min="11523" max="11523" width="27.453125" style="3" customWidth="1"/>
    <col min="11524" max="11525" width="9.54296875" style="3" customWidth="1"/>
    <col min="11526" max="11526" width="9.7265625" style="3" customWidth="1"/>
    <col min="11527" max="11527" width="9.54296875" style="3" customWidth="1"/>
    <col min="11528" max="11528" width="12.54296875" style="3" customWidth="1"/>
    <col min="11529" max="11529" width="10" style="3" customWidth="1"/>
    <col min="11530" max="11530" width="9.7265625" style="3" customWidth="1"/>
    <col min="11531" max="11533" width="0" style="3" hidden="1" customWidth="1"/>
    <col min="11534" max="11777" width="9.1796875" style="3"/>
    <col min="11778" max="11778" width="13.26953125" style="3" customWidth="1"/>
    <col min="11779" max="11779" width="27.453125" style="3" customWidth="1"/>
    <col min="11780" max="11781" width="9.54296875" style="3" customWidth="1"/>
    <col min="11782" max="11782" width="9.7265625" style="3" customWidth="1"/>
    <col min="11783" max="11783" width="9.54296875" style="3" customWidth="1"/>
    <col min="11784" max="11784" width="12.54296875" style="3" customWidth="1"/>
    <col min="11785" max="11785" width="10" style="3" customWidth="1"/>
    <col min="11786" max="11786" width="9.7265625" style="3" customWidth="1"/>
    <col min="11787" max="11789" width="0" style="3" hidden="1" customWidth="1"/>
    <col min="11790" max="12033" width="9.1796875" style="3"/>
    <col min="12034" max="12034" width="13.26953125" style="3" customWidth="1"/>
    <col min="12035" max="12035" width="27.453125" style="3" customWidth="1"/>
    <col min="12036" max="12037" width="9.54296875" style="3" customWidth="1"/>
    <col min="12038" max="12038" width="9.7265625" style="3" customWidth="1"/>
    <col min="12039" max="12039" width="9.54296875" style="3" customWidth="1"/>
    <col min="12040" max="12040" width="12.54296875" style="3" customWidth="1"/>
    <col min="12041" max="12041" width="10" style="3" customWidth="1"/>
    <col min="12042" max="12042" width="9.7265625" style="3" customWidth="1"/>
    <col min="12043" max="12045" width="0" style="3" hidden="1" customWidth="1"/>
    <col min="12046" max="12289" width="9.1796875" style="3"/>
    <col min="12290" max="12290" width="13.26953125" style="3" customWidth="1"/>
    <col min="12291" max="12291" width="27.453125" style="3" customWidth="1"/>
    <col min="12292" max="12293" width="9.54296875" style="3" customWidth="1"/>
    <col min="12294" max="12294" width="9.7265625" style="3" customWidth="1"/>
    <col min="12295" max="12295" width="9.54296875" style="3" customWidth="1"/>
    <col min="12296" max="12296" width="12.54296875" style="3" customWidth="1"/>
    <col min="12297" max="12297" width="10" style="3" customWidth="1"/>
    <col min="12298" max="12298" width="9.7265625" style="3" customWidth="1"/>
    <col min="12299" max="12301" width="0" style="3" hidden="1" customWidth="1"/>
    <col min="12302" max="12545" width="9.1796875" style="3"/>
    <col min="12546" max="12546" width="13.26953125" style="3" customWidth="1"/>
    <col min="12547" max="12547" width="27.453125" style="3" customWidth="1"/>
    <col min="12548" max="12549" width="9.54296875" style="3" customWidth="1"/>
    <col min="12550" max="12550" width="9.7265625" style="3" customWidth="1"/>
    <col min="12551" max="12551" width="9.54296875" style="3" customWidth="1"/>
    <col min="12552" max="12552" width="12.54296875" style="3" customWidth="1"/>
    <col min="12553" max="12553" width="10" style="3" customWidth="1"/>
    <col min="12554" max="12554" width="9.7265625" style="3" customWidth="1"/>
    <col min="12555" max="12557" width="0" style="3" hidden="1" customWidth="1"/>
    <col min="12558" max="12801" width="9.1796875" style="3"/>
    <col min="12802" max="12802" width="13.26953125" style="3" customWidth="1"/>
    <col min="12803" max="12803" width="27.453125" style="3" customWidth="1"/>
    <col min="12804" max="12805" width="9.54296875" style="3" customWidth="1"/>
    <col min="12806" max="12806" width="9.7265625" style="3" customWidth="1"/>
    <col min="12807" max="12807" width="9.54296875" style="3" customWidth="1"/>
    <col min="12808" max="12808" width="12.54296875" style="3" customWidth="1"/>
    <col min="12809" max="12809" width="10" style="3" customWidth="1"/>
    <col min="12810" max="12810" width="9.7265625" style="3" customWidth="1"/>
    <col min="12811" max="12813" width="0" style="3" hidden="1" customWidth="1"/>
    <col min="12814" max="13057" width="9.1796875" style="3"/>
    <col min="13058" max="13058" width="13.26953125" style="3" customWidth="1"/>
    <col min="13059" max="13059" width="27.453125" style="3" customWidth="1"/>
    <col min="13060" max="13061" width="9.54296875" style="3" customWidth="1"/>
    <col min="13062" max="13062" width="9.7265625" style="3" customWidth="1"/>
    <col min="13063" max="13063" width="9.54296875" style="3" customWidth="1"/>
    <col min="13064" max="13064" width="12.54296875" style="3" customWidth="1"/>
    <col min="13065" max="13065" width="10" style="3" customWidth="1"/>
    <col min="13066" max="13066" width="9.7265625" style="3" customWidth="1"/>
    <col min="13067" max="13069" width="0" style="3" hidden="1" customWidth="1"/>
    <col min="13070" max="13313" width="9.1796875" style="3"/>
    <col min="13314" max="13314" width="13.26953125" style="3" customWidth="1"/>
    <col min="13315" max="13315" width="27.453125" style="3" customWidth="1"/>
    <col min="13316" max="13317" width="9.54296875" style="3" customWidth="1"/>
    <col min="13318" max="13318" width="9.7265625" style="3" customWidth="1"/>
    <col min="13319" max="13319" width="9.54296875" style="3" customWidth="1"/>
    <col min="13320" max="13320" width="12.54296875" style="3" customWidth="1"/>
    <col min="13321" max="13321" width="10" style="3" customWidth="1"/>
    <col min="13322" max="13322" width="9.7265625" style="3" customWidth="1"/>
    <col min="13323" max="13325" width="0" style="3" hidden="1" customWidth="1"/>
    <col min="13326" max="13569" width="9.1796875" style="3"/>
    <col min="13570" max="13570" width="13.26953125" style="3" customWidth="1"/>
    <col min="13571" max="13571" width="27.453125" style="3" customWidth="1"/>
    <col min="13572" max="13573" width="9.54296875" style="3" customWidth="1"/>
    <col min="13574" max="13574" width="9.7265625" style="3" customWidth="1"/>
    <col min="13575" max="13575" width="9.54296875" style="3" customWidth="1"/>
    <col min="13576" max="13576" width="12.54296875" style="3" customWidth="1"/>
    <col min="13577" max="13577" width="10" style="3" customWidth="1"/>
    <col min="13578" max="13578" width="9.7265625" style="3" customWidth="1"/>
    <col min="13579" max="13581" width="0" style="3" hidden="1" customWidth="1"/>
    <col min="13582" max="13825" width="9.1796875" style="3"/>
    <col min="13826" max="13826" width="13.26953125" style="3" customWidth="1"/>
    <col min="13827" max="13827" width="27.453125" style="3" customWidth="1"/>
    <col min="13828" max="13829" width="9.54296875" style="3" customWidth="1"/>
    <col min="13830" max="13830" width="9.7265625" style="3" customWidth="1"/>
    <col min="13831" max="13831" width="9.54296875" style="3" customWidth="1"/>
    <col min="13832" max="13832" width="12.54296875" style="3" customWidth="1"/>
    <col min="13833" max="13833" width="10" style="3" customWidth="1"/>
    <col min="13834" max="13834" width="9.7265625" style="3" customWidth="1"/>
    <col min="13835" max="13837" width="0" style="3" hidden="1" customWidth="1"/>
    <col min="13838" max="14081" width="9.1796875" style="3"/>
    <col min="14082" max="14082" width="13.26953125" style="3" customWidth="1"/>
    <col min="14083" max="14083" width="27.453125" style="3" customWidth="1"/>
    <col min="14084" max="14085" width="9.54296875" style="3" customWidth="1"/>
    <col min="14086" max="14086" width="9.7265625" style="3" customWidth="1"/>
    <col min="14087" max="14087" width="9.54296875" style="3" customWidth="1"/>
    <col min="14088" max="14088" width="12.54296875" style="3" customWidth="1"/>
    <col min="14089" max="14089" width="10" style="3" customWidth="1"/>
    <col min="14090" max="14090" width="9.7265625" style="3" customWidth="1"/>
    <col min="14091" max="14093" width="0" style="3" hidden="1" customWidth="1"/>
    <col min="14094" max="14337" width="9.1796875" style="3"/>
    <col min="14338" max="14338" width="13.26953125" style="3" customWidth="1"/>
    <col min="14339" max="14339" width="27.453125" style="3" customWidth="1"/>
    <col min="14340" max="14341" width="9.54296875" style="3" customWidth="1"/>
    <col min="14342" max="14342" width="9.7265625" style="3" customWidth="1"/>
    <col min="14343" max="14343" width="9.54296875" style="3" customWidth="1"/>
    <col min="14344" max="14344" width="12.54296875" style="3" customWidth="1"/>
    <col min="14345" max="14345" width="10" style="3" customWidth="1"/>
    <col min="14346" max="14346" width="9.7265625" style="3" customWidth="1"/>
    <col min="14347" max="14349" width="0" style="3" hidden="1" customWidth="1"/>
    <col min="14350" max="14593" width="9.1796875" style="3"/>
    <col min="14594" max="14594" width="13.26953125" style="3" customWidth="1"/>
    <col min="14595" max="14595" width="27.453125" style="3" customWidth="1"/>
    <col min="14596" max="14597" width="9.54296875" style="3" customWidth="1"/>
    <col min="14598" max="14598" width="9.7265625" style="3" customWidth="1"/>
    <col min="14599" max="14599" width="9.54296875" style="3" customWidth="1"/>
    <col min="14600" max="14600" width="12.54296875" style="3" customWidth="1"/>
    <col min="14601" max="14601" width="10" style="3" customWidth="1"/>
    <col min="14602" max="14602" width="9.7265625" style="3" customWidth="1"/>
    <col min="14603" max="14605" width="0" style="3" hidden="1" customWidth="1"/>
    <col min="14606" max="14849" width="9.1796875" style="3"/>
    <col min="14850" max="14850" width="13.26953125" style="3" customWidth="1"/>
    <col min="14851" max="14851" width="27.453125" style="3" customWidth="1"/>
    <col min="14852" max="14853" width="9.54296875" style="3" customWidth="1"/>
    <col min="14854" max="14854" width="9.7265625" style="3" customWidth="1"/>
    <col min="14855" max="14855" width="9.54296875" style="3" customWidth="1"/>
    <col min="14856" max="14856" width="12.54296875" style="3" customWidth="1"/>
    <col min="14857" max="14857" width="10" style="3" customWidth="1"/>
    <col min="14858" max="14858" width="9.7265625" style="3" customWidth="1"/>
    <col min="14859" max="14861" width="0" style="3" hidden="1" customWidth="1"/>
    <col min="14862" max="15105" width="9.1796875" style="3"/>
    <col min="15106" max="15106" width="13.26953125" style="3" customWidth="1"/>
    <col min="15107" max="15107" width="27.453125" style="3" customWidth="1"/>
    <col min="15108" max="15109" width="9.54296875" style="3" customWidth="1"/>
    <col min="15110" max="15110" width="9.7265625" style="3" customWidth="1"/>
    <col min="15111" max="15111" width="9.54296875" style="3" customWidth="1"/>
    <col min="15112" max="15112" width="12.54296875" style="3" customWidth="1"/>
    <col min="15113" max="15113" width="10" style="3" customWidth="1"/>
    <col min="15114" max="15114" width="9.7265625" style="3" customWidth="1"/>
    <col min="15115" max="15117" width="0" style="3" hidden="1" customWidth="1"/>
    <col min="15118" max="15361" width="9.1796875" style="3"/>
    <col min="15362" max="15362" width="13.26953125" style="3" customWidth="1"/>
    <col min="15363" max="15363" width="27.453125" style="3" customWidth="1"/>
    <col min="15364" max="15365" width="9.54296875" style="3" customWidth="1"/>
    <col min="15366" max="15366" width="9.7265625" style="3" customWidth="1"/>
    <col min="15367" max="15367" width="9.54296875" style="3" customWidth="1"/>
    <col min="15368" max="15368" width="12.54296875" style="3" customWidth="1"/>
    <col min="15369" max="15369" width="10" style="3" customWidth="1"/>
    <col min="15370" max="15370" width="9.7265625" style="3" customWidth="1"/>
    <col min="15371" max="15373" width="0" style="3" hidden="1" customWidth="1"/>
    <col min="15374" max="15617" width="9.1796875" style="3"/>
    <col min="15618" max="15618" width="13.26953125" style="3" customWidth="1"/>
    <col min="15619" max="15619" width="27.453125" style="3" customWidth="1"/>
    <col min="15620" max="15621" width="9.54296875" style="3" customWidth="1"/>
    <col min="15622" max="15622" width="9.7265625" style="3" customWidth="1"/>
    <col min="15623" max="15623" width="9.54296875" style="3" customWidth="1"/>
    <col min="15624" max="15624" width="12.54296875" style="3" customWidth="1"/>
    <col min="15625" max="15625" width="10" style="3" customWidth="1"/>
    <col min="15626" max="15626" width="9.7265625" style="3" customWidth="1"/>
    <col min="15627" max="15629" width="0" style="3" hidden="1" customWidth="1"/>
    <col min="15630" max="15873" width="9.1796875" style="3"/>
    <col min="15874" max="15874" width="13.26953125" style="3" customWidth="1"/>
    <col min="15875" max="15875" width="27.453125" style="3" customWidth="1"/>
    <col min="15876" max="15877" width="9.54296875" style="3" customWidth="1"/>
    <col min="15878" max="15878" width="9.7265625" style="3" customWidth="1"/>
    <col min="15879" max="15879" width="9.54296875" style="3" customWidth="1"/>
    <col min="15880" max="15880" width="12.54296875" style="3" customWidth="1"/>
    <col min="15881" max="15881" width="10" style="3" customWidth="1"/>
    <col min="15882" max="15882" width="9.7265625" style="3" customWidth="1"/>
    <col min="15883" max="15885" width="0" style="3" hidden="1" customWidth="1"/>
    <col min="15886" max="16129" width="9.1796875" style="3"/>
    <col min="16130" max="16130" width="13.26953125" style="3" customWidth="1"/>
    <col min="16131" max="16131" width="27.453125" style="3" customWidth="1"/>
    <col min="16132" max="16133" width="9.54296875" style="3" customWidth="1"/>
    <col min="16134" max="16134" width="9.7265625" style="3" customWidth="1"/>
    <col min="16135" max="16135" width="9.54296875" style="3" customWidth="1"/>
    <col min="16136" max="16136" width="12.54296875" style="3" customWidth="1"/>
    <col min="16137" max="16137" width="10" style="3" customWidth="1"/>
    <col min="16138" max="16138" width="9.7265625" style="3" customWidth="1"/>
    <col min="16139" max="16141" width="0" style="3" hidden="1" customWidth="1"/>
    <col min="16142" max="16384" width="9.1796875" style="3"/>
  </cols>
  <sheetData>
    <row r="1" spans="1:19" s="1" customFormat="1" x14ac:dyDescent="0.35">
      <c r="A1" s="1228" t="s">
        <v>0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279"/>
      <c r="M1" s="279"/>
      <c r="N1" s="581"/>
    </row>
    <row r="2" spans="1:19" s="1" customFormat="1" x14ac:dyDescent="0.35">
      <c r="A2" s="1228" t="s">
        <v>297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279"/>
      <c r="M2" s="279"/>
      <c r="N2" s="581"/>
    </row>
    <row r="3" spans="1:19" s="1" customFormat="1" x14ac:dyDescent="0.35">
      <c r="A3" s="1229">
        <v>2020</v>
      </c>
      <c r="B3" s="1229"/>
      <c r="C3" s="1229"/>
      <c r="D3" s="1229"/>
      <c r="E3" s="1229"/>
      <c r="F3" s="1229"/>
      <c r="G3" s="1229"/>
      <c r="H3" s="1229"/>
      <c r="I3" s="1229"/>
      <c r="J3" s="1229"/>
      <c r="K3" s="1229"/>
      <c r="L3" s="544"/>
      <c r="M3" s="544"/>
      <c r="N3" s="581"/>
    </row>
    <row r="5" spans="1:19" ht="9" customHeight="1" thickBot="1" x14ac:dyDescent="0.4"/>
    <row r="6" spans="1:19" s="1" customFormat="1" x14ac:dyDescent="0.35">
      <c r="A6" s="1217" t="s">
        <v>3</v>
      </c>
      <c r="B6" s="1218"/>
      <c r="C6" s="1218"/>
      <c r="D6" s="1218"/>
      <c r="E6" s="1218"/>
      <c r="F6" s="1218"/>
      <c r="G6" s="1218"/>
      <c r="H6" s="1218"/>
      <c r="I6" s="1218"/>
      <c r="J6" s="1218"/>
      <c r="K6" s="1218"/>
      <c r="L6" s="1230"/>
      <c r="M6" s="584"/>
      <c r="N6" s="581"/>
      <c r="O6" s="1" t="s">
        <v>299</v>
      </c>
      <c r="Q6" s="1" t="s">
        <v>300</v>
      </c>
      <c r="S6" s="1" t="s">
        <v>301</v>
      </c>
    </row>
    <row r="7" spans="1:19" s="1" customFormat="1" ht="16" thickBot="1" x14ac:dyDescent="0.4">
      <c r="A7" s="585"/>
      <c r="B7" s="2"/>
      <c r="C7" s="5"/>
      <c r="D7" s="586"/>
      <c r="E7" s="5"/>
      <c r="F7" s="5"/>
      <c r="G7" s="5"/>
      <c r="H7" s="5"/>
      <c r="I7" s="5"/>
      <c r="J7" s="3"/>
      <c r="K7" s="21"/>
      <c r="L7" s="587"/>
      <c r="M7" s="21"/>
      <c r="N7" s="581"/>
      <c r="O7" s="22">
        <f>C34+C68+C81+C89+C105+C144+C165</f>
        <v>457.84999999999997</v>
      </c>
      <c r="Q7" s="22">
        <f>C199+C229+C241+C262</f>
        <v>330.18</v>
      </c>
      <c r="S7" s="22">
        <f>C174+C295+C313+C342+C358+C369</f>
        <v>286.68200000000002</v>
      </c>
    </row>
    <row r="8" spans="1:19" s="1" customFormat="1" ht="21" customHeight="1" x14ac:dyDescent="0.35">
      <c r="A8" s="1206" t="s">
        <v>302</v>
      </c>
      <c r="B8" s="1208" t="s">
        <v>28</v>
      </c>
      <c r="C8" s="1210" t="s">
        <v>303</v>
      </c>
      <c r="D8" s="1231" t="s">
        <v>304</v>
      </c>
      <c r="E8" s="1212" t="s">
        <v>305</v>
      </c>
      <c r="F8" s="1212"/>
      <c r="G8" s="1212"/>
      <c r="H8" s="1212"/>
      <c r="I8" s="1212"/>
      <c r="J8" s="1208" t="s">
        <v>29</v>
      </c>
      <c r="K8" s="1213" t="s">
        <v>306</v>
      </c>
      <c r="L8" s="1222" t="s">
        <v>307</v>
      </c>
      <c r="M8" s="588"/>
      <c r="N8" s="581"/>
    </row>
    <row r="9" spans="1:19" s="1" customFormat="1" ht="31.5" customHeight="1" thickBot="1" x14ac:dyDescent="0.4">
      <c r="A9" s="1207"/>
      <c r="B9" s="1209"/>
      <c r="C9" s="1211"/>
      <c r="D9" s="1232"/>
      <c r="E9" s="7" t="s">
        <v>308</v>
      </c>
      <c r="F9" s="7" t="s">
        <v>309</v>
      </c>
      <c r="G9" s="7" t="s">
        <v>310</v>
      </c>
      <c r="H9" s="7" t="s">
        <v>311</v>
      </c>
      <c r="I9" s="7" t="s">
        <v>312</v>
      </c>
      <c r="J9" s="1209"/>
      <c r="K9" s="1214"/>
      <c r="L9" s="1223"/>
      <c r="M9" s="588"/>
      <c r="N9" s="1" t="s">
        <v>143</v>
      </c>
      <c r="O9" s="22">
        <f>O7+Q7+S7</f>
        <v>1074.712</v>
      </c>
      <c r="Q9" s="22">
        <f>O13-O9</f>
        <v>160.85300000000007</v>
      </c>
      <c r="S9" s="1">
        <f>(O9/O13)*100</f>
        <v>86.98142145496189</v>
      </c>
    </row>
    <row r="10" spans="1:19" s="16" customFormat="1" ht="17.149999999999999" customHeight="1" x14ac:dyDescent="0.35">
      <c r="A10" s="589">
        <v>219</v>
      </c>
      <c r="B10" s="110" t="s">
        <v>214</v>
      </c>
      <c r="C10" s="15">
        <f>'inventory2022 (FINAL)'!E8</f>
        <v>0.65</v>
      </c>
      <c r="D10" s="590">
        <f>'[23]road inventory 2018'!C10</f>
        <v>0.65</v>
      </c>
      <c r="E10" s="15">
        <f>'inventory2022 (FINAL)'!F8</f>
        <v>0.25</v>
      </c>
      <c r="F10" s="15">
        <f>'inventory2022 (FINAL)'!G8</f>
        <v>0</v>
      </c>
      <c r="G10" s="15">
        <f>'inventory2022 (FINAL)'!H8</f>
        <v>0</v>
      </c>
      <c r="H10" s="15">
        <f>'inventory2022 (FINAL)'!I8</f>
        <v>0.4</v>
      </c>
      <c r="I10" s="15">
        <v>0</v>
      </c>
      <c r="J10" s="106" t="s">
        <v>12</v>
      </c>
      <c r="K10" s="591" t="s">
        <v>313</v>
      </c>
      <c r="L10" s="592"/>
      <c r="M10" s="593"/>
      <c r="N10" s="16" t="s">
        <v>4</v>
      </c>
    </row>
    <row r="11" spans="1:19" s="16" customFormat="1" ht="16.5" customHeight="1" x14ac:dyDescent="0.35">
      <c r="A11" s="589">
        <v>1</v>
      </c>
      <c r="B11" s="14" t="s">
        <v>314</v>
      </c>
      <c r="C11" s="15">
        <f>'inventory2022 (FINAL)'!E9</f>
        <v>5.5</v>
      </c>
      <c r="D11" s="590">
        <f>'[23]road inventory 2018'!C11</f>
        <v>5.5</v>
      </c>
      <c r="E11" s="15">
        <f>'inventory2022 (FINAL)'!F9</f>
        <v>4.88</v>
      </c>
      <c r="F11" s="15">
        <f>'inventory2022 (FINAL)'!G9</f>
        <v>0</v>
      </c>
      <c r="G11" s="15">
        <f>'inventory2022 (FINAL)'!H9</f>
        <v>0</v>
      </c>
      <c r="H11" s="15">
        <f>'inventory2022 (FINAL)'!I9</f>
        <v>0.62</v>
      </c>
      <c r="I11" s="594">
        <v>0</v>
      </c>
      <c r="J11" s="24" t="s">
        <v>12</v>
      </c>
      <c r="K11" s="591" t="s">
        <v>315</v>
      </c>
      <c r="L11" s="24"/>
      <c r="M11" s="593"/>
      <c r="N11" s="16" t="s">
        <v>10</v>
      </c>
      <c r="O11" s="595">
        <f>D34+D68+D81+D88+D105+D144+D165</f>
        <v>453.35</v>
      </c>
      <c r="Q11" s="595">
        <f>D199+D214+D229+D241+D262</f>
        <v>417.85</v>
      </c>
      <c r="S11" s="595">
        <f>D174+D280+D295+D313+D342+D358+D369+C375</f>
        <v>364.36500000000001</v>
      </c>
    </row>
    <row r="12" spans="1:19" ht="16.5" customHeight="1" x14ac:dyDescent="0.35">
      <c r="A12" s="596">
        <v>2</v>
      </c>
      <c r="B12" s="9" t="s">
        <v>212</v>
      </c>
      <c r="C12" s="15">
        <f>'inventory2022 (FINAL)'!E10</f>
        <v>0.8</v>
      </c>
      <c r="D12" s="590">
        <f>'[23]road inventory 2018'!C12</f>
        <v>0.8</v>
      </c>
      <c r="E12" s="15">
        <f>'inventory2022 (FINAL)'!F10</f>
        <v>7.0000000000000007E-2</v>
      </c>
      <c r="F12" s="15">
        <f>'inventory2022 (FINAL)'!G10</f>
        <v>0</v>
      </c>
      <c r="G12" s="15">
        <f>'inventory2022 (FINAL)'!H10</f>
        <v>0</v>
      </c>
      <c r="H12" s="15">
        <f>'inventory2022 (FINAL)'!I10</f>
        <v>0.73</v>
      </c>
      <c r="I12" s="11">
        <v>0</v>
      </c>
      <c r="J12" s="28" t="s">
        <v>10</v>
      </c>
      <c r="K12" s="597" t="s">
        <v>316</v>
      </c>
      <c r="L12" s="28"/>
      <c r="N12" s="3" t="s">
        <v>317</v>
      </c>
    </row>
    <row r="13" spans="1:19" s="16" customFormat="1" ht="17.149999999999999" customHeight="1" x14ac:dyDescent="0.35">
      <c r="A13" s="589">
        <v>3</v>
      </c>
      <c r="B13" s="14" t="s">
        <v>217</v>
      </c>
      <c r="C13" s="15">
        <f>'inventory2022 (FINAL)'!E11</f>
        <v>4.9000000000000004</v>
      </c>
      <c r="D13" s="590">
        <f>'[23]road inventory 2018'!C13</f>
        <v>4.9000000000000004</v>
      </c>
      <c r="E13" s="15">
        <f>'inventory2022 (FINAL)'!F11</f>
        <v>0</v>
      </c>
      <c r="F13" s="15">
        <f>'inventory2022 (FINAL)'!G11</f>
        <v>0</v>
      </c>
      <c r="G13" s="15">
        <f>'inventory2022 (FINAL)'!H11</f>
        <v>0</v>
      </c>
      <c r="H13" s="15">
        <f>'inventory2022 (FINAL)'!I11</f>
        <v>4.9000000000000004</v>
      </c>
      <c r="I13" s="594">
        <v>0</v>
      </c>
      <c r="J13" s="106" t="s">
        <v>12</v>
      </c>
      <c r="K13" s="591" t="s">
        <v>318</v>
      </c>
      <c r="L13" s="24"/>
      <c r="M13" s="593"/>
      <c r="N13" s="16" t="s">
        <v>33</v>
      </c>
      <c r="O13" s="595">
        <f>O11+Q11+S11</f>
        <v>1235.5650000000001</v>
      </c>
    </row>
    <row r="14" spans="1:19" ht="17.149999999999999" customHeight="1" x14ac:dyDescent="0.35">
      <c r="A14" s="596">
        <v>4</v>
      </c>
      <c r="B14" s="9" t="s">
        <v>211</v>
      </c>
      <c r="C14" s="15">
        <f>'inventory2022 (FINAL)'!E12</f>
        <v>2.7</v>
      </c>
      <c r="D14" s="590">
        <f>'[23]road inventory 2018'!C14</f>
        <v>2.7</v>
      </c>
      <c r="E14" s="15">
        <f>'inventory2022 (FINAL)'!F12</f>
        <v>0</v>
      </c>
      <c r="F14" s="15">
        <f>'inventory2022 (FINAL)'!G12</f>
        <v>0</v>
      </c>
      <c r="G14" s="15">
        <f>'inventory2022 (FINAL)'!H12</f>
        <v>0</v>
      </c>
      <c r="H14" s="15">
        <f>'inventory2022 (FINAL)'!I12</f>
        <v>2.7</v>
      </c>
      <c r="I14" s="11">
        <v>0</v>
      </c>
      <c r="J14" s="103" t="s">
        <v>33</v>
      </c>
      <c r="K14" s="597" t="s">
        <v>320</v>
      </c>
      <c r="L14" s="28"/>
      <c r="N14" s="3" t="s">
        <v>41</v>
      </c>
    </row>
    <row r="15" spans="1:19" ht="17.149999999999999" customHeight="1" x14ac:dyDescent="0.35">
      <c r="A15" s="596">
        <v>93</v>
      </c>
      <c r="B15" s="9" t="s">
        <v>13</v>
      </c>
      <c r="C15" s="15">
        <f>'inventory2022 (FINAL)'!E13</f>
        <v>3.9</v>
      </c>
      <c r="D15" s="590">
        <f>'[23]road inventory 2018'!C15</f>
        <v>3.9</v>
      </c>
      <c r="E15" s="15">
        <f>'inventory2022 (FINAL)'!F13</f>
        <v>3.79</v>
      </c>
      <c r="F15" s="15">
        <f>'inventory2022 (FINAL)'!G13</f>
        <v>0</v>
      </c>
      <c r="G15" s="15">
        <f>'inventory2022 (FINAL)'!H13</f>
        <v>0</v>
      </c>
      <c r="H15" s="15">
        <f>'inventory2022 (FINAL)'!I13</f>
        <v>0.11</v>
      </c>
      <c r="I15" s="11">
        <v>0</v>
      </c>
      <c r="J15" s="103" t="str">
        <f>N11</f>
        <v>Good</v>
      </c>
      <c r="K15" s="597" t="s">
        <v>320</v>
      </c>
      <c r="L15" s="28"/>
      <c r="O15" s="38">
        <f>D280+D287+D292+D302+D307+D308+D309+D311+D322+D330+D335+D337+D340+D353+D354+D355+D356</f>
        <v>175.05999999999997</v>
      </c>
      <c r="Q15" s="38">
        <f>Q9-O15</f>
        <v>-14.206999999999908</v>
      </c>
    </row>
    <row r="16" spans="1:19" s="16" customFormat="1" ht="17.149999999999999" customHeight="1" x14ac:dyDescent="0.35">
      <c r="A16" s="589">
        <v>218</v>
      </c>
      <c r="B16" s="14" t="s">
        <v>213</v>
      </c>
      <c r="C16" s="15">
        <f>'inventory2022 (FINAL)'!E14</f>
        <v>5.8</v>
      </c>
      <c r="D16" s="590">
        <f>'[23]road inventory 2018'!C16</f>
        <v>5.8</v>
      </c>
      <c r="E16" s="15">
        <f>'inventory2022 (FINAL)'!F14</f>
        <v>0</v>
      </c>
      <c r="F16" s="15">
        <f>'inventory2022 (FINAL)'!G14</f>
        <v>0</v>
      </c>
      <c r="G16" s="15">
        <f>'inventory2022 (FINAL)'!H14</f>
        <v>0</v>
      </c>
      <c r="H16" s="15">
        <f>'inventory2022 (FINAL)'!I14</f>
        <v>5.8</v>
      </c>
      <c r="I16" s="594">
        <v>0</v>
      </c>
      <c r="J16" s="106" t="s">
        <v>12</v>
      </c>
      <c r="K16" s="591" t="s">
        <v>316</v>
      </c>
      <c r="L16" s="24"/>
      <c r="M16" s="593"/>
      <c r="N16" s="598"/>
    </row>
    <row r="17" spans="1:17" s="16" customFormat="1" ht="17.149999999999999" customHeight="1" x14ac:dyDescent="0.35">
      <c r="A17" s="589">
        <v>5</v>
      </c>
      <c r="B17" s="14" t="s">
        <v>16</v>
      </c>
      <c r="C17" s="15">
        <f>'inventory2022 (FINAL)'!E15</f>
        <v>2.8</v>
      </c>
      <c r="D17" s="590">
        <f>'[23]road inventory 2018'!C17</f>
        <v>2.8</v>
      </c>
      <c r="E17" s="15">
        <f>'inventory2022 (FINAL)'!F15</f>
        <v>2.8</v>
      </c>
      <c r="F17" s="15">
        <f>'inventory2022 (FINAL)'!G15</f>
        <v>0</v>
      </c>
      <c r="G17" s="15">
        <f>'inventory2022 (FINAL)'!H15</f>
        <v>0</v>
      </c>
      <c r="H17" s="15">
        <f>'inventory2022 (FINAL)'!I15</f>
        <v>0</v>
      </c>
      <c r="I17" s="594">
        <v>0</v>
      </c>
      <c r="J17" s="106" t="s">
        <v>10</v>
      </c>
      <c r="K17" s="591" t="s">
        <v>320</v>
      </c>
      <c r="L17" s="24"/>
      <c r="M17" s="593"/>
      <c r="N17" s="598"/>
      <c r="O17" s="595">
        <f>D28+D45+D50+D76+Q65</f>
        <v>7.5</v>
      </c>
    </row>
    <row r="18" spans="1:17" ht="17.149999999999999" customHeight="1" x14ac:dyDescent="0.35">
      <c r="A18" s="596">
        <v>6</v>
      </c>
      <c r="B18" s="9" t="s">
        <v>220</v>
      </c>
      <c r="C18" s="15">
        <f>'inventory2022 (FINAL)'!E16</f>
        <v>3.9</v>
      </c>
      <c r="D18" s="590">
        <f>'[23]road inventory 2018'!C18</f>
        <v>3.9</v>
      </c>
      <c r="E18" s="15">
        <f>'inventory2022 (FINAL)'!F16</f>
        <v>3.5</v>
      </c>
      <c r="F18" s="15">
        <f>'inventory2022 (FINAL)'!G16</f>
        <v>0</v>
      </c>
      <c r="G18" s="15">
        <f>'inventory2022 (FINAL)'!H16</f>
        <v>0</v>
      </c>
      <c r="H18" s="15">
        <f>'inventory2022 (FINAL)'!I16</f>
        <v>0.4</v>
      </c>
      <c r="I18" s="11">
        <v>0</v>
      </c>
      <c r="J18" s="103" t="s">
        <v>10</v>
      </c>
      <c r="K18" s="597" t="s">
        <v>315</v>
      </c>
      <c r="L18" s="28"/>
    </row>
    <row r="19" spans="1:17" s="16" customFormat="1" ht="17.149999999999999" customHeight="1" x14ac:dyDescent="0.35">
      <c r="A19" s="589">
        <v>7</v>
      </c>
      <c r="B19" s="14" t="s">
        <v>205</v>
      </c>
      <c r="C19" s="15">
        <f>'inventory2022 (FINAL)'!E17</f>
        <v>1.1000000000000001</v>
      </c>
      <c r="D19" s="590">
        <f>'[23]road inventory 2018'!C19</f>
        <v>1.1000000000000001</v>
      </c>
      <c r="E19" s="15">
        <f>'inventory2022 (FINAL)'!F17</f>
        <v>1.1000000000000001</v>
      </c>
      <c r="F19" s="15">
        <f>'inventory2022 (FINAL)'!G17</f>
        <v>0</v>
      </c>
      <c r="G19" s="15">
        <f>'inventory2022 (FINAL)'!H17</f>
        <v>0</v>
      </c>
      <c r="H19" s="15">
        <f>'inventory2022 (FINAL)'!I17</f>
        <v>0</v>
      </c>
      <c r="I19" s="594">
        <v>0</v>
      </c>
      <c r="J19" s="106" t="s">
        <v>10</v>
      </c>
      <c r="K19" s="591" t="s">
        <v>321</v>
      </c>
      <c r="L19" s="24"/>
      <c r="M19" s="593"/>
      <c r="N19" s="599" t="s">
        <v>322</v>
      </c>
      <c r="Q19" s="16" t="s">
        <v>323</v>
      </c>
    </row>
    <row r="20" spans="1:17" s="16" customFormat="1" ht="17.149999999999999" customHeight="1" x14ac:dyDescent="0.35">
      <c r="A20" s="589">
        <v>8</v>
      </c>
      <c r="B20" s="14" t="s">
        <v>324</v>
      </c>
      <c r="C20" s="15">
        <f>'inventory2022 (FINAL)'!E18</f>
        <v>0.6</v>
      </c>
      <c r="D20" s="590">
        <f>'[23]road inventory 2018'!C20</f>
        <v>0.6</v>
      </c>
      <c r="E20" s="15">
        <f>'inventory2022 (FINAL)'!F18</f>
        <v>0.6</v>
      </c>
      <c r="F20" s="15">
        <f>'inventory2022 (FINAL)'!G18</f>
        <v>0</v>
      </c>
      <c r="G20" s="15">
        <f>'inventory2022 (FINAL)'!H18</f>
        <v>0</v>
      </c>
      <c r="H20" s="15">
        <f>'inventory2022 (FINAL)'!I18</f>
        <v>0</v>
      </c>
      <c r="I20" s="594">
        <v>0</v>
      </c>
      <c r="J20" s="106" t="s">
        <v>10</v>
      </c>
      <c r="K20" s="591" t="s">
        <v>325</v>
      </c>
      <c r="L20" s="24"/>
      <c r="M20" s="593"/>
      <c r="N20" s="16" t="s">
        <v>182</v>
      </c>
      <c r="O20" s="595">
        <f>C10+C11+C12+C13+C15+C16+C17+C18+C19+C20+C21+C22+C23+C24+C27+C29+C30+C31+C32</f>
        <v>81.15000000000002</v>
      </c>
      <c r="Q20" s="595">
        <f>O20</f>
        <v>81.15000000000002</v>
      </c>
    </row>
    <row r="21" spans="1:17" s="16" customFormat="1" ht="17.149999999999999" customHeight="1" x14ac:dyDescent="0.35">
      <c r="A21" s="589">
        <v>9</v>
      </c>
      <c r="B21" s="14" t="s">
        <v>19</v>
      </c>
      <c r="C21" s="15">
        <f>'inventory2022 (FINAL)'!E19</f>
        <v>9</v>
      </c>
      <c r="D21" s="590">
        <f>'[23]road inventory 2018'!C21</f>
        <v>9</v>
      </c>
      <c r="E21" s="15">
        <f>'inventory2022 (FINAL)'!F19</f>
        <v>8.6460000000000008</v>
      </c>
      <c r="F21" s="15">
        <f>'inventory2022 (FINAL)'!G19</f>
        <v>0</v>
      </c>
      <c r="G21" s="15">
        <f>'inventory2022 (FINAL)'!H19</f>
        <v>0</v>
      </c>
      <c r="H21" s="15">
        <f>'inventory2022 (FINAL)'!I19</f>
        <v>0.35399999999999998</v>
      </c>
      <c r="I21" s="594">
        <v>0</v>
      </c>
      <c r="J21" s="106" t="s">
        <v>10</v>
      </c>
      <c r="K21" s="591" t="s">
        <v>326</v>
      </c>
      <c r="L21" s="24"/>
      <c r="M21" s="593"/>
      <c r="N21" s="598" t="s">
        <v>183</v>
      </c>
      <c r="O21" s="595">
        <f>C41+C42+C43+C44+C45+C46+C47+C48+C49+C50+C51++C52+C55+C56+C57+C58+C59+C60+C61+C64+C67</f>
        <v>74.8</v>
      </c>
      <c r="Q21" s="595">
        <f>O21</f>
        <v>74.8</v>
      </c>
    </row>
    <row r="22" spans="1:17" s="16" customFormat="1" ht="17.149999999999999" customHeight="1" x14ac:dyDescent="0.35">
      <c r="A22" s="589">
        <v>10</v>
      </c>
      <c r="B22" s="14" t="s">
        <v>23</v>
      </c>
      <c r="C22" s="15">
        <f>'inventory2022 (FINAL)'!E20</f>
        <v>13.6</v>
      </c>
      <c r="D22" s="590">
        <f>'[23]road inventory 2018'!C22</f>
        <v>13.6</v>
      </c>
      <c r="E22" s="15">
        <f>'inventory2022 (FINAL)'!F20</f>
        <v>10.120000000000001</v>
      </c>
      <c r="F22" s="15">
        <f>'inventory2022 (FINAL)'!G20</f>
        <v>0</v>
      </c>
      <c r="G22" s="15">
        <f>'inventory2022 (FINAL)'!H20</f>
        <v>0</v>
      </c>
      <c r="H22" s="15">
        <f>'inventory2022 (FINAL)'!I20</f>
        <v>3.48</v>
      </c>
      <c r="I22" s="594">
        <v>0</v>
      </c>
      <c r="J22" s="106" t="str">
        <f>J21</f>
        <v>Good</v>
      </c>
      <c r="K22" s="591" t="s">
        <v>327</v>
      </c>
      <c r="L22" s="24"/>
      <c r="M22" s="593"/>
      <c r="N22" s="598" t="s">
        <v>184</v>
      </c>
      <c r="O22" s="595">
        <f>C74+C75+C76+C77+C78+C79</f>
        <v>28.35</v>
      </c>
      <c r="Q22" s="595">
        <f>O22</f>
        <v>28.35</v>
      </c>
    </row>
    <row r="23" spans="1:17" s="16" customFormat="1" ht="17.149999999999999" customHeight="1" x14ac:dyDescent="0.35">
      <c r="A23" s="589">
        <v>11</v>
      </c>
      <c r="B23" s="14" t="s">
        <v>223</v>
      </c>
      <c r="C23" s="15">
        <f>'inventory2022 (FINAL)'!E21</f>
        <v>2.2000000000000002</v>
      </c>
      <c r="D23" s="590">
        <f>'[23]road inventory 2018'!C23</f>
        <v>2.2000000000000002</v>
      </c>
      <c r="E23" s="15">
        <f>'inventory2022 (FINAL)'!F21</f>
        <v>1.3</v>
      </c>
      <c r="F23" s="15">
        <f>'inventory2022 (FINAL)'!G21</f>
        <v>0</v>
      </c>
      <c r="G23" s="15">
        <f>'inventory2022 (FINAL)'!H21</f>
        <v>0</v>
      </c>
      <c r="H23" s="15">
        <f>'inventory2022 (FINAL)'!I21</f>
        <v>0.9</v>
      </c>
      <c r="I23" s="594">
        <v>0</v>
      </c>
      <c r="J23" s="106" t="s">
        <v>12</v>
      </c>
      <c r="K23" s="591" t="s">
        <v>328</v>
      </c>
      <c r="L23" s="24"/>
      <c r="M23" s="593"/>
      <c r="N23" s="598" t="s">
        <v>185</v>
      </c>
      <c r="O23" s="600">
        <f>C88</f>
        <v>3.1</v>
      </c>
      <c r="Q23" s="600">
        <f>O23</f>
        <v>3.1</v>
      </c>
    </row>
    <row r="24" spans="1:17" s="16" customFormat="1" ht="17.149999999999999" customHeight="1" x14ac:dyDescent="0.35">
      <c r="A24" s="589">
        <v>13</v>
      </c>
      <c r="B24" s="14" t="s">
        <v>218</v>
      </c>
      <c r="C24" s="15">
        <f>'inventory2022 (FINAL)'!E22</f>
        <v>1.7</v>
      </c>
      <c r="D24" s="590">
        <f>'[23]road inventory 2018'!C24</f>
        <v>1.7</v>
      </c>
      <c r="E24" s="15">
        <f>'inventory2022 (FINAL)'!F22</f>
        <v>0</v>
      </c>
      <c r="F24" s="15">
        <f>'inventory2022 (FINAL)'!G22</f>
        <v>0</v>
      </c>
      <c r="G24" s="15">
        <f>'inventory2022 (FINAL)'!H22</f>
        <v>0</v>
      </c>
      <c r="H24" s="15">
        <f>'inventory2022 (FINAL)'!I22</f>
        <v>1.7</v>
      </c>
      <c r="I24" s="594">
        <v>0</v>
      </c>
      <c r="J24" s="106" t="s">
        <v>12</v>
      </c>
      <c r="K24" s="591" t="s">
        <v>329</v>
      </c>
      <c r="L24" s="24"/>
      <c r="M24" s="593"/>
      <c r="N24" s="598" t="s">
        <v>330</v>
      </c>
      <c r="O24" s="595">
        <f>C96+C98+C99+C100+C101+C102</f>
        <v>27.1</v>
      </c>
      <c r="Q24" s="595">
        <f>O24</f>
        <v>27.1</v>
      </c>
    </row>
    <row r="25" spans="1:17" ht="17.149999999999999" customHeight="1" x14ac:dyDescent="0.35">
      <c r="A25" s="596">
        <v>12</v>
      </c>
      <c r="B25" s="9" t="s">
        <v>222</v>
      </c>
      <c r="C25" s="15">
        <f>'inventory2022 (FINAL)'!E23</f>
        <v>1.6</v>
      </c>
      <c r="D25" s="590">
        <f>'[23]road inventory 2018'!C25</f>
        <v>1.6</v>
      </c>
      <c r="E25" s="15">
        <f>'inventory2022 (FINAL)'!F23</f>
        <v>0</v>
      </c>
      <c r="F25" s="15">
        <f>'inventory2022 (FINAL)'!G23</f>
        <v>0</v>
      </c>
      <c r="G25" s="15">
        <f>'inventory2022 (FINAL)'!H23</f>
        <v>0</v>
      </c>
      <c r="H25" s="15">
        <f>'inventory2022 (FINAL)'!I23</f>
        <v>1.6</v>
      </c>
      <c r="I25" s="11">
        <v>0</v>
      </c>
      <c r="J25" s="103" t="s">
        <v>33</v>
      </c>
      <c r="K25" s="597" t="s">
        <v>331</v>
      </c>
      <c r="L25" s="28"/>
      <c r="N25" s="583" t="s">
        <v>332</v>
      </c>
      <c r="O25" s="38">
        <f>C112+C113+C114+C115+C116+C117+C118+C119+C120+C123+C124+C125+C126+C127+C128+C129+C130+C131+C132+C133+C136+C137+C138+C139+C140+C142+C143</f>
        <v>102.74999999999999</v>
      </c>
      <c r="Q25" s="595">
        <f t="shared" ref="Q25:Q30" si="0">O25</f>
        <v>102.74999999999999</v>
      </c>
    </row>
    <row r="26" spans="1:17" s="16" customFormat="1" ht="17.149999999999999" customHeight="1" x14ac:dyDescent="0.35">
      <c r="A26" s="589">
        <v>220</v>
      </c>
      <c r="B26" s="14" t="s">
        <v>221</v>
      </c>
      <c r="C26" s="15">
        <f>'inventory2022 (FINAL)'!E24</f>
        <v>2.2999999999999998</v>
      </c>
      <c r="D26" s="590">
        <f>'[23]road inventory 2018'!C26</f>
        <v>2.2999999999999998</v>
      </c>
      <c r="E26" s="15">
        <f>'inventory2022 (FINAL)'!F24</f>
        <v>0</v>
      </c>
      <c r="F26" s="15">
        <f>'inventory2022 (FINAL)'!G24</f>
        <v>0</v>
      </c>
      <c r="G26" s="15">
        <f>'inventory2022 (FINAL)'!H24</f>
        <v>0</v>
      </c>
      <c r="H26" s="15">
        <f>'inventory2022 (FINAL)'!I24</f>
        <v>2.2999999999999998</v>
      </c>
      <c r="I26" s="594">
        <v>0</v>
      </c>
      <c r="J26" s="106" t="s">
        <v>33</v>
      </c>
      <c r="K26" s="591" t="s">
        <v>333</v>
      </c>
      <c r="L26" s="24"/>
      <c r="M26" s="593"/>
      <c r="N26" s="598" t="s">
        <v>188</v>
      </c>
      <c r="O26" s="595">
        <f>C151+C152+C153+C159+C161</f>
        <v>11.3</v>
      </c>
      <c r="Q26" s="595">
        <f t="shared" si="0"/>
        <v>11.3</v>
      </c>
    </row>
    <row r="27" spans="1:17" s="16" customFormat="1" ht="17.149999999999999" customHeight="1" x14ac:dyDescent="0.35">
      <c r="A27" s="589">
        <v>14</v>
      </c>
      <c r="B27" s="14" t="s">
        <v>215</v>
      </c>
      <c r="C27" s="15">
        <f>'inventory2022 (FINAL)'!E25</f>
        <v>4</v>
      </c>
      <c r="D27" s="590">
        <f>'[23]road inventory 2018'!C27</f>
        <v>4</v>
      </c>
      <c r="E27" s="15">
        <f>'inventory2022 (FINAL)'!F25</f>
        <v>4</v>
      </c>
      <c r="F27" s="15">
        <f>'inventory2022 (FINAL)'!G25</f>
        <v>0</v>
      </c>
      <c r="G27" s="15">
        <f>'inventory2022 (FINAL)'!H25</f>
        <v>0</v>
      </c>
      <c r="H27" s="15">
        <f>'inventory2022 (FINAL)'!I25</f>
        <v>0</v>
      </c>
      <c r="I27" s="594">
        <v>0</v>
      </c>
      <c r="J27" s="106" t="s">
        <v>10</v>
      </c>
      <c r="K27" s="591" t="s">
        <v>327</v>
      </c>
      <c r="L27" s="24"/>
      <c r="M27" s="593"/>
      <c r="N27" s="598" t="s">
        <v>189</v>
      </c>
      <c r="O27" s="595">
        <f>C172+C173</f>
        <v>18.5</v>
      </c>
      <c r="Q27" s="595">
        <f t="shared" si="0"/>
        <v>18.5</v>
      </c>
    </row>
    <row r="28" spans="1:17" ht="17.149999999999999" customHeight="1" x14ac:dyDescent="0.35">
      <c r="A28" s="596">
        <v>15</v>
      </c>
      <c r="B28" s="9" t="s">
        <v>334</v>
      </c>
      <c r="C28" s="15">
        <f>'inventory2022 (FINAL)'!E26</f>
        <v>3.2</v>
      </c>
      <c r="D28" s="10">
        <f>'[23]road inventory 2018'!C28</f>
        <v>3.2</v>
      </c>
      <c r="E28" s="15">
        <f>'inventory2022 (FINAL)'!F26</f>
        <v>0</v>
      </c>
      <c r="F28" s="15">
        <f>'inventory2022 (FINAL)'!G26</f>
        <v>0</v>
      </c>
      <c r="G28" s="15">
        <f>'inventory2022 (FINAL)'!H26</f>
        <v>0</v>
      </c>
      <c r="H28" s="15">
        <f>'inventory2022 (FINAL)'!I26</f>
        <v>3.2</v>
      </c>
      <c r="I28" s="11">
        <v>0</v>
      </c>
      <c r="J28" s="103" t="s">
        <v>33</v>
      </c>
      <c r="K28" s="597" t="s">
        <v>335</v>
      </c>
      <c r="L28" s="28" t="s">
        <v>336</v>
      </c>
      <c r="N28" s="583" t="s">
        <v>191</v>
      </c>
      <c r="O28" s="38">
        <f>C182+C183+C186+C188+C189+C190+C193+C192+C194+C195+C196+C197+C198</f>
        <v>101.78</v>
      </c>
      <c r="Q28" s="38">
        <f t="shared" si="0"/>
        <v>101.78</v>
      </c>
    </row>
    <row r="29" spans="1:17" s="16" customFormat="1" ht="17.149999999999999" customHeight="1" x14ac:dyDescent="0.35">
      <c r="A29" s="589">
        <v>16</v>
      </c>
      <c r="B29" s="14" t="s">
        <v>25</v>
      </c>
      <c r="C29" s="15">
        <f>'inventory2022 (FINAL)'!E27</f>
        <v>1</v>
      </c>
      <c r="D29" s="590">
        <f>'[23]road inventory 2018'!C29</f>
        <v>1</v>
      </c>
      <c r="E29" s="15">
        <f>'inventory2022 (FINAL)'!F27</f>
        <v>0</v>
      </c>
      <c r="F29" s="15">
        <f>'inventory2022 (FINAL)'!G27</f>
        <v>0</v>
      </c>
      <c r="G29" s="15">
        <f>'inventory2022 (FINAL)'!H27</f>
        <v>0</v>
      </c>
      <c r="H29" s="15">
        <f>'inventory2022 (FINAL)'!I27</f>
        <v>1</v>
      </c>
      <c r="I29" s="594">
        <v>0</v>
      </c>
      <c r="J29" s="106" t="s">
        <v>12</v>
      </c>
      <c r="K29" s="591" t="s">
        <v>337</v>
      </c>
      <c r="L29" s="24"/>
      <c r="M29" s="593"/>
      <c r="N29" s="598" t="s">
        <v>338</v>
      </c>
      <c r="O29" s="595">
        <f>C206+C207+C209+C210+C212+C213</f>
        <v>77.069999999999993</v>
      </c>
      <c r="Q29" s="595">
        <f t="shared" si="0"/>
        <v>77.069999999999993</v>
      </c>
    </row>
    <row r="30" spans="1:17" s="16" customFormat="1" ht="17.149999999999999" customHeight="1" x14ac:dyDescent="0.35">
      <c r="A30" s="589">
        <v>17</v>
      </c>
      <c r="B30" s="14" t="s">
        <v>216</v>
      </c>
      <c r="C30" s="15">
        <f>'inventory2022 (FINAL)'!E28</f>
        <v>4</v>
      </c>
      <c r="D30" s="590">
        <f>'[23]road inventory 2018'!C30</f>
        <v>4</v>
      </c>
      <c r="E30" s="15">
        <f>'inventory2022 (FINAL)'!F28</f>
        <v>1.4219999999999999</v>
      </c>
      <c r="F30" s="15">
        <f>'inventory2022 (FINAL)'!G28</f>
        <v>0</v>
      </c>
      <c r="G30" s="15">
        <f>'inventory2022 (FINAL)'!H28</f>
        <v>0</v>
      </c>
      <c r="H30" s="15">
        <f>'inventory2022 (FINAL)'!I28</f>
        <v>2.5779999999999998</v>
      </c>
      <c r="I30" s="594">
        <v>0</v>
      </c>
      <c r="J30" s="106" t="s">
        <v>12</v>
      </c>
      <c r="K30" s="591" t="s">
        <v>339</v>
      </c>
      <c r="L30" s="24"/>
      <c r="M30" s="593"/>
      <c r="N30" s="598" t="s">
        <v>193</v>
      </c>
      <c r="O30" s="595">
        <f>C221+C222+C223+C224+C226+C227+C228</f>
        <v>81.299999999999983</v>
      </c>
      <c r="Q30" s="595">
        <f t="shared" si="0"/>
        <v>81.299999999999983</v>
      </c>
    </row>
    <row r="31" spans="1:17" s="16" customFormat="1" ht="16.149999999999999" customHeight="1" x14ac:dyDescent="0.35">
      <c r="A31" s="589">
        <v>18</v>
      </c>
      <c r="B31" s="14" t="s">
        <v>27</v>
      </c>
      <c r="C31" s="15">
        <f>'inventory2022 (FINAL)'!E29</f>
        <v>10.5</v>
      </c>
      <c r="D31" s="590">
        <f>'[23]road inventory 2018'!C31</f>
        <v>10.5</v>
      </c>
      <c r="E31" s="15">
        <f>'inventory2022 (FINAL)'!F29</f>
        <v>10.5</v>
      </c>
      <c r="F31" s="15">
        <f>'inventory2022 (FINAL)'!G29</f>
        <v>0</v>
      </c>
      <c r="G31" s="15">
        <f>'inventory2022 (FINAL)'!H29</f>
        <v>0</v>
      </c>
      <c r="H31" s="15">
        <f>'inventory2022 (FINAL)'!I29</f>
        <v>0</v>
      </c>
      <c r="I31" s="594">
        <v>0</v>
      </c>
      <c r="J31" s="106" t="s">
        <v>12</v>
      </c>
      <c r="K31" s="591" t="s">
        <v>335</v>
      </c>
      <c r="L31" s="24"/>
      <c r="M31" s="593"/>
      <c r="N31" s="598" t="s">
        <v>194</v>
      </c>
      <c r="O31" s="595">
        <f>C237+C239</f>
        <v>9</v>
      </c>
      <c r="Q31" s="595">
        <f>O31</f>
        <v>9</v>
      </c>
    </row>
    <row r="32" spans="1:17" s="16" customFormat="1" ht="27" customHeight="1" x14ac:dyDescent="0.35">
      <c r="A32" s="589">
        <v>221</v>
      </c>
      <c r="B32" s="14" t="s">
        <v>219</v>
      </c>
      <c r="C32" s="15">
        <f>'inventory2022 (FINAL)'!E30</f>
        <v>5.2</v>
      </c>
      <c r="D32" s="590">
        <f>'[23]road inventory 2018'!C32</f>
        <v>5.2</v>
      </c>
      <c r="E32" s="15">
        <f>'inventory2022 (FINAL)'!F30</f>
        <v>1.17</v>
      </c>
      <c r="F32" s="15">
        <f>'inventory2022 (FINAL)'!G30</f>
        <v>0</v>
      </c>
      <c r="G32" s="15">
        <f>'inventory2022 (FINAL)'!H30</f>
        <v>0</v>
      </c>
      <c r="H32" s="15">
        <f>'inventory2022 (FINAL)'!I30</f>
        <v>4.03</v>
      </c>
      <c r="I32" s="594">
        <v>0</v>
      </c>
      <c r="J32" s="106" t="s">
        <v>12</v>
      </c>
      <c r="K32" s="591" t="s">
        <v>340</v>
      </c>
      <c r="L32" s="24"/>
      <c r="M32" s="593"/>
      <c r="N32" s="598" t="s">
        <v>195</v>
      </c>
      <c r="O32" s="595">
        <f>C248+C249+C250+C251+C252+C255+C256+C260+C261</f>
        <v>64.2</v>
      </c>
      <c r="Q32" s="595">
        <f>O32</f>
        <v>64.2</v>
      </c>
    </row>
    <row r="33" spans="1:17" ht="15" customHeight="1" x14ac:dyDescent="0.35">
      <c r="A33" s="596">
        <v>20</v>
      </c>
      <c r="B33" s="9" t="s">
        <v>208</v>
      </c>
      <c r="C33" s="15">
        <f>'inventory2022 (FINAL)'!E31</f>
        <v>7.6</v>
      </c>
      <c r="D33" s="590">
        <f>'[23]road inventory 2018'!C33</f>
        <v>7.6</v>
      </c>
      <c r="E33" s="15">
        <f>'inventory2022 (FINAL)'!F31</f>
        <v>1.9</v>
      </c>
      <c r="F33" s="15">
        <f>'inventory2022 (FINAL)'!G31</f>
        <v>0</v>
      </c>
      <c r="G33" s="15">
        <f>'inventory2022 (FINAL)'!H31</f>
        <v>4.53</v>
      </c>
      <c r="H33" s="15">
        <f>'inventory2022 (FINAL)'!I31</f>
        <v>1.17</v>
      </c>
      <c r="I33" s="11">
        <v>0</v>
      </c>
      <c r="J33" s="103" t="s">
        <v>41</v>
      </c>
      <c r="K33" s="597"/>
      <c r="L33" s="28"/>
      <c r="N33" s="583" t="s">
        <v>196</v>
      </c>
      <c r="O33" s="38">
        <f>C270+C275+C276</f>
        <v>10.1</v>
      </c>
      <c r="Q33" s="3">
        <v>0</v>
      </c>
    </row>
    <row r="34" spans="1:17" ht="15" customHeight="1" x14ac:dyDescent="0.35">
      <c r="A34" s="601"/>
      <c r="B34" s="602"/>
      <c r="C34" s="603">
        <f t="shared" ref="C34:I34" si="1">SUM(C10:C33)</f>
        <v>98.550000000000011</v>
      </c>
      <c r="D34" s="604">
        <f t="shared" si="1"/>
        <v>98.550000000000011</v>
      </c>
      <c r="E34" s="603">
        <f t="shared" si="1"/>
        <v>56.047999999999995</v>
      </c>
      <c r="F34" s="603">
        <f t="shared" si="1"/>
        <v>0</v>
      </c>
      <c r="G34" s="603">
        <f t="shared" si="1"/>
        <v>4.53</v>
      </c>
      <c r="H34" s="603">
        <f t="shared" si="1"/>
        <v>37.972000000000008</v>
      </c>
      <c r="I34" s="603">
        <f t="shared" si="1"/>
        <v>0</v>
      </c>
      <c r="J34" s="109"/>
      <c r="K34" s="605"/>
      <c r="L34" s="28"/>
      <c r="N34" s="583" t="s">
        <v>197</v>
      </c>
      <c r="O34" s="38">
        <f>C287+C288+C290+C291+C293</f>
        <v>27.7</v>
      </c>
      <c r="Q34" s="38">
        <f>C288+C290+C291+C293</f>
        <v>15.010000000000002</v>
      </c>
    </row>
    <row r="35" spans="1:17" s="1" customFormat="1" ht="22.5" customHeight="1" thickBot="1" x14ac:dyDescent="0.4">
      <c r="A35" s="606" t="s">
        <v>341</v>
      </c>
      <c r="B35" s="18"/>
      <c r="C35" s="19">
        <f>E35+F35+G35+H35+I35</f>
        <v>98.550000000000011</v>
      </c>
      <c r="D35" s="607"/>
      <c r="E35" s="19">
        <f>SUM(E10:E33)</f>
        <v>56.047999999999995</v>
      </c>
      <c r="F35" s="19">
        <f>SUM(F10:F33)</f>
        <v>0</v>
      </c>
      <c r="G35" s="19">
        <f>SUM(G10:G33)</f>
        <v>4.53</v>
      </c>
      <c r="H35" s="19">
        <f>SUM(H10:H33)</f>
        <v>37.972000000000008</v>
      </c>
      <c r="I35" s="19">
        <f>SUM(I10:I33)</f>
        <v>0</v>
      </c>
      <c r="J35" s="608"/>
      <c r="K35" s="609"/>
      <c r="L35" s="97"/>
      <c r="M35" s="21"/>
      <c r="N35" s="581" t="s">
        <v>198</v>
      </c>
      <c r="O35" s="22">
        <f>C303+C304+C305+C306+C311+C312</f>
        <v>8.82</v>
      </c>
      <c r="Q35" s="22">
        <f>C303+C304+C305+C306+C312</f>
        <v>8.02</v>
      </c>
    </row>
    <row r="36" spans="1:17" s="1" customFormat="1" ht="16" thickBot="1" x14ac:dyDescent="0.4">
      <c r="A36" s="544"/>
      <c r="B36" s="21"/>
      <c r="C36" s="22"/>
      <c r="D36" s="610"/>
      <c r="E36" s="22"/>
      <c r="F36" s="22"/>
      <c r="G36" s="22"/>
      <c r="H36" s="22"/>
      <c r="I36" s="22"/>
      <c r="K36" s="21"/>
      <c r="L36" s="611"/>
      <c r="M36" s="21"/>
      <c r="N36" s="581" t="s">
        <v>199</v>
      </c>
      <c r="O36" s="22">
        <f>C320+C321</f>
        <v>7.25</v>
      </c>
      <c r="Q36" s="1">
        <v>0</v>
      </c>
    </row>
    <row r="37" spans="1:17" s="1" customFormat="1" x14ac:dyDescent="0.35">
      <c r="A37" s="1217" t="s">
        <v>342</v>
      </c>
      <c r="B37" s="1218"/>
      <c r="C37" s="1218"/>
      <c r="D37" s="1218"/>
      <c r="E37" s="1218"/>
      <c r="F37" s="1218"/>
      <c r="G37" s="1218"/>
      <c r="H37" s="1218"/>
      <c r="I37" s="1218"/>
      <c r="J37" s="1218"/>
      <c r="K37" s="1218"/>
      <c r="L37" s="1219"/>
      <c r="M37" s="584"/>
      <c r="N37" s="581" t="s">
        <v>200</v>
      </c>
      <c r="O37" s="22">
        <f>C329+C331+C332+C333+C334+C337+C338+C339+C341</f>
        <v>79.599999999999994</v>
      </c>
      <c r="Q37" s="22">
        <f>C329+C331+C332+C333+C334+C338+C339+C341</f>
        <v>77.180000000000007</v>
      </c>
    </row>
    <row r="38" spans="1:17" s="1" customFormat="1" ht="16" thickBot="1" x14ac:dyDescent="0.4">
      <c r="A38" s="585"/>
      <c r="B38" s="2"/>
      <c r="C38" s="5"/>
      <c r="D38" s="586"/>
      <c r="E38" s="5"/>
      <c r="F38" s="5"/>
      <c r="G38" s="5"/>
      <c r="H38" s="5"/>
      <c r="I38" s="5"/>
      <c r="J38" s="3"/>
      <c r="K38" s="21"/>
      <c r="L38" s="18"/>
      <c r="M38" s="21"/>
      <c r="N38" s="581" t="s">
        <v>201</v>
      </c>
      <c r="O38" s="612">
        <f>C351+C352+C354+C355</f>
        <v>34.027999999999999</v>
      </c>
      <c r="Q38" s="612">
        <f>C351+C352</f>
        <v>13.027999999999999</v>
      </c>
    </row>
    <row r="39" spans="1:17" s="1" customFormat="1" ht="21" customHeight="1" x14ac:dyDescent="0.35">
      <c r="A39" s="1206" t="s">
        <v>302</v>
      </c>
      <c r="B39" s="1208" t="s">
        <v>28</v>
      </c>
      <c r="C39" s="1210" t="s">
        <v>343</v>
      </c>
      <c r="D39" s="613"/>
      <c r="E39" s="1212" t="s">
        <v>305</v>
      </c>
      <c r="F39" s="1212"/>
      <c r="G39" s="1212"/>
      <c r="H39" s="1212"/>
      <c r="I39" s="1212"/>
      <c r="J39" s="1208" t="s">
        <v>29</v>
      </c>
      <c r="K39" s="1213" t="s">
        <v>306</v>
      </c>
      <c r="L39" s="1222" t="s">
        <v>307</v>
      </c>
      <c r="M39" s="588"/>
      <c r="N39" s="581" t="s">
        <v>202</v>
      </c>
      <c r="O39" s="612">
        <f>C364+C365+C366+C367</f>
        <v>24.68</v>
      </c>
      <c r="Q39" s="612">
        <f>C364+C365+C366+C367</f>
        <v>24.68</v>
      </c>
    </row>
    <row r="40" spans="1:17" s="1" customFormat="1" ht="21" customHeight="1" thickBot="1" x14ac:dyDescent="0.4">
      <c r="A40" s="1207"/>
      <c r="B40" s="1209"/>
      <c r="C40" s="1211"/>
      <c r="D40" s="614"/>
      <c r="E40" s="7" t="s">
        <v>308</v>
      </c>
      <c r="F40" s="7" t="s">
        <v>309</v>
      </c>
      <c r="G40" s="7" t="s">
        <v>310</v>
      </c>
      <c r="H40" s="7" t="s">
        <v>311</v>
      </c>
      <c r="I40" s="7" t="s">
        <v>312</v>
      </c>
      <c r="J40" s="1209"/>
      <c r="K40" s="1214"/>
      <c r="L40" s="1223"/>
      <c r="M40" s="588"/>
      <c r="N40" s="581" t="s">
        <v>344</v>
      </c>
      <c r="O40" s="22">
        <f>C375</f>
        <v>8.7409999999999997</v>
      </c>
      <c r="Q40" s="1">
        <v>0</v>
      </c>
    </row>
    <row r="41" spans="1:17" s="1" customFormat="1" ht="16.5" customHeight="1" x14ac:dyDescent="0.35">
      <c r="A41" s="596">
        <v>21</v>
      </c>
      <c r="B41" s="28" t="s">
        <v>241</v>
      </c>
      <c r="C41" s="10">
        <f>'inventory2022 (FINAL)'!E91</f>
        <v>4.3</v>
      </c>
      <c r="D41" s="615">
        <f>'[23]road inventory 2018'!C41</f>
        <v>4.3</v>
      </c>
      <c r="E41" s="10">
        <f>'inventory2022 (FINAL)'!F91</f>
        <v>4.3</v>
      </c>
      <c r="F41" s="10">
        <f>'inventory2022 (FINAL)'!G91</f>
        <v>0</v>
      </c>
      <c r="G41" s="10">
        <f>'inventory2022 (FINAL)'!H91</f>
        <v>0</v>
      </c>
      <c r="H41" s="10">
        <f>'inventory2022 (FINAL)'!I91</f>
        <v>0</v>
      </c>
      <c r="I41" s="10">
        <v>0</v>
      </c>
      <c r="J41" s="103" t="s">
        <v>10</v>
      </c>
      <c r="K41" s="597" t="s">
        <v>345</v>
      </c>
      <c r="L41" s="112"/>
      <c r="M41" s="2"/>
      <c r="N41" s="616" t="str">
        <f>N19</f>
        <v>GOOD TO FAIR (TOTAL LENGTH)</v>
      </c>
      <c r="O41" s="22">
        <f>SUM(O20:O40)</f>
        <v>881.31900000000019</v>
      </c>
      <c r="P41" s="22">
        <f>C380-O41</f>
        <v>344.43499999999972</v>
      </c>
      <c r="Q41" s="22">
        <f>SUM(Q20:Q40)</f>
        <v>818.3180000000001</v>
      </c>
    </row>
    <row r="42" spans="1:17" s="26" customFormat="1" ht="16.5" customHeight="1" x14ac:dyDescent="0.35">
      <c r="A42" s="589">
        <v>22</v>
      </c>
      <c r="B42" s="24" t="s">
        <v>225</v>
      </c>
      <c r="C42" s="10">
        <f>'inventory2022 (FINAL)'!E92</f>
        <v>3.9</v>
      </c>
      <c r="D42" s="615">
        <f>'[23]road inventory 2018'!C42</f>
        <v>3.9</v>
      </c>
      <c r="E42" s="10">
        <f>'inventory2022 (FINAL)'!F92</f>
        <v>0</v>
      </c>
      <c r="F42" s="10">
        <f>'inventory2022 (FINAL)'!G92</f>
        <v>0</v>
      </c>
      <c r="G42" s="10">
        <f>'inventory2022 (FINAL)'!H92</f>
        <v>0</v>
      </c>
      <c r="H42" s="10">
        <f>'inventory2022 (FINAL)'!I92</f>
        <v>3.9</v>
      </c>
      <c r="I42" s="15">
        <v>0</v>
      </c>
      <c r="J42" s="106" t="s">
        <v>12</v>
      </c>
      <c r="K42" s="591" t="s">
        <v>346</v>
      </c>
      <c r="L42" s="24"/>
      <c r="M42" s="593"/>
      <c r="N42" s="617"/>
    </row>
    <row r="43" spans="1:17" s="26" customFormat="1" ht="16.5" customHeight="1" x14ac:dyDescent="0.35">
      <c r="A43" s="589">
        <v>23</v>
      </c>
      <c r="B43" s="24" t="s">
        <v>237</v>
      </c>
      <c r="C43" s="10">
        <f>'inventory2022 (FINAL)'!E93</f>
        <v>4.3</v>
      </c>
      <c r="D43" s="615">
        <f>'[23]road inventory 2018'!C43</f>
        <v>4.3</v>
      </c>
      <c r="E43" s="10">
        <f>'inventory2022 (FINAL)'!F93</f>
        <v>2.9</v>
      </c>
      <c r="F43" s="10">
        <f>'inventory2022 (FINAL)'!G93</f>
        <v>0</v>
      </c>
      <c r="G43" s="10">
        <f>'inventory2022 (FINAL)'!H93</f>
        <v>0</v>
      </c>
      <c r="H43" s="10">
        <f>'inventory2022 (FINAL)'!I93</f>
        <v>1.4</v>
      </c>
      <c r="I43" s="15">
        <v>0</v>
      </c>
      <c r="J43" s="106" t="s">
        <v>12</v>
      </c>
      <c r="K43" s="591" t="s">
        <v>347</v>
      </c>
      <c r="L43" s="24"/>
      <c r="M43" s="593"/>
      <c r="N43" s="617"/>
    </row>
    <row r="44" spans="1:17" s="26" customFormat="1" ht="16.5" customHeight="1" x14ac:dyDescent="0.35">
      <c r="A44" s="589">
        <v>24</v>
      </c>
      <c r="B44" s="24" t="s">
        <v>236</v>
      </c>
      <c r="C44" s="10">
        <f>'inventory2022 (FINAL)'!E94</f>
        <v>7.9</v>
      </c>
      <c r="D44" s="615">
        <f>'[23]road inventory 2018'!C44</f>
        <v>7.5</v>
      </c>
      <c r="E44" s="10">
        <f>'inventory2022 (FINAL)'!F94</f>
        <v>7.9</v>
      </c>
      <c r="F44" s="10">
        <f>'inventory2022 (FINAL)'!G94</f>
        <v>0</v>
      </c>
      <c r="G44" s="10">
        <f>'inventory2022 (FINAL)'!H94</f>
        <v>0</v>
      </c>
      <c r="H44" s="10">
        <f>'inventory2022 (FINAL)'!I94</f>
        <v>0</v>
      </c>
      <c r="I44" s="15">
        <v>0</v>
      </c>
      <c r="J44" s="106" t="s">
        <v>10</v>
      </c>
      <c r="K44" s="591" t="s">
        <v>347</v>
      </c>
      <c r="L44" s="24"/>
      <c r="M44" s="593"/>
      <c r="N44" s="617"/>
    </row>
    <row r="45" spans="1:17" s="1" customFormat="1" ht="16.5" customHeight="1" x14ac:dyDescent="0.35">
      <c r="A45" s="596">
        <v>25</v>
      </c>
      <c r="B45" s="28" t="s">
        <v>30</v>
      </c>
      <c r="C45" s="10">
        <f>'inventory2022 (FINAL)'!E95</f>
        <v>1.7</v>
      </c>
      <c r="D45" s="10">
        <f>'[23]road inventory 2018'!C45</f>
        <v>1.7</v>
      </c>
      <c r="E45" s="10">
        <f>'inventory2022 (FINAL)'!F95</f>
        <v>0</v>
      </c>
      <c r="F45" s="10">
        <f>'inventory2022 (FINAL)'!G95</f>
        <v>0</v>
      </c>
      <c r="G45" s="10">
        <f>'inventory2022 (FINAL)'!H95</f>
        <v>0</v>
      </c>
      <c r="H45" s="10">
        <f>'inventory2022 (FINAL)'!I95</f>
        <v>1.7</v>
      </c>
      <c r="I45" s="10">
        <v>0</v>
      </c>
      <c r="J45" s="103" t="s">
        <v>12</v>
      </c>
      <c r="K45" s="597" t="s">
        <v>348</v>
      </c>
      <c r="L45" s="28" t="s">
        <v>833</v>
      </c>
      <c r="M45" s="2"/>
      <c r="N45" s="581" t="s">
        <v>349</v>
      </c>
    </row>
    <row r="46" spans="1:17" s="26" customFormat="1" ht="16.5" customHeight="1" x14ac:dyDescent="0.35">
      <c r="A46" s="589">
        <v>26</v>
      </c>
      <c r="B46" s="24" t="s">
        <v>350</v>
      </c>
      <c r="C46" s="10">
        <f>'inventory2022 (FINAL)'!E96</f>
        <v>5.9</v>
      </c>
      <c r="D46" s="615">
        <f>'[23]road inventory 2018'!C46</f>
        <v>5.9</v>
      </c>
      <c r="E46" s="10">
        <f>'inventory2022 (FINAL)'!F96</f>
        <v>1.85</v>
      </c>
      <c r="F46" s="10">
        <f>'inventory2022 (FINAL)'!G96</f>
        <v>0</v>
      </c>
      <c r="G46" s="10">
        <f>'inventory2022 (FINAL)'!H96</f>
        <v>0</v>
      </c>
      <c r="H46" s="10">
        <f>'inventory2022 (FINAL)'!I96</f>
        <v>4.05</v>
      </c>
      <c r="I46" s="15">
        <v>0</v>
      </c>
      <c r="J46" s="24" t="s">
        <v>12</v>
      </c>
      <c r="K46" s="591" t="s">
        <v>348</v>
      </c>
      <c r="L46" s="24"/>
      <c r="M46" s="593"/>
      <c r="N46" s="617"/>
    </row>
    <row r="47" spans="1:17" s="26" customFormat="1" ht="16.5" customHeight="1" x14ac:dyDescent="0.35">
      <c r="A47" s="589">
        <v>27</v>
      </c>
      <c r="B47" s="24" t="s">
        <v>224</v>
      </c>
      <c r="C47" s="10">
        <f>'inventory2022 (FINAL)'!E97</f>
        <v>1.9</v>
      </c>
      <c r="D47" s="615">
        <f>'[23]road inventory 2018'!C47</f>
        <v>1.9</v>
      </c>
      <c r="E47" s="10">
        <f>'inventory2022 (FINAL)'!F97</f>
        <v>0.28000000000000003</v>
      </c>
      <c r="F47" s="10">
        <f>'inventory2022 (FINAL)'!G97</f>
        <v>0</v>
      </c>
      <c r="G47" s="10">
        <f>'inventory2022 (FINAL)'!H97</f>
        <v>0</v>
      </c>
      <c r="H47" s="10">
        <f>'inventory2022 (FINAL)'!I97</f>
        <v>1.62</v>
      </c>
      <c r="I47" s="15">
        <v>0</v>
      </c>
      <c r="J47" s="106" t="s">
        <v>12</v>
      </c>
      <c r="K47" s="591" t="s">
        <v>351</v>
      </c>
      <c r="L47" s="24"/>
      <c r="M47" s="593"/>
      <c r="N47" s="617"/>
    </row>
    <row r="48" spans="1:17" s="26" customFormat="1" ht="16.5" customHeight="1" x14ac:dyDescent="0.35">
      <c r="A48" s="589">
        <v>28</v>
      </c>
      <c r="B48" s="24" t="s">
        <v>233</v>
      </c>
      <c r="C48" s="10">
        <f>'inventory2022 (FINAL)'!E98</f>
        <v>5.6</v>
      </c>
      <c r="D48" s="615">
        <f>'[23]road inventory 2018'!C48</f>
        <v>5.6</v>
      </c>
      <c r="E48" s="10">
        <f>'inventory2022 (FINAL)'!F98</f>
        <v>1.55</v>
      </c>
      <c r="F48" s="10">
        <f>'inventory2022 (FINAL)'!G98</f>
        <v>0</v>
      </c>
      <c r="G48" s="10">
        <f>'inventory2022 (FINAL)'!H98</f>
        <v>0</v>
      </c>
      <c r="H48" s="10">
        <f>'inventory2022 (FINAL)'!I98</f>
        <v>4.05</v>
      </c>
      <c r="I48" s="15">
        <v>0</v>
      </c>
      <c r="J48" s="106" t="s">
        <v>10</v>
      </c>
      <c r="K48" s="591" t="s">
        <v>352</v>
      </c>
      <c r="L48" s="24"/>
      <c r="M48" s="593"/>
      <c r="N48" s="617"/>
    </row>
    <row r="49" spans="1:14" s="26" customFormat="1" ht="16.5" customHeight="1" x14ac:dyDescent="0.35">
      <c r="A49" s="589">
        <v>29</v>
      </c>
      <c r="B49" s="24" t="s">
        <v>239</v>
      </c>
      <c r="C49" s="10">
        <f>'inventory2022 (FINAL)'!E99</f>
        <v>0.8</v>
      </c>
      <c r="D49" s="615">
        <f>'[23]road inventory 2018'!C49</f>
        <v>0.8</v>
      </c>
      <c r="E49" s="10">
        <f>'inventory2022 (FINAL)'!F99</f>
        <v>0.8</v>
      </c>
      <c r="F49" s="10">
        <f>'inventory2022 (FINAL)'!G99</f>
        <v>0</v>
      </c>
      <c r="G49" s="10">
        <f>'inventory2022 (FINAL)'!H99</f>
        <v>0</v>
      </c>
      <c r="H49" s="10">
        <f>'inventory2022 (FINAL)'!I99</f>
        <v>0</v>
      </c>
      <c r="I49" s="15">
        <v>0</v>
      </c>
      <c r="J49" s="106" t="s">
        <v>12</v>
      </c>
      <c r="K49" s="591" t="s">
        <v>353</v>
      </c>
      <c r="L49" s="24"/>
      <c r="M49" s="593"/>
      <c r="N49" s="617"/>
    </row>
    <row r="50" spans="1:14" s="1" customFormat="1" ht="16.5" customHeight="1" x14ac:dyDescent="0.35">
      <c r="A50" s="596">
        <v>30</v>
      </c>
      <c r="B50" s="28" t="s">
        <v>354</v>
      </c>
      <c r="C50" s="10">
        <f>'inventory2022 (FINAL)'!E100</f>
        <v>2</v>
      </c>
      <c r="D50" s="615">
        <f>'[23]road inventory 2018'!C50</f>
        <v>2</v>
      </c>
      <c r="E50" s="10">
        <f>'inventory2022 (FINAL)'!F100</f>
        <v>0</v>
      </c>
      <c r="F50" s="10">
        <f>'inventory2022 (FINAL)'!G100</f>
        <v>0</v>
      </c>
      <c r="G50" s="10">
        <f>'inventory2022 (FINAL)'!H100</f>
        <v>0</v>
      </c>
      <c r="H50" s="10">
        <f>'inventory2022 (FINAL)'!I100</f>
        <v>2</v>
      </c>
      <c r="I50" s="10">
        <v>0</v>
      </c>
      <c r="J50" s="103" t="s">
        <v>10</v>
      </c>
      <c r="K50" s="597" t="s">
        <v>355</v>
      </c>
      <c r="L50" s="28" t="s">
        <v>356</v>
      </c>
      <c r="M50" s="2"/>
      <c r="N50" s="581" t="s">
        <v>357</v>
      </c>
    </row>
    <row r="51" spans="1:14" s="26" customFormat="1" ht="16.5" customHeight="1" x14ac:dyDescent="0.35">
      <c r="A51" s="589">
        <v>106</v>
      </c>
      <c r="B51" s="24" t="s">
        <v>238</v>
      </c>
      <c r="C51" s="10">
        <f>'inventory2022 (FINAL)'!E101</f>
        <v>3.2</v>
      </c>
      <c r="D51" s="615">
        <f>'[23]road inventory 2018'!C51</f>
        <v>3.2</v>
      </c>
      <c r="E51" s="10">
        <f>'inventory2022 (FINAL)'!F101</f>
        <v>3.2</v>
      </c>
      <c r="F51" s="10">
        <f>'inventory2022 (FINAL)'!G101</f>
        <v>0</v>
      </c>
      <c r="G51" s="10">
        <f>'inventory2022 (FINAL)'!H101</f>
        <v>0</v>
      </c>
      <c r="H51" s="10">
        <f>'inventory2022 (FINAL)'!I101</f>
        <v>0</v>
      </c>
      <c r="I51" s="15">
        <v>0</v>
      </c>
      <c r="J51" s="106" t="s">
        <v>10</v>
      </c>
      <c r="K51" s="591" t="s">
        <v>358</v>
      </c>
      <c r="L51" s="24"/>
      <c r="M51" s="593"/>
      <c r="N51" s="617"/>
    </row>
    <row r="52" spans="1:14" s="26" customFormat="1" ht="16.5" customHeight="1" x14ac:dyDescent="0.35">
      <c r="A52" s="589">
        <v>31</v>
      </c>
      <c r="B52" s="24" t="s">
        <v>359</v>
      </c>
      <c r="C52" s="10">
        <f>'inventory2022 (FINAL)'!E102</f>
        <v>0.8</v>
      </c>
      <c r="D52" s="615">
        <f>'[23]road inventory 2018'!C52</f>
        <v>0.8</v>
      </c>
      <c r="E52" s="10">
        <f>'inventory2022 (FINAL)'!F102</f>
        <v>0.8</v>
      </c>
      <c r="F52" s="10">
        <f>'inventory2022 (FINAL)'!G102</f>
        <v>0</v>
      </c>
      <c r="G52" s="10">
        <f>'inventory2022 (FINAL)'!H102</f>
        <v>0</v>
      </c>
      <c r="H52" s="10">
        <f>'inventory2022 (FINAL)'!I102</f>
        <v>0</v>
      </c>
      <c r="I52" s="15">
        <v>0</v>
      </c>
      <c r="J52" s="106" t="s">
        <v>10</v>
      </c>
      <c r="K52" s="591" t="s">
        <v>360</v>
      </c>
      <c r="L52" s="24"/>
      <c r="M52" s="593"/>
      <c r="N52" s="617"/>
    </row>
    <row r="53" spans="1:14" s="1" customFormat="1" ht="16.5" customHeight="1" x14ac:dyDescent="0.35">
      <c r="A53" s="596">
        <v>32</v>
      </c>
      <c r="B53" s="28" t="s">
        <v>232</v>
      </c>
      <c r="C53" s="10">
        <f>'inventory2022 (FINAL)'!E103</f>
        <v>3</v>
      </c>
      <c r="D53" s="615">
        <f>'[23]road inventory 2018'!C53</f>
        <v>3</v>
      </c>
      <c r="E53" s="10">
        <f>'inventory2022 (FINAL)'!F103</f>
        <v>0</v>
      </c>
      <c r="F53" s="10">
        <f>'inventory2022 (FINAL)'!G103</f>
        <v>0</v>
      </c>
      <c r="G53" s="10">
        <f>'inventory2022 (FINAL)'!H103</f>
        <v>0</v>
      </c>
      <c r="H53" s="10">
        <f>'inventory2022 (FINAL)'!I103</f>
        <v>3</v>
      </c>
      <c r="I53" s="10">
        <v>0</v>
      </c>
      <c r="J53" s="103" t="s">
        <v>41</v>
      </c>
      <c r="K53" s="597" t="s">
        <v>361</v>
      </c>
      <c r="L53" s="28"/>
      <c r="M53" s="2"/>
      <c r="N53" s="581"/>
    </row>
    <row r="54" spans="1:14" s="1" customFormat="1" ht="16.5" customHeight="1" x14ac:dyDescent="0.35">
      <c r="A54" s="596">
        <v>33</v>
      </c>
      <c r="B54" s="28" t="s">
        <v>34</v>
      </c>
      <c r="C54" s="10">
        <f>'inventory2022 (FINAL)'!E104</f>
        <v>2.4</v>
      </c>
      <c r="D54" s="615">
        <f>'[23]road inventory 2018'!C54</f>
        <v>2.4</v>
      </c>
      <c r="E54" s="10">
        <f>'inventory2022 (FINAL)'!F104</f>
        <v>0</v>
      </c>
      <c r="F54" s="10">
        <f>'inventory2022 (FINAL)'!G104</f>
        <v>0</v>
      </c>
      <c r="G54" s="10">
        <f>'inventory2022 (FINAL)'!H104</f>
        <v>0</v>
      </c>
      <c r="H54" s="10">
        <f>'inventory2022 (FINAL)'!I104</f>
        <v>2.4</v>
      </c>
      <c r="I54" s="10">
        <v>0</v>
      </c>
      <c r="J54" s="28" t="s">
        <v>33</v>
      </c>
      <c r="K54" s="597" t="s">
        <v>362</v>
      </c>
      <c r="L54" s="28"/>
      <c r="M54" s="2"/>
      <c r="N54" s="581"/>
    </row>
    <row r="55" spans="1:14" s="1" customFormat="1" ht="16.5" customHeight="1" x14ac:dyDescent="0.35">
      <c r="A55" s="596">
        <v>34</v>
      </c>
      <c r="B55" s="28" t="s">
        <v>235</v>
      </c>
      <c r="C55" s="10">
        <f>'inventory2022 (FINAL)'!E105</f>
        <v>4.2</v>
      </c>
      <c r="D55" s="615">
        <f>'[23]road inventory 2018'!C55</f>
        <v>4.2</v>
      </c>
      <c r="E55" s="10">
        <f>'inventory2022 (FINAL)'!F105</f>
        <v>0</v>
      </c>
      <c r="F55" s="10">
        <f>'inventory2022 (FINAL)'!G105</f>
        <v>0</v>
      </c>
      <c r="G55" s="10">
        <f>'inventory2022 (FINAL)'!H105</f>
        <v>0</v>
      </c>
      <c r="H55" s="10">
        <f>'inventory2022 (FINAL)'!I105</f>
        <v>4.2</v>
      </c>
      <c r="I55" s="10">
        <v>0</v>
      </c>
      <c r="J55" s="103" t="s">
        <v>12</v>
      </c>
      <c r="K55" s="597" t="s">
        <v>363</v>
      </c>
      <c r="L55" s="28"/>
      <c r="M55" s="2"/>
      <c r="N55" s="581"/>
    </row>
    <row r="56" spans="1:14" s="26" customFormat="1" ht="16.5" customHeight="1" x14ac:dyDescent="0.35">
      <c r="A56" s="589">
        <v>35</v>
      </c>
      <c r="B56" s="24" t="s">
        <v>364</v>
      </c>
      <c r="C56" s="10">
        <f>'inventory2022 (FINAL)'!E106</f>
        <v>3</v>
      </c>
      <c r="D56" s="615">
        <f>'[23]road inventory 2018'!C56</f>
        <v>3</v>
      </c>
      <c r="E56" s="10">
        <f>'inventory2022 (FINAL)'!F106</f>
        <v>0.80999999999999994</v>
      </c>
      <c r="F56" s="10">
        <f>'inventory2022 (FINAL)'!G106</f>
        <v>0</v>
      </c>
      <c r="G56" s="10">
        <f>'inventory2022 (FINAL)'!H106</f>
        <v>0</v>
      </c>
      <c r="H56" s="10">
        <f>'inventory2022 (FINAL)'!I106</f>
        <v>2.19</v>
      </c>
      <c r="I56" s="15">
        <v>0</v>
      </c>
      <c r="J56" s="106" t="s">
        <v>12</v>
      </c>
      <c r="K56" s="591" t="s">
        <v>365</v>
      </c>
      <c r="L56" s="24"/>
      <c r="M56" s="593"/>
      <c r="N56" s="617"/>
    </row>
    <row r="57" spans="1:14" s="26" customFormat="1" ht="16.5" customHeight="1" x14ac:dyDescent="0.35">
      <c r="A57" s="589">
        <v>36</v>
      </c>
      <c r="B57" s="24" t="s">
        <v>366</v>
      </c>
      <c r="C57" s="10">
        <f>'inventory2022 (FINAL)'!E107</f>
        <v>6.2</v>
      </c>
      <c r="D57" s="615">
        <f>'[23]road inventory 2018'!C57</f>
        <v>6.2</v>
      </c>
      <c r="E57" s="10">
        <f>'inventory2022 (FINAL)'!F107</f>
        <v>0</v>
      </c>
      <c r="F57" s="10">
        <f>'inventory2022 (FINAL)'!G107</f>
        <v>0</v>
      </c>
      <c r="G57" s="10">
        <f>'inventory2022 (FINAL)'!H107</f>
        <v>0</v>
      </c>
      <c r="H57" s="10">
        <f>'inventory2022 (FINAL)'!I107</f>
        <v>6.2</v>
      </c>
      <c r="I57" s="15">
        <v>0</v>
      </c>
      <c r="J57" s="106" t="s">
        <v>12</v>
      </c>
      <c r="K57" s="591" t="s">
        <v>367</v>
      </c>
      <c r="L57" s="24"/>
      <c r="M57" s="593"/>
      <c r="N57" s="617"/>
    </row>
    <row r="58" spans="1:14" s="26" customFormat="1" ht="16.5" customHeight="1" x14ac:dyDescent="0.35">
      <c r="A58" s="589">
        <v>37</v>
      </c>
      <c r="B58" s="24" t="s">
        <v>234</v>
      </c>
      <c r="C58" s="10">
        <f>'inventory2022 (FINAL)'!E108</f>
        <v>1.6</v>
      </c>
      <c r="D58" s="615">
        <f>'[23]road inventory 2018'!C58</f>
        <v>1.6</v>
      </c>
      <c r="E58" s="10">
        <f>'inventory2022 (FINAL)'!F108</f>
        <v>0</v>
      </c>
      <c r="F58" s="10">
        <f>'inventory2022 (FINAL)'!G108</f>
        <v>0</v>
      </c>
      <c r="G58" s="10">
        <f>'inventory2022 (FINAL)'!H108</f>
        <v>0</v>
      </c>
      <c r="H58" s="10">
        <f>'inventory2022 (FINAL)'!I108</f>
        <v>1.6</v>
      </c>
      <c r="I58" s="15">
        <v>0</v>
      </c>
      <c r="J58" s="106" t="s">
        <v>12</v>
      </c>
      <c r="K58" s="591" t="s">
        <v>368</v>
      </c>
      <c r="L58" s="24"/>
      <c r="M58" s="593"/>
      <c r="N58" s="617"/>
    </row>
    <row r="59" spans="1:14" s="625" customFormat="1" ht="16.5" customHeight="1" x14ac:dyDescent="0.35">
      <c r="A59" s="618">
        <v>38</v>
      </c>
      <c r="B59" s="619" t="s">
        <v>36</v>
      </c>
      <c r="C59" s="10">
        <f>'inventory2022 (FINAL)'!E109</f>
        <v>4.4000000000000004</v>
      </c>
      <c r="D59" s="620">
        <f>'[23]road inventory 2018'!C59</f>
        <v>4.4000000000000004</v>
      </c>
      <c r="E59" s="10">
        <f>'inventory2022 (FINAL)'!F109</f>
        <v>1.58</v>
      </c>
      <c r="F59" s="10">
        <f>'inventory2022 (FINAL)'!G109</f>
        <v>0</v>
      </c>
      <c r="G59" s="10">
        <f>'inventory2022 (FINAL)'!H109</f>
        <v>0</v>
      </c>
      <c r="H59" s="10">
        <f>'inventory2022 (FINAL)'!I109</f>
        <v>2.82</v>
      </c>
      <c r="I59" s="620">
        <v>0</v>
      </c>
      <c r="J59" s="621" t="s">
        <v>12</v>
      </c>
      <c r="K59" s="622" t="s">
        <v>369</v>
      </c>
      <c r="L59" s="619"/>
      <c r="M59" s="623"/>
      <c r="N59" s="624"/>
    </row>
    <row r="60" spans="1:14" s="26" customFormat="1" ht="16.5" customHeight="1" x14ac:dyDescent="0.35">
      <c r="A60" s="589">
        <v>39</v>
      </c>
      <c r="B60" s="24" t="s">
        <v>370</v>
      </c>
      <c r="C60" s="10">
        <f>'inventory2022 (FINAL)'!E110</f>
        <v>4.9000000000000004</v>
      </c>
      <c r="D60" s="615">
        <f>'[23]road inventory 2018'!C60</f>
        <v>4.9000000000000004</v>
      </c>
      <c r="E60" s="10">
        <f>'inventory2022 (FINAL)'!F110</f>
        <v>0.14000000000000001</v>
      </c>
      <c r="F60" s="10">
        <f>'inventory2022 (FINAL)'!G110</f>
        <v>0</v>
      </c>
      <c r="G60" s="10">
        <f>'inventory2022 (FINAL)'!H110</f>
        <v>0</v>
      </c>
      <c r="H60" s="10">
        <f>'inventory2022 (FINAL)'!I110</f>
        <v>4.76</v>
      </c>
      <c r="I60" s="15">
        <v>0</v>
      </c>
      <c r="J60" s="106" t="s">
        <v>12</v>
      </c>
      <c r="K60" s="591" t="s">
        <v>371</v>
      </c>
      <c r="L60" s="24"/>
      <c r="M60" s="593"/>
      <c r="N60" s="617"/>
    </row>
    <row r="61" spans="1:14" s="26" customFormat="1" ht="16.5" customHeight="1" x14ac:dyDescent="0.35">
      <c r="A61" s="589">
        <v>105</v>
      </c>
      <c r="B61" s="24" t="s">
        <v>228</v>
      </c>
      <c r="C61" s="10">
        <f>'inventory2022 (FINAL)'!E111</f>
        <v>3.6</v>
      </c>
      <c r="D61" s="615">
        <f>'[23]road inventory 2018'!C61</f>
        <v>3.6</v>
      </c>
      <c r="E61" s="10">
        <f>'inventory2022 (FINAL)'!F111</f>
        <v>0</v>
      </c>
      <c r="F61" s="10">
        <f>'inventory2022 (FINAL)'!G111</f>
        <v>0</v>
      </c>
      <c r="G61" s="10">
        <f>'inventory2022 (FINAL)'!H111</f>
        <v>0</v>
      </c>
      <c r="H61" s="10">
        <f>'inventory2022 (FINAL)'!I111</f>
        <v>3.6</v>
      </c>
      <c r="I61" s="15">
        <v>0</v>
      </c>
      <c r="J61" s="106" t="s">
        <v>12</v>
      </c>
      <c r="K61" s="591" t="s">
        <v>372</v>
      </c>
      <c r="L61" s="24"/>
      <c r="M61" s="593"/>
      <c r="N61" s="617"/>
    </row>
    <row r="62" spans="1:14" s="1" customFormat="1" ht="16.5" customHeight="1" x14ac:dyDescent="0.35">
      <c r="A62" s="596">
        <v>40</v>
      </c>
      <c r="B62" s="28" t="s">
        <v>231</v>
      </c>
      <c r="C62" s="10">
        <f>'inventory2022 (FINAL)'!E112</f>
        <v>1.5</v>
      </c>
      <c r="D62" s="615">
        <f>'[23]road inventory 2018'!C62</f>
        <v>1.5</v>
      </c>
      <c r="E62" s="10">
        <f>'inventory2022 (FINAL)'!F112</f>
        <v>1.1000000000000001</v>
      </c>
      <c r="F62" s="10">
        <f>'inventory2022 (FINAL)'!G112</f>
        <v>0</v>
      </c>
      <c r="G62" s="10">
        <f>'inventory2022 (FINAL)'!H112</f>
        <v>0</v>
      </c>
      <c r="H62" s="10">
        <f>'inventory2022 (FINAL)'!I112</f>
        <v>0.4</v>
      </c>
      <c r="I62" s="10">
        <v>0</v>
      </c>
      <c r="J62" s="103" t="s">
        <v>33</v>
      </c>
      <c r="K62" s="597" t="s">
        <v>373</v>
      </c>
      <c r="L62" s="28"/>
      <c r="M62" s="2"/>
      <c r="N62" s="581"/>
    </row>
    <row r="63" spans="1:14" s="1" customFormat="1" ht="16.5" customHeight="1" x14ac:dyDescent="0.35">
      <c r="A63" s="596">
        <v>41</v>
      </c>
      <c r="B63" s="28" t="s">
        <v>230</v>
      </c>
      <c r="C63" s="10">
        <f>'inventory2022 (FINAL)'!E113</f>
        <v>2.8</v>
      </c>
      <c r="D63" s="615">
        <f>'[23]road inventory 2018'!C63</f>
        <v>2.8</v>
      </c>
      <c r="E63" s="10">
        <f>'inventory2022 (FINAL)'!F113</f>
        <v>0</v>
      </c>
      <c r="F63" s="10">
        <f>'inventory2022 (FINAL)'!G113</f>
        <v>0</v>
      </c>
      <c r="G63" s="10">
        <f>'inventory2022 (FINAL)'!H113</f>
        <v>0</v>
      </c>
      <c r="H63" s="10">
        <f>'inventory2022 (FINAL)'!I113</f>
        <v>2.8</v>
      </c>
      <c r="I63" s="10">
        <v>0</v>
      </c>
      <c r="J63" s="103" t="s">
        <v>33</v>
      </c>
      <c r="K63" s="597" t="s">
        <v>374</v>
      </c>
      <c r="L63" s="28"/>
      <c r="M63" s="2"/>
      <c r="N63" s="581"/>
    </row>
    <row r="64" spans="1:14" s="26" customFormat="1" ht="16.5" customHeight="1" x14ac:dyDescent="0.35">
      <c r="A64" s="589">
        <v>42</v>
      </c>
      <c r="B64" s="24" t="s">
        <v>227</v>
      </c>
      <c r="C64" s="10">
        <f>'inventory2022 (FINAL)'!E114</f>
        <v>1.5</v>
      </c>
      <c r="D64" s="615">
        <f>'[23]road inventory 2018'!C64</f>
        <v>1.5</v>
      </c>
      <c r="E64" s="10">
        <f>'inventory2022 (FINAL)'!F114</f>
        <v>0.17</v>
      </c>
      <c r="F64" s="10">
        <f>'inventory2022 (FINAL)'!G114</f>
        <v>0</v>
      </c>
      <c r="G64" s="10">
        <f>'inventory2022 (FINAL)'!H114</f>
        <v>0</v>
      </c>
      <c r="H64" s="10">
        <f>'inventory2022 (FINAL)'!I114</f>
        <v>1.33</v>
      </c>
      <c r="I64" s="15">
        <v>0</v>
      </c>
      <c r="J64" s="106" t="s">
        <v>12</v>
      </c>
      <c r="K64" s="591" t="s">
        <v>375</v>
      </c>
      <c r="L64" s="24"/>
      <c r="M64" s="593"/>
      <c r="N64" s="617"/>
    </row>
    <row r="65" spans="1:17" s="1" customFormat="1" ht="16.5" customHeight="1" x14ac:dyDescent="0.35">
      <c r="A65" s="596">
        <v>43</v>
      </c>
      <c r="B65" s="28" t="s">
        <v>226</v>
      </c>
      <c r="C65" s="10">
        <f>'inventory2022 (FINAL)'!E115</f>
        <v>12.7</v>
      </c>
      <c r="D65" s="615">
        <f>'[23]road inventory 2018'!C65</f>
        <v>12.7</v>
      </c>
      <c r="E65" s="10">
        <f>'inventory2022 (FINAL)'!F115</f>
        <v>0.16</v>
      </c>
      <c r="F65" s="10">
        <f>'inventory2022 (FINAL)'!G115</f>
        <v>0</v>
      </c>
      <c r="G65" s="10">
        <f>'inventory2022 (FINAL)'!H115</f>
        <v>0</v>
      </c>
      <c r="H65" s="10">
        <f>'inventory2022 (FINAL)'!I115</f>
        <v>12.54</v>
      </c>
      <c r="I65" s="10">
        <v>0</v>
      </c>
      <c r="J65" s="103" t="s">
        <v>41</v>
      </c>
      <c r="K65" s="597" t="s">
        <v>376</v>
      </c>
      <c r="L65" s="28" t="s">
        <v>833</v>
      </c>
      <c r="M65" s="2"/>
      <c r="N65" s="581" t="s">
        <v>377</v>
      </c>
      <c r="Q65" s="22">
        <f>D65-C65</f>
        <v>0</v>
      </c>
    </row>
    <row r="66" spans="1:17" s="1" customFormat="1" ht="16.5" customHeight="1" x14ac:dyDescent="0.35">
      <c r="A66" s="596">
        <v>44</v>
      </c>
      <c r="B66" s="28" t="s">
        <v>229</v>
      </c>
      <c r="C66" s="10">
        <f>'inventory2022 (FINAL)'!E116</f>
        <v>5.3</v>
      </c>
      <c r="D66" s="615">
        <f>'[23]road inventory 2018'!C66</f>
        <v>5.3</v>
      </c>
      <c r="E66" s="10">
        <f>'inventory2022 (FINAL)'!F116</f>
        <v>1.5</v>
      </c>
      <c r="F66" s="10">
        <f>'inventory2022 (FINAL)'!G116</f>
        <v>0</v>
      </c>
      <c r="G66" s="10">
        <f>'inventory2022 (FINAL)'!H116</f>
        <v>0</v>
      </c>
      <c r="H66" s="10">
        <f>'inventory2022 (FINAL)'!I116</f>
        <v>3.8</v>
      </c>
      <c r="I66" s="10">
        <v>0</v>
      </c>
      <c r="J66" s="103" t="s">
        <v>41</v>
      </c>
      <c r="K66" s="597" t="s">
        <v>378</v>
      </c>
      <c r="L66" s="28"/>
      <c r="M66" s="2"/>
      <c r="N66" s="581"/>
    </row>
    <row r="67" spans="1:17" s="26" customFormat="1" ht="16.5" customHeight="1" x14ac:dyDescent="0.35">
      <c r="A67" s="589">
        <v>104</v>
      </c>
      <c r="B67" s="24" t="s">
        <v>240</v>
      </c>
      <c r="C67" s="10">
        <f>'inventory2022 (FINAL)'!E117</f>
        <v>3.1</v>
      </c>
      <c r="D67" s="615">
        <f>'[23]road inventory 2018'!C67</f>
        <v>3.1</v>
      </c>
      <c r="E67" s="10">
        <f>'inventory2022 (FINAL)'!F117</f>
        <v>0</v>
      </c>
      <c r="F67" s="10">
        <f>'inventory2022 (FINAL)'!G117</f>
        <v>0</v>
      </c>
      <c r="G67" s="10">
        <f>'inventory2022 (FINAL)'!H117</f>
        <v>0</v>
      </c>
      <c r="H67" s="10">
        <f>'inventory2022 (FINAL)'!I117</f>
        <v>3.1</v>
      </c>
      <c r="I67" s="15">
        <v>0</v>
      </c>
      <c r="J67" s="106" t="s">
        <v>12</v>
      </c>
      <c r="K67" s="591" t="s">
        <v>379</v>
      </c>
      <c r="L67" s="24"/>
      <c r="M67" s="593"/>
      <c r="N67" s="617"/>
    </row>
    <row r="68" spans="1:17" s="26" customFormat="1" ht="16.5" customHeight="1" x14ac:dyDescent="0.35">
      <c r="A68" s="626"/>
      <c r="B68" s="60"/>
      <c r="C68" s="61">
        <f t="shared" ref="C68:I68" si="2">SUM(C41:C67)</f>
        <v>102.5</v>
      </c>
      <c r="D68" s="627">
        <f t="shared" si="2"/>
        <v>102.1</v>
      </c>
      <c r="E68" s="61">
        <f t="shared" si="2"/>
        <v>29.040000000000003</v>
      </c>
      <c r="F68" s="61">
        <f t="shared" si="2"/>
        <v>0</v>
      </c>
      <c r="G68" s="61">
        <f t="shared" si="2"/>
        <v>0</v>
      </c>
      <c r="H68" s="61">
        <f t="shared" si="2"/>
        <v>73.459999999999994</v>
      </c>
      <c r="I68" s="61">
        <f t="shared" si="2"/>
        <v>0</v>
      </c>
      <c r="J68" s="628"/>
      <c r="K68" s="629"/>
      <c r="L68" s="24"/>
      <c r="M68" s="593"/>
      <c r="N68" s="617"/>
    </row>
    <row r="69" spans="1:17" s="1" customFormat="1" ht="24" customHeight="1" thickBot="1" x14ac:dyDescent="0.4">
      <c r="A69" s="53" t="s">
        <v>341</v>
      </c>
      <c r="B69" s="34"/>
      <c r="C69" s="31">
        <f>SUM(E69:I69)</f>
        <v>102.5</v>
      </c>
      <c r="D69" s="630"/>
      <c r="E69" s="31">
        <f>SUM(E41:E67)</f>
        <v>29.040000000000003</v>
      </c>
      <c r="F69" s="31">
        <f>SUM(F41:F67)</f>
        <v>0</v>
      </c>
      <c r="G69" s="31">
        <f>SUM(G41:G67)</f>
        <v>0</v>
      </c>
      <c r="H69" s="31">
        <f>SUM(H41:H67)</f>
        <v>73.459999999999994</v>
      </c>
      <c r="I69" s="31">
        <f>SUM(I41:I67)</f>
        <v>0</v>
      </c>
      <c r="J69" s="608"/>
      <c r="K69" s="609"/>
      <c r="L69" s="97"/>
      <c r="M69" s="21"/>
      <c r="N69" s="581"/>
    </row>
    <row r="70" spans="1:17" s="1" customFormat="1" x14ac:dyDescent="0.35">
      <c r="A70" s="1217" t="s">
        <v>380</v>
      </c>
      <c r="B70" s="1218"/>
      <c r="C70" s="1218"/>
      <c r="D70" s="1218"/>
      <c r="E70" s="1218"/>
      <c r="F70" s="1218"/>
      <c r="G70" s="1218"/>
      <c r="H70" s="1218"/>
      <c r="I70" s="1218"/>
      <c r="J70" s="1218"/>
      <c r="K70" s="1218"/>
      <c r="L70" s="1219"/>
      <c r="M70" s="584"/>
      <c r="N70" s="581"/>
    </row>
    <row r="71" spans="1:17" s="1" customFormat="1" ht="16" thickBot="1" x14ac:dyDescent="0.4">
      <c r="A71" s="585"/>
      <c r="B71" s="2"/>
      <c r="C71" s="5"/>
      <c r="D71" s="586"/>
      <c r="E71" s="5"/>
      <c r="F71" s="5"/>
      <c r="G71" s="5"/>
      <c r="H71" s="5"/>
      <c r="I71" s="5"/>
      <c r="J71" s="3"/>
      <c r="K71" s="21"/>
      <c r="L71" s="631"/>
      <c r="M71" s="21"/>
      <c r="N71" s="581"/>
    </row>
    <row r="72" spans="1:17" s="1" customFormat="1" ht="21" customHeight="1" x14ac:dyDescent="0.35">
      <c r="A72" s="1206" t="s">
        <v>302</v>
      </c>
      <c r="B72" s="1208" t="s">
        <v>28</v>
      </c>
      <c r="C72" s="1210" t="s">
        <v>343</v>
      </c>
      <c r="D72" s="613"/>
      <c r="E72" s="1212" t="s">
        <v>305</v>
      </c>
      <c r="F72" s="1212"/>
      <c r="G72" s="1212"/>
      <c r="H72" s="1212"/>
      <c r="I72" s="1212"/>
      <c r="J72" s="1208" t="s">
        <v>29</v>
      </c>
      <c r="K72" s="1213" t="s">
        <v>306</v>
      </c>
      <c r="L72" s="1226" t="s">
        <v>307</v>
      </c>
      <c r="M72" s="588"/>
      <c r="N72" s="581"/>
    </row>
    <row r="73" spans="1:17" s="1" customFormat="1" ht="21" customHeight="1" thickBot="1" x14ac:dyDescent="0.4">
      <c r="A73" s="1207"/>
      <c r="B73" s="1209"/>
      <c r="C73" s="1211"/>
      <c r="D73" s="614"/>
      <c r="E73" s="7" t="s">
        <v>308</v>
      </c>
      <c r="F73" s="7" t="s">
        <v>309</v>
      </c>
      <c r="G73" s="7" t="s">
        <v>310</v>
      </c>
      <c r="H73" s="7" t="s">
        <v>311</v>
      </c>
      <c r="I73" s="7" t="s">
        <v>312</v>
      </c>
      <c r="J73" s="1209"/>
      <c r="K73" s="1214"/>
      <c r="L73" s="1227"/>
      <c r="M73" s="588"/>
      <c r="N73" s="581"/>
    </row>
    <row r="74" spans="1:17" s="26" customFormat="1" ht="16.5" customHeight="1" x14ac:dyDescent="0.35">
      <c r="A74" s="589">
        <v>107</v>
      </c>
      <c r="B74" s="24" t="s">
        <v>381</v>
      </c>
      <c r="C74" s="15">
        <f>'inventory2022 (FINAL)'!E121</f>
        <v>2.5</v>
      </c>
      <c r="D74" s="590">
        <f>'[23]road inventory 2018'!C73</f>
        <v>2.5</v>
      </c>
      <c r="E74" s="632">
        <f>'inventory2022 (FINAL)'!F121</f>
        <v>2.04</v>
      </c>
      <c r="F74" s="632">
        <f>'inventory2022 (FINAL)'!G121</f>
        <v>0</v>
      </c>
      <c r="G74" s="632">
        <f>'inventory2022 (FINAL)'!H121</f>
        <v>0</v>
      </c>
      <c r="H74" s="15">
        <f>'inventory2022 (FINAL)'!I121</f>
        <v>0.46</v>
      </c>
      <c r="I74" s="15">
        <v>0</v>
      </c>
      <c r="J74" s="106" t="s">
        <v>12</v>
      </c>
      <c r="K74" s="591" t="s">
        <v>382</v>
      </c>
      <c r="L74" s="592"/>
      <c r="M74" s="593"/>
      <c r="N74" s="617"/>
    </row>
    <row r="75" spans="1:17" s="26" customFormat="1" ht="16.5" customHeight="1" x14ac:dyDescent="0.35">
      <c r="A75" s="589">
        <v>102</v>
      </c>
      <c r="B75" s="24" t="s">
        <v>242</v>
      </c>
      <c r="C75" s="15">
        <f>'inventory2022 (FINAL)'!E122</f>
        <v>1.3</v>
      </c>
      <c r="D75" s="590">
        <f>'[23]road inventory 2018'!C74</f>
        <v>1.3</v>
      </c>
      <c r="E75" s="632">
        <f>'inventory2022 (FINAL)'!F122</f>
        <v>0.27</v>
      </c>
      <c r="F75" s="632">
        <f>'inventory2022 (FINAL)'!G122</f>
        <v>0</v>
      </c>
      <c r="G75" s="632">
        <f>'inventory2022 (FINAL)'!H122</f>
        <v>0</v>
      </c>
      <c r="H75" s="15">
        <f>'inventory2022 (FINAL)'!I122</f>
        <v>1.03</v>
      </c>
      <c r="I75" s="15">
        <v>0</v>
      </c>
      <c r="J75" s="106" t="s">
        <v>12</v>
      </c>
      <c r="K75" s="591" t="s">
        <v>383</v>
      </c>
      <c r="L75" s="24"/>
      <c r="M75" s="593"/>
      <c r="N75" s="617"/>
    </row>
    <row r="76" spans="1:17" s="1" customFormat="1" ht="16.5" customHeight="1" x14ac:dyDescent="0.35">
      <c r="A76" s="596">
        <v>101</v>
      </c>
      <c r="B76" s="28" t="s">
        <v>384</v>
      </c>
      <c r="C76" s="15">
        <f>'inventory2022 (FINAL)'!E123</f>
        <v>0.6</v>
      </c>
      <c r="D76" s="615">
        <f>'[23]road inventory 2018'!C75</f>
        <v>0.6</v>
      </c>
      <c r="E76" s="632">
        <f>'inventory2022 (FINAL)'!F123</f>
        <v>0</v>
      </c>
      <c r="F76" s="632">
        <f>'inventory2022 (FINAL)'!G123</f>
        <v>0</v>
      </c>
      <c r="G76" s="632">
        <f>'inventory2022 (FINAL)'!H123</f>
        <v>0</v>
      </c>
      <c r="H76" s="15">
        <f>'inventory2022 (FINAL)'!I123</f>
        <v>0.6</v>
      </c>
      <c r="I76" s="10">
        <v>0</v>
      </c>
      <c r="J76" s="103" t="s">
        <v>10</v>
      </c>
      <c r="K76" s="597" t="s">
        <v>385</v>
      </c>
      <c r="L76" s="28" t="s">
        <v>356</v>
      </c>
      <c r="M76" s="2"/>
      <c r="N76" s="581" t="s">
        <v>386</v>
      </c>
    </row>
    <row r="77" spans="1:17" s="26" customFormat="1" ht="16.5" customHeight="1" x14ac:dyDescent="0.35">
      <c r="A77" s="589">
        <v>47</v>
      </c>
      <c r="B77" s="24" t="s">
        <v>38</v>
      </c>
      <c r="C77" s="15">
        <f>'inventory2022 (FINAL)'!E124</f>
        <v>17</v>
      </c>
      <c r="D77" s="590">
        <f>'[23]road inventory 2018'!C76</f>
        <v>17</v>
      </c>
      <c r="E77" s="632">
        <f>'inventory2022 (FINAL)'!F124</f>
        <v>1.31</v>
      </c>
      <c r="F77" s="632">
        <f>'inventory2022 (FINAL)'!G124</f>
        <v>0</v>
      </c>
      <c r="G77" s="632">
        <f>'inventory2022 (FINAL)'!H124</f>
        <v>0</v>
      </c>
      <c r="H77" s="15">
        <f>'inventory2022 (FINAL)'!I124</f>
        <v>15.69</v>
      </c>
      <c r="I77" s="15">
        <v>0</v>
      </c>
      <c r="J77" s="106" t="s">
        <v>12</v>
      </c>
      <c r="K77" s="591" t="s">
        <v>387</v>
      </c>
      <c r="L77" s="24"/>
      <c r="M77" s="593"/>
      <c r="N77" s="617"/>
    </row>
    <row r="78" spans="1:17" s="26" customFormat="1" ht="16.5" customHeight="1" x14ac:dyDescent="0.35">
      <c r="A78" s="589">
        <v>48</v>
      </c>
      <c r="B78" s="24" t="s">
        <v>388</v>
      </c>
      <c r="C78" s="15">
        <f>'inventory2022 (FINAL)'!E125</f>
        <v>2.6</v>
      </c>
      <c r="D78" s="590">
        <f>'[23]road inventory 2018'!C77</f>
        <v>2.6</v>
      </c>
      <c r="E78" s="632">
        <f>'inventory2022 (FINAL)'!F125</f>
        <v>0</v>
      </c>
      <c r="F78" s="632">
        <f>'inventory2022 (FINAL)'!G125</f>
        <v>0</v>
      </c>
      <c r="G78" s="632">
        <f>'inventory2022 (FINAL)'!H125</f>
        <v>0</v>
      </c>
      <c r="H78" s="15">
        <f>'inventory2022 (FINAL)'!I125</f>
        <v>2.6</v>
      </c>
      <c r="I78" s="15">
        <v>0</v>
      </c>
      <c r="J78" s="106" t="s">
        <v>12</v>
      </c>
      <c r="K78" s="591" t="s">
        <v>389</v>
      </c>
      <c r="L78" s="24"/>
      <c r="M78" s="593"/>
      <c r="N78" s="617"/>
    </row>
    <row r="79" spans="1:17" s="26" customFormat="1" ht="16.5" customHeight="1" x14ac:dyDescent="0.35">
      <c r="A79" s="589">
        <v>90</v>
      </c>
      <c r="B79" s="24" t="s">
        <v>390</v>
      </c>
      <c r="C79" s="15">
        <f>'inventory2022 (FINAL)'!E126</f>
        <v>4.3499999999999996</v>
      </c>
      <c r="D79" s="590">
        <f>'[23]road inventory 2018'!C78</f>
        <v>4.3499999999999996</v>
      </c>
      <c r="E79" s="632">
        <f>'inventory2022 (FINAL)'!F126</f>
        <v>0</v>
      </c>
      <c r="F79" s="632">
        <f>'inventory2022 (FINAL)'!G126</f>
        <v>0</v>
      </c>
      <c r="G79" s="632">
        <f>'inventory2022 (FINAL)'!H126</f>
        <v>0</v>
      </c>
      <c r="H79" s="15">
        <f>'inventory2022 (FINAL)'!I126</f>
        <v>4.3499999999999996</v>
      </c>
      <c r="I79" s="15">
        <v>0</v>
      </c>
      <c r="J79" s="106" t="s">
        <v>12</v>
      </c>
      <c r="K79" s="591" t="s">
        <v>391</v>
      </c>
      <c r="L79" s="24"/>
      <c r="M79" s="593"/>
      <c r="N79" s="617"/>
    </row>
    <row r="80" spans="1:17" s="625" customFormat="1" ht="16.5" customHeight="1" x14ac:dyDescent="0.35">
      <c r="A80" s="618">
        <v>99</v>
      </c>
      <c r="B80" s="619" t="s">
        <v>392</v>
      </c>
      <c r="C80" s="15">
        <f>'inventory2022 (FINAL)'!E127</f>
        <v>14.1</v>
      </c>
      <c r="D80" s="634">
        <f>'[23]road inventory 2018'!C79</f>
        <v>14.1</v>
      </c>
      <c r="E80" s="632">
        <f>'inventory2022 (FINAL)'!F127</f>
        <v>2.1</v>
      </c>
      <c r="F80" s="632">
        <f>'inventory2022 (FINAL)'!G127</f>
        <v>0</v>
      </c>
      <c r="G80" s="632">
        <f>'inventory2022 (FINAL)'!H127</f>
        <v>0</v>
      </c>
      <c r="H80" s="15">
        <f>'inventory2022 (FINAL)'!I127</f>
        <v>12</v>
      </c>
      <c r="I80" s="620">
        <v>0</v>
      </c>
      <c r="J80" s="621" t="s">
        <v>12</v>
      </c>
      <c r="K80" s="622" t="s">
        <v>393</v>
      </c>
      <c r="L80" s="619"/>
      <c r="M80" s="623"/>
      <c r="N80" s="624"/>
    </row>
    <row r="81" spans="1:14" s="1" customFormat="1" ht="16.5" customHeight="1" x14ac:dyDescent="0.35">
      <c r="A81" s="635"/>
      <c r="B81" s="40"/>
      <c r="C81" s="41">
        <f t="shared" ref="C81:H81" si="3">SUM(C74:C80)</f>
        <v>42.45</v>
      </c>
      <c r="D81" s="636">
        <f t="shared" si="3"/>
        <v>42.45</v>
      </c>
      <c r="E81" s="41">
        <f t="shared" si="3"/>
        <v>5.7200000000000006</v>
      </c>
      <c r="F81" s="41">
        <f t="shared" si="3"/>
        <v>0</v>
      </c>
      <c r="G81" s="41">
        <f t="shared" si="3"/>
        <v>0</v>
      </c>
      <c r="H81" s="41">
        <f t="shared" si="3"/>
        <v>36.730000000000004</v>
      </c>
      <c r="I81" s="41"/>
      <c r="J81" s="109"/>
      <c r="K81" s="605"/>
      <c r="L81" s="28"/>
      <c r="M81" s="2"/>
      <c r="N81" s="581"/>
    </row>
    <row r="82" spans="1:14" s="1" customFormat="1" ht="23.25" customHeight="1" thickBot="1" x14ac:dyDescent="0.4">
      <c r="A82" s="53" t="s">
        <v>341</v>
      </c>
      <c r="B82" s="34"/>
      <c r="C82" s="31">
        <f>SUM(E82:I82)</f>
        <v>42.45</v>
      </c>
      <c r="D82" s="630"/>
      <c r="E82" s="31">
        <f>SUM(E74:E80)</f>
        <v>5.7200000000000006</v>
      </c>
      <c r="F82" s="31">
        <f>SUM(F74:F80)</f>
        <v>0</v>
      </c>
      <c r="G82" s="31">
        <f>SUM(G74:G80)</f>
        <v>0</v>
      </c>
      <c r="H82" s="31">
        <f>SUM(H74:H80)</f>
        <v>36.730000000000004</v>
      </c>
      <c r="I82" s="31">
        <f>SUM(I74:I80)</f>
        <v>0</v>
      </c>
      <c r="J82" s="608"/>
      <c r="K82" s="609"/>
      <c r="L82" s="97"/>
      <c r="M82" s="21"/>
      <c r="N82" s="581"/>
    </row>
    <row r="83" spans="1:14" s="1" customFormat="1" ht="15" customHeight="1" thickBot="1" x14ac:dyDescent="0.4">
      <c r="A83" s="544"/>
      <c r="B83" s="35"/>
      <c r="C83" s="22"/>
      <c r="D83" s="610"/>
      <c r="E83" s="22"/>
      <c r="F83" s="22"/>
      <c r="G83" s="22"/>
      <c r="H83" s="22"/>
      <c r="I83" s="22"/>
      <c r="K83" s="21"/>
      <c r="L83" s="611"/>
      <c r="M83" s="21"/>
      <c r="N83" s="581"/>
    </row>
    <row r="84" spans="1:14" s="1" customFormat="1" x14ac:dyDescent="0.35">
      <c r="A84" s="1217" t="s">
        <v>394</v>
      </c>
      <c r="B84" s="1218"/>
      <c r="C84" s="1218"/>
      <c r="D84" s="1218"/>
      <c r="E84" s="1218"/>
      <c r="F84" s="1218"/>
      <c r="G84" s="1218"/>
      <c r="H84" s="1218"/>
      <c r="I84" s="1218"/>
      <c r="J84" s="1218"/>
      <c r="K84" s="1218"/>
      <c r="L84" s="1219"/>
      <c r="M84" s="584"/>
      <c r="N84" s="581"/>
    </row>
    <row r="85" spans="1:14" s="1" customFormat="1" ht="16" thickBot="1" x14ac:dyDescent="0.4">
      <c r="A85" s="585"/>
      <c r="B85" s="2"/>
      <c r="C85" s="5"/>
      <c r="D85" s="586"/>
      <c r="E85" s="5"/>
      <c r="F85" s="5"/>
      <c r="G85" s="5"/>
      <c r="H85" s="5"/>
      <c r="I85" s="5"/>
      <c r="J85" s="3"/>
      <c r="K85" s="21"/>
      <c r="L85" s="637"/>
      <c r="M85" s="21"/>
      <c r="N85" s="581"/>
    </row>
    <row r="86" spans="1:14" s="1" customFormat="1" ht="21" customHeight="1" x14ac:dyDescent="0.35">
      <c r="A86" s="1206" t="s">
        <v>302</v>
      </c>
      <c r="B86" s="1208" t="s">
        <v>28</v>
      </c>
      <c r="C86" s="1210" t="s">
        <v>343</v>
      </c>
      <c r="D86" s="613"/>
      <c r="E86" s="1212" t="s">
        <v>305</v>
      </c>
      <c r="F86" s="1212"/>
      <c r="G86" s="1212"/>
      <c r="H86" s="1212"/>
      <c r="I86" s="1212"/>
      <c r="J86" s="1208" t="s">
        <v>29</v>
      </c>
      <c r="K86" s="1213" t="s">
        <v>306</v>
      </c>
      <c r="L86" s="1226" t="s">
        <v>307</v>
      </c>
      <c r="M86" s="588"/>
      <c r="N86" s="581"/>
    </row>
    <row r="87" spans="1:14" s="1" customFormat="1" ht="21" customHeight="1" thickBot="1" x14ac:dyDescent="0.4">
      <c r="A87" s="1207"/>
      <c r="B87" s="1209"/>
      <c r="C87" s="1211"/>
      <c r="D87" s="614"/>
      <c r="E87" s="7" t="s">
        <v>308</v>
      </c>
      <c r="F87" s="7" t="s">
        <v>309</v>
      </c>
      <c r="G87" s="7" t="s">
        <v>310</v>
      </c>
      <c r="H87" s="7" t="s">
        <v>311</v>
      </c>
      <c r="I87" s="7" t="s">
        <v>312</v>
      </c>
      <c r="J87" s="1209"/>
      <c r="K87" s="1214"/>
      <c r="L87" s="1227"/>
      <c r="M87" s="588"/>
      <c r="N87" s="581"/>
    </row>
    <row r="88" spans="1:14" s="642" customFormat="1" ht="36.75" customHeight="1" x14ac:dyDescent="0.35">
      <c r="A88" s="638">
        <v>108</v>
      </c>
      <c r="B88" s="24" t="s">
        <v>395</v>
      </c>
      <c r="C88" s="639">
        <f>'inventory2022 (FINAL)'!E131</f>
        <v>3.1</v>
      </c>
      <c r="D88" s="640">
        <f>'[23]road inventory 2018'!C86</f>
        <v>3.1</v>
      </c>
      <c r="E88" s="639">
        <f>'inventory2022 (FINAL)'!F131</f>
        <v>0.48</v>
      </c>
      <c r="F88" s="639">
        <f>'inventory2022 (FINAL)'!G131</f>
        <v>0</v>
      </c>
      <c r="G88" s="639">
        <f>'inventory2022 (FINAL)'!H131</f>
        <v>0</v>
      </c>
      <c r="H88" s="639">
        <f>'inventory2022 (FINAL)'!I131</f>
        <v>2.62</v>
      </c>
      <c r="I88" s="110">
        <v>0</v>
      </c>
      <c r="J88" s="24" t="s">
        <v>12</v>
      </c>
      <c r="K88" s="591" t="s">
        <v>396</v>
      </c>
      <c r="L88" s="592"/>
      <c r="M88" s="593"/>
      <c r="N88" s="641"/>
    </row>
    <row r="89" spans="1:14" s="1" customFormat="1" ht="26.25" customHeight="1" thickBot="1" x14ac:dyDescent="0.4">
      <c r="A89" s="53" t="s">
        <v>341</v>
      </c>
      <c r="B89" s="34"/>
      <c r="C89" s="31">
        <f>SUM(C88:C88)</f>
        <v>3.1</v>
      </c>
      <c r="D89" s="630"/>
      <c r="E89" s="31">
        <f>SUM(E88:E88)</f>
        <v>0.48</v>
      </c>
      <c r="F89" s="31">
        <f>SUM(F88:F88)</f>
        <v>0</v>
      </c>
      <c r="G89" s="31">
        <f>SUM(G88:G88)</f>
        <v>0</v>
      </c>
      <c r="H89" s="31">
        <f>SUM(H88:H88)</f>
        <v>2.62</v>
      </c>
      <c r="I89" s="31">
        <f>SUM(I88:I88)</f>
        <v>0</v>
      </c>
      <c r="J89" s="643"/>
      <c r="K89" s="644"/>
      <c r="L89" s="40"/>
      <c r="M89" s="2"/>
      <c r="N89" s="581"/>
    </row>
    <row r="90" spans="1:14" s="1" customFormat="1" ht="14.25" customHeight="1" thickBot="1" x14ac:dyDescent="0.4">
      <c r="A90" s="95"/>
      <c r="B90" s="37"/>
      <c r="C90" s="38"/>
      <c r="D90" s="645"/>
      <c r="E90" s="38"/>
      <c r="F90" s="38"/>
      <c r="G90" s="38"/>
      <c r="H90" s="38"/>
      <c r="I90" s="38"/>
      <c r="J90" s="3"/>
      <c r="K90" s="2"/>
      <c r="L90" s="646"/>
      <c r="M90" s="2"/>
      <c r="N90" s="581"/>
    </row>
    <row r="91" spans="1:14" s="1" customFormat="1" x14ac:dyDescent="0.35">
      <c r="A91" s="1217" t="s">
        <v>397</v>
      </c>
      <c r="B91" s="1218"/>
      <c r="C91" s="1218"/>
      <c r="D91" s="1218"/>
      <c r="E91" s="1218"/>
      <c r="F91" s="1218"/>
      <c r="G91" s="1218"/>
      <c r="H91" s="1218"/>
      <c r="I91" s="1218"/>
      <c r="J91" s="1218"/>
      <c r="K91" s="1218"/>
      <c r="L91" s="1219"/>
      <c r="M91" s="584"/>
      <c r="N91" s="581"/>
    </row>
    <row r="92" spans="1:14" s="1" customFormat="1" ht="16" thickBot="1" x14ac:dyDescent="0.4">
      <c r="A92" s="585"/>
      <c r="B92" s="2"/>
      <c r="C92" s="5"/>
      <c r="D92" s="586"/>
      <c r="E92" s="5"/>
      <c r="F92" s="5"/>
      <c r="G92" s="5"/>
      <c r="H92" s="5"/>
      <c r="I92" s="5"/>
      <c r="J92" s="3"/>
      <c r="K92" s="21"/>
      <c r="L92" s="97"/>
      <c r="M92" s="21"/>
      <c r="N92" s="581"/>
    </row>
    <row r="93" spans="1:14" s="1" customFormat="1" ht="21" customHeight="1" x14ac:dyDescent="0.35">
      <c r="A93" s="1206" t="s">
        <v>302</v>
      </c>
      <c r="B93" s="1208" t="s">
        <v>28</v>
      </c>
      <c r="C93" s="1210" t="s">
        <v>343</v>
      </c>
      <c r="D93" s="613"/>
      <c r="E93" s="1212" t="s">
        <v>305</v>
      </c>
      <c r="F93" s="1212"/>
      <c r="G93" s="1212"/>
      <c r="H93" s="1212"/>
      <c r="I93" s="1212"/>
      <c r="J93" s="1208" t="s">
        <v>29</v>
      </c>
      <c r="K93" s="1213" t="s">
        <v>306</v>
      </c>
      <c r="L93" s="1226" t="s">
        <v>307</v>
      </c>
      <c r="M93" s="588"/>
      <c r="N93" s="581"/>
    </row>
    <row r="94" spans="1:14" s="1" customFormat="1" ht="21" customHeight="1" thickBot="1" x14ac:dyDescent="0.4">
      <c r="A94" s="1207"/>
      <c r="B94" s="1209"/>
      <c r="C94" s="1211"/>
      <c r="D94" s="614"/>
      <c r="E94" s="7" t="s">
        <v>308</v>
      </c>
      <c r="F94" s="7" t="s">
        <v>309</v>
      </c>
      <c r="G94" s="7" t="s">
        <v>310</v>
      </c>
      <c r="H94" s="7" t="s">
        <v>311</v>
      </c>
      <c r="I94" s="7" t="s">
        <v>312</v>
      </c>
      <c r="J94" s="1209"/>
      <c r="K94" s="1214"/>
      <c r="L94" s="1227"/>
      <c r="M94" s="588"/>
      <c r="N94" s="581"/>
    </row>
    <row r="95" spans="1:14" s="1" customFormat="1" ht="16.5" customHeight="1" x14ac:dyDescent="0.35">
      <c r="A95" s="596">
        <v>223</v>
      </c>
      <c r="B95" s="28" t="s">
        <v>42</v>
      </c>
      <c r="C95" s="10">
        <f>'inventory2022 (FINAL)'!E135</f>
        <v>4.0999999999999996</v>
      </c>
      <c r="D95" s="10">
        <f>'inventory2022 (FINAL)'!F135</f>
        <v>0</v>
      </c>
      <c r="E95" s="10">
        <f>'inventory2022 (FINAL)'!F135</f>
        <v>0</v>
      </c>
      <c r="F95" s="10">
        <f>'inventory2022 (FINAL)'!G135</f>
        <v>0</v>
      </c>
      <c r="G95" s="10">
        <f>'inventory2022 (FINAL)'!H135</f>
        <v>0</v>
      </c>
      <c r="H95" s="10">
        <f>'inventory2022 (FINAL)'!I135</f>
        <v>4.0999999999999996</v>
      </c>
      <c r="I95" s="10">
        <v>0</v>
      </c>
      <c r="J95" s="103" t="s">
        <v>33</v>
      </c>
      <c r="K95" s="597" t="s">
        <v>398</v>
      </c>
      <c r="L95" s="112"/>
      <c r="M95" s="2"/>
      <c r="N95" s="581"/>
    </row>
    <row r="96" spans="1:14" s="625" customFormat="1" ht="16.5" customHeight="1" x14ac:dyDescent="0.35">
      <c r="A96" s="618">
        <v>224</v>
      </c>
      <c r="B96" s="619" t="s">
        <v>44</v>
      </c>
      <c r="C96" s="10">
        <f>'inventory2022 (FINAL)'!E136</f>
        <v>7.2</v>
      </c>
      <c r="D96" s="634">
        <f>'[23]road inventory 2018'!C94</f>
        <v>7.2</v>
      </c>
      <c r="E96" s="10">
        <f>'inventory2022 (FINAL)'!F136</f>
        <v>3.21</v>
      </c>
      <c r="F96" s="10">
        <f>'inventory2022 (FINAL)'!G136</f>
        <v>0</v>
      </c>
      <c r="G96" s="10">
        <f>'inventory2022 (FINAL)'!H136</f>
        <v>0</v>
      </c>
      <c r="H96" s="10">
        <f>'inventory2022 (FINAL)'!I136</f>
        <v>3.99</v>
      </c>
      <c r="I96" s="620">
        <v>0</v>
      </c>
      <c r="J96" s="621" t="s">
        <v>12</v>
      </c>
      <c r="K96" s="622" t="s">
        <v>399</v>
      </c>
      <c r="L96" s="619"/>
      <c r="M96" s="623"/>
      <c r="N96" s="624"/>
    </row>
    <row r="97" spans="1:14" s="1" customFormat="1" ht="16.5" customHeight="1" x14ac:dyDescent="0.35">
      <c r="A97" s="596">
        <v>45</v>
      </c>
      <c r="B97" s="28" t="s">
        <v>400</v>
      </c>
      <c r="C97" s="10">
        <f>'inventory2022 (FINAL)'!E137</f>
        <v>7.8999999999999995</v>
      </c>
      <c r="D97" s="615">
        <f>'[23]road inventory 2018'!C95</f>
        <v>7.8999999999999995</v>
      </c>
      <c r="E97" s="10">
        <f>'inventory2022 (FINAL)'!F137</f>
        <v>0.71</v>
      </c>
      <c r="F97" s="10">
        <f>'inventory2022 (FINAL)'!G137</f>
        <v>0</v>
      </c>
      <c r="G97" s="10">
        <f>'inventory2022 (FINAL)'!H137</f>
        <v>0</v>
      </c>
      <c r="H97" s="10">
        <f>'inventory2022 (FINAL)'!I137</f>
        <v>7.19</v>
      </c>
      <c r="I97" s="10">
        <v>0</v>
      </c>
      <c r="J97" s="103" t="s">
        <v>33</v>
      </c>
      <c r="K97" s="597" t="s">
        <v>401</v>
      </c>
      <c r="L97" s="28"/>
      <c r="M97" s="2"/>
      <c r="N97" s="581"/>
    </row>
    <row r="98" spans="1:14" s="26" customFormat="1" ht="16.5" customHeight="1" x14ac:dyDescent="0.35">
      <c r="A98" s="589">
        <v>217</v>
      </c>
      <c r="B98" s="24" t="s">
        <v>243</v>
      </c>
      <c r="C98" s="10">
        <f>'inventory2022 (FINAL)'!E138</f>
        <v>1.1000000000000001</v>
      </c>
      <c r="D98" s="615">
        <f>'[23]road inventory 2018'!C96</f>
        <v>1.1000000000000001</v>
      </c>
      <c r="E98" s="10">
        <f>'inventory2022 (FINAL)'!F138</f>
        <v>1.1000000000000001</v>
      </c>
      <c r="F98" s="10">
        <f>'inventory2022 (FINAL)'!G138</f>
        <v>0</v>
      </c>
      <c r="G98" s="10">
        <f>'inventory2022 (FINAL)'!H138</f>
        <v>0</v>
      </c>
      <c r="H98" s="10">
        <f>'inventory2022 (FINAL)'!I138</f>
        <v>0</v>
      </c>
      <c r="I98" s="15">
        <v>0</v>
      </c>
      <c r="J98" s="106" t="s">
        <v>10</v>
      </c>
      <c r="K98" s="591" t="s">
        <v>402</v>
      </c>
      <c r="L98" s="24"/>
      <c r="M98" s="593"/>
      <c r="N98" s="617"/>
    </row>
    <row r="99" spans="1:14" s="26" customFormat="1" ht="16.5" customHeight="1" x14ac:dyDescent="0.35">
      <c r="A99" s="589">
        <v>225</v>
      </c>
      <c r="B99" s="24" t="s">
        <v>403</v>
      </c>
      <c r="C99" s="10">
        <f>'inventory2022 (FINAL)'!E139</f>
        <v>0.4</v>
      </c>
      <c r="D99" s="615">
        <f>'[23]road inventory 2018'!C97</f>
        <v>0.4</v>
      </c>
      <c r="E99" s="10">
        <f>'inventory2022 (FINAL)'!F139</f>
        <v>0</v>
      </c>
      <c r="F99" s="10">
        <f>'inventory2022 (FINAL)'!G139</f>
        <v>0</v>
      </c>
      <c r="G99" s="10">
        <f>'inventory2022 (FINAL)'!H139</f>
        <v>0</v>
      </c>
      <c r="H99" s="10">
        <f>'inventory2022 (FINAL)'!I139</f>
        <v>0.4</v>
      </c>
      <c r="I99" s="15">
        <v>0</v>
      </c>
      <c r="J99" s="106" t="s">
        <v>10</v>
      </c>
      <c r="K99" s="591" t="s">
        <v>404</v>
      </c>
      <c r="L99" s="24"/>
      <c r="M99" s="593"/>
      <c r="N99" s="617"/>
    </row>
    <row r="100" spans="1:14" s="26" customFormat="1" ht="16.5" customHeight="1" x14ac:dyDescent="0.35">
      <c r="A100" s="589">
        <v>226</v>
      </c>
      <c r="B100" s="24" t="s">
        <v>45</v>
      </c>
      <c r="C100" s="10">
        <f>'inventory2022 (FINAL)'!E140</f>
        <v>4.8</v>
      </c>
      <c r="D100" s="615">
        <f>'[23]road inventory 2018'!C98</f>
        <v>4.8</v>
      </c>
      <c r="E100" s="10">
        <f>'inventory2022 (FINAL)'!F140</f>
        <v>0.86</v>
      </c>
      <c r="F100" s="10">
        <f>'inventory2022 (FINAL)'!G140</f>
        <v>0</v>
      </c>
      <c r="G100" s="10">
        <f>'inventory2022 (FINAL)'!H140</f>
        <v>0</v>
      </c>
      <c r="H100" s="10">
        <f>'inventory2022 (FINAL)'!I140</f>
        <v>3.94</v>
      </c>
      <c r="I100" s="15">
        <v>0</v>
      </c>
      <c r="J100" s="106" t="s">
        <v>10</v>
      </c>
      <c r="K100" s="591" t="s">
        <v>405</v>
      </c>
      <c r="L100" s="24"/>
      <c r="M100" s="593"/>
      <c r="N100" s="617"/>
    </row>
    <row r="101" spans="1:14" s="26" customFormat="1" ht="16.5" customHeight="1" x14ac:dyDescent="0.35">
      <c r="A101" s="589">
        <v>116</v>
      </c>
      <c r="B101" s="24" t="s">
        <v>47</v>
      </c>
      <c r="C101" s="10">
        <f>'inventory2022 (FINAL)'!E141</f>
        <v>12.3</v>
      </c>
      <c r="D101" s="615">
        <f>'[23]road inventory 2018'!C99</f>
        <v>12.3</v>
      </c>
      <c r="E101" s="10">
        <f>'inventory2022 (FINAL)'!F141</f>
        <v>6.67</v>
      </c>
      <c r="F101" s="10">
        <f>'inventory2022 (FINAL)'!G141</f>
        <v>0</v>
      </c>
      <c r="G101" s="10">
        <f>'inventory2022 (FINAL)'!H141</f>
        <v>0</v>
      </c>
      <c r="H101" s="10">
        <f>'inventory2022 (FINAL)'!I141</f>
        <v>5.63</v>
      </c>
      <c r="I101" s="15">
        <v>0</v>
      </c>
      <c r="J101" s="106" t="s">
        <v>12</v>
      </c>
      <c r="K101" s="591" t="s">
        <v>405</v>
      </c>
      <c r="L101" s="24"/>
      <c r="M101" s="593"/>
      <c r="N101" s="617"/>
    </row>
    <row r="102" spans="1:14" s="26" customFormat="1" ht="16.5" customHeight="1" x14ac:dyDescent="0.35">
      <c r="A102" s="589">
        <v>46</v>
      </c>
      <c r="B102" s="24" t="s">
        <v>406</v>
      </c>
      <c r="C102" s="10">
        <f>'inventory2022 (FINAL)'!E142</f>
        <v>1.3</v>
      </c>
      <c r="D102" s="615">
        <f>'[23]road inventory 2018'!C100</f>
        <v>1.3</v>
      </c>
      <c r="E102" s="10">
        <f>'inventory2022 (FINAL)'!F142</f>
        <v>1.3</v>
      </c>
      <c r="F102" s="10">
        <f>'inventory2022 (FINAL)'!G142</f>
        <v>0</v>
      </c>
      <c r="G102" s="10">
        <f>'inventory2022 (FINAL)'!H142</f>
        <v>0</v>
      </c>
      <c r="H102" s="10">
        <f>'inventory2022 (FINAL)'!I142</f>
        <v>0</v>
      </c>
      <c r="I102" s="15">
        <v>0</v>
      </c>
      <c r="J102" s="106" t="s">
        <v>10</v>
      </c>
      <c r="K102" s="591" t="s">
        <v>407</v>
      </c>
      <c r="L102" s="24"/>
      <c r="M102" s="593"/>
      <c r="N102" s="617"/>
    </row>
    <row r="103" spans="1:14" s="1" customFormat="1" ht="16.5" customHeight="1" x14ac:dyDescent="0.35">
      <c r="A103" s="596">
        <v>227</v>
      </c>
      <c r="B103" s="28" t="s">
        <v>408</v>
      </c>
      <c r="C103" s="10">
        <f>'inventory2022 (FINAL)'!E143</f>
        <v>7.2</v>
      </c>
      <c r="D103" s="615">
        <f>'[23]road inventory 2018'!C101</f>
        <v>7.2</v>
      </c>
      <c r="E103" s="10">
        <f>'inventory2022 (FINAL)'!F143</f>
        <v>0</v>
      </c>
      <c r="F103" s="10">
        <f>'inventory2022 (FINAL)'!G143</f>
        <v>0</v>
      </c>
      <c r="G103" s="10">
        <f>'inventory2022 (FINAL)'!H143</f>
        <v>0</v>
      </c>
      <c r="H103" s="10">
        <f>'inventory2022 (FINAL)'!I143</f>
        <v>7.2</v>
      </c>
      <c r="I103" s="10">
        <v>0</v>
      </c>
      <c r="J103" s="103" t="s">
        <v>33</v>
      </c>
      <c r="K103" s="597" t="s">
        <v>409</v>
      </c>
      <c r="L103" s="28"/>
      <c r="M103" s="2"/>
      <c r="N103" s="581"/>
    </row>
    <row r="104" spans="1:14" s="625" customFormat="1" ht="16.5" customHeight="1" x14ac:dyDescent="0.35">
      <c r="A104" s="618">
        <v>100</v>
      </c>
      <c r="B104" s="619" t="s">
        <v>50</v>
      </c>
      <c r="C104" s="10">
        <f>'inventory2022 (FINAL)'!E144</f>
        <v>7.8</v>
      </c>
      <c r="D104" s="634">
        <f>'[23]road inventory 2018'!C102</f>
        <v>7.8</v>
      </c>
      <c r="E104" s="10">
        <f>'inventory2022 (FINAL)'!F144</f>
        <v>2</v>
      </c>
      <c r="F104" s="10">
        <f>'inventory2022 (FINAL)'!G144</f>
        <v>0</v>
      </c>
      <c r="G104" s="10">
        <f>'inventory2022 (FINAL)'!H144</f>
        <v>0</v>
      </c>
      <c r="H104" s="10">
        <f>'inventory2022 (FINAL)'!I144</f>
        <v>5.8</v>
      </c>
      <c r="I104" s="620">
        <v>0</v>
      </c>
      <c r="J104" s="621" t="s">
        <v>12</v>
      </c>
      <c r="K104" s="622" t="s">
        <v>410</v>
      </c>
      <c r="L104" s="619"/>
      <c r="M104" s="623"/>
      <c r="N104" s="624"/>
    </row>
    <row r="105" spans="1:14" s="1" customFormat="1" ht="16.5" customHeight="1" x14ac:dyDescent="0.35">
      <c r="A105" s="635"/>
      <c r="B105" s="40"/>
      <c r="C105" s="41">
        <f t="shared" ref="C105:H105" si="4">SUM(C95:C104)</f>
        <v>54.099999999999994</v>
      </c>
      <c r="D105" s="627">
        <f t="shared" si="4"/>
        <v>50</v>
      </c>
      <c r="E105" s="41">
        <f t="shared" si="4"/>
        <v>15.850000000000001</v>
      </c>
      <c r="F105" s="41">
        <f t="shared" si="4"/>
        <v>0</v>
      </c>
      <c r="G105" s="41">
        <f t="shared" si="4"/>
        <v>0</v>
      </c>
      <c r="H105" s="41">
        <f t="shared" si="4"/>
        <v>38.25</v>
      </c>
      <c r="I105" s="41"/>
      <c r="J105" s="109"/>
      <c r="K105" s="605"/>
      <c r="L105" s="28"/>
      <c r="M105" s="2"/>
      <c r="N105" s="581"/>
    </row>
    <row r="106" spans="1:14" s="1" customFormat="1" ht="22.5" customHeight="1" thickBot="1" x14ac:dyDescent="0.4">
      <c r="A106" s="53" t="s">
        <v>341</v>
      </c>
      <c r="B106" s="34"/>
      <c r="C106" s="31">
        <f>SUM(E106:I106)</f>
        <v>54.1</v>
      </c>
      <c r="D106" s="630"/>
      <c r="E106" s="31">
        <f>SUM(E95:E104)</f>
        <v>15.850000000000001</v>
      </c>
      <c r="F106" s="31">
        <f>SUM(F95:F104)</f>
        <v>0</v>
      </c>
      <c r="G106" s="31">
        <f>SUM(G95:G104)</f>
        <v>0</v>
      </c>
      <c r="H106" s="31">
        <f>SUM(H95:H104)</f>
        <v>38.25</v>
      </c>
      <c r="I106" s="31">
        <f>SUM(I95:I104)</f>
        <v>0</v>
      </c>
      <c r="J106" s="608"/>
      <c r="K106" s="609"/>
      <c r="L106" s="97"/>
      <c r="M106" s="21"/>
      <c r="N106" s="581"/>
    </row>
    <row r="107" spans="1:14" s="1" customFormat="1" ht="22.5" customHeight="1" x14ac:dyDescent="0.35">
      <c r="A107" s="544"/>
      <c r="B107" s="35"/>
      <c r="C107" s="22"/>
      <c r="D107" s="610"/>
      <c r="E107" s="22"/>
      <c r="F107" s="22"/>
      <c r="G107" s="22"/>
      <c r="H107" s="22"/>
      <c r="I107" s="22"/>
      <c r="K107" s="21"/>
      <c r="L107" s="647"/>
      <c r="M107" s="21"/>
      <c r="N107" s="581"/>
    </row>
    <row r="108" spans="1:14" s="1" customFormat="1" x14ac:dyDescent="0.35">
      <c r="A108" s="1203" t="s">
        <v>411</v>
      </c>
      <c r="B108" s="1204"/>
      <c r="C108" s="1204"/>
      <c r="D108" s="1204"/>
      <c r="E108" s="1204"/>
      <c r="F108" s="1204"/>
      <c r="G108" s="1204"/>
      <c r="H108" s="1204"/>
      <c r="I108" s="1204"/>
      <c r="J108" s="1204"/>
      <c r="K108" s="1204"/>
      <c r="L108" s="1205"/>
      <c r="M108" s="584"/>
      <c r="N108" s="581"/>
    </row>
    <row r="109" spans="1:14" s="1" customFormat="1" ht="16" thickBot="1" x14ac:dyDescent="0.4">
      <c r="A109" s="585"/>
      <c r="B109" s="2"/>
      <c r="C109" s="5"/>
      <c r="D109" s="586"/>
      <c r="E109" s="5"/>
      <c r="F109" s="5"/>
      <c r="G109" s="5"/>
      <c r="H109" s="5"/>
      <c r="I109" s="5"/>
      <c r="J109" s="3"/>
      <c r="K109" s="21"/>
      <c r="L109" s="631"/>
      <c r="M109" s="21"/>
      <c r="N109" s="581"/>
    </row>
    <row r="110" spans="1:14" s="1" customFormat="1" ht="21" customHeight="1" x14ac:dyDescent="0.35">
      <c r="A110" s="1206" t="s">
        <v>302</v>
      </c>
      <c r="B110" s="1208" t="s">
        <v>28</v>
      </c>
      <c r="C110" s="1210" t="s">
        <v>343</v>
      </c>
      <c r="D110" s="613"/>
      <c r="E110" s="1212" t="s">
        <v>305</v>
      </c>
      <c r="F110" s="1212"/>
      <c r="G110" s="1212"/>
      <c r="H110" s="1212"/>
      <c r="I110" s="1212"/>
      <c r="J110" s="1208" t="s">
        <v>29</v>
      </c>
      <c r="K110" s="1213" t="s">
        <v>306</v>
      </c>
      <c r="L110" s="1226" t="s">
        <v>307</v>
      </c>
      <c r="M110" s="588"/>
      <c r="N110" s="581"/>
    </row>
    <row r="111" spans="1:14" s="1" customFormat="1" ht="21" customHeight="1" thickBot="1" x14ac:dyDescent="0.4">
      <c r="A111" s="1207"/>
      <c r="B111" s="1209"/>
      <c r="C111" s="1211"/>
      <c r="D111" s="614"/>
      <c r="E111" s="7" t="s">
        <v>308</v>
      </c>
      <c r="F111" s="7" t="s">
        <v>309</v>
      </c>
      <c r="G111" s="7" t="s">
        <v>310</v>
      </c>
      <c r="H111" s="7" t="s">
        <v>311</v>
      </c>
      <c r="I111" s="7" t="s">
        <v>312</v>
      </c>
      <c r="J111" s="1209"/>
      <c r="K111" s="1214"/>
      <c r="L111" s="1227"/>
      <c r="M111" s="588"/>
      <c r="N111" s="581"/>
    </row>
    <row r="112" spans="1:14" s="26" customFormat="1" ht="16" customHeight="1" x14ac:dyDescent="0.35">
      <c r="A112" s="589">
        <v>48</v>
      </c>
      <c r="B112" s="43" t="s">
        <v>254</v>
      </c>
      <c r="C112" s="15">
        <f>'inventory2022 (FINAL)'!E56</f>
        <v>2.1</v>
      </c>
      <c r="D112" s="590">
        <f>'[23]road inventory 2018'!C109</f>
        <v>2.1</v>
      </c>
      <c r="E112" s="15">
        <f>'inventory2022 (FINAL)'!F56</f>
        <v>0</v>
      </c>
      <c r="F112" s="15">
        <f>'inventory2022 (FINAL)'!G56</f>
        <v>0</v>
      </c>
      <c r="G112" s="15">
        <f>'inventory2022 (FINAL)'!H56</f>
        <v>0</v>
      </c>
      <c r="H112" s="15">
        <f>'inventory2022 (FINAL)'!I56</f>
        <v>2.1</v>
      </c>
      <c r="I112" s="15">
        <v>0</v>
      </c>
      <c r="J112" s="106" t="s">
        <v>12</v>
      </c>
      <c r="K112" s="591" t="s">
        <v>412</v>
      </c>
      <c r="L112" s="592"/>
      <c r="M112" s="593"/>
      <c r="N112" s="617"/>
    </row>
    <row r="113" spans="1:14" s="26" customFormat="1" ht="16" customHeight="1" x14ac:dyDescent="0.35">
      <c r="A113" s="589">
        <v>50</v>
      </c>
      <c r="B113" s="43" t="s">
        <v>255</v>
      </c>
      <c r="C113" s="15">
        <f>'inventory2022 (FINAL)'!E57</f>
        <v>7.6</v>
      </c>
      <c r="D113" s="590">
        <f>'[23]road inventory 2018'!C110</f>
        <v>7.6</v>
      </c>
      <c r="E113" s="15">
        <f>'inventory2022 (FINAL)'!F57</f>
        <v>2</v>
      </c>
      <c r="F113" s="15">
        <f>'inventory2022 (FINAL)'!G57</f>
        <v>0</v>
      </c>
      <c r="G113" s="15">
        <f>'inventory2022 (FINAL)'!H57</f>
        <v>0</v>
      </c>
      <c r="H113" s="15">
        <f>'inventory2022 (FINAL)'!I57</f>
        <v>5.6</v>
      </c>
      <c r="I113" s="15">
        <v>0</v>
      </c>
      <c r="J113" s="106" t="s">
        <v>12</v>
      </c>
      <c r="K113" s="591" t="s">
        <v>413</v>
      </c>
      <c r="L113" s="24"/>
      <c r="M113" s="593"/>
      <c r="N113" s="617"/>
    </row>
    <row r="114" spans="1:14" s="26" customFormat="1" ht="16" customHeight="1" x14ac:dyDescent="0.35">
      <c r="A114" s="589">
        <v>51</v>
      </c>
      <c r="B114" s="43" t="s">
        <v>248</v>
      </c>
      <c r="C114" s="15">
        <f>'inventory2022 (FINAL)'!E58</f>
        <v>3</v>
      </c>
      <c r="D114" s="590">
        <f>'[23]road inventory 2018'!C111</f>
        <v>3</v>
      </c>
      <c r="E114" s="15">
        <f>'inventory2022 (FINAL)'!F58</f>
        <v>0</v>
      </c>
      <c r="F114" s="15">
        <f>'inventory2022 (FINAL)'!G58</f>
        <v>0</v>
      </c>
      <c r="G114" s="15">
        <f>'inventory2022 (FINAL)'!H58</f>
        <v>0</v>
      </c>
      <c r="H114" s="15">
        <f>'inventory2022 (FINAL)'!I58</f>
        <v>3</v>
      </c>
      <c r="I114" s="15">
        <v>0</v>
      </c>
      <c r="J114" s="106" t="s">
        <v>12</v>
      </c>
      <c r="K114" s="591" t="s">
        <v>414</v>
      </c>
      <c r="L114" s="24"/>
      <c r="M114" s="593"/>
      <c r="N114" s="617"/>
    </row>
    <row r="115" spans="1:14" s="26" customFormat="1" ht="16" customHeight="1" x14ac:dyDescent="0.35">
      <c r="A115" s="589">
        <v>52</v>
      </c>
      <c r="B115" s="43" t="s">
        <v>251</v>
      </c>
      <c r="C115" s="15">
        <f>'inventory2022 (FINAL)'!E59</f>
        <v>6.5</v>
      </c>
      <c r="D115" s="590">
        <f>'[23]road inventory 2018'!C112</f>
        <v>6.5</v>
      </c>
      <c r="E115" s="15">
        <f>'inventory2022 (FINAL)'!F59</f>
        <v>0</v>
      </c>
      <c r="F115" s="15">
        <f>'inventory2022 (FINAL)'!G59</f>
        <v>0</v>
      </c>
      <c r="G115" s="15">
        <f>'inventory2022 (FINAL)'!H59</f>
        <v>0</v>
      </c>
      <c r="H115" s="15">
        <f>'inventory2022 (FINAL)'!I59</f>
        <v>6.5</v>
      </c>
      <c r="I115" s="15">
        <v>0</v>
      </c>
      <c r="J115" s="106" t="s">
        <v>12</v>
      </c>
      <c r="K115" s="591" t="s">
        <v>415</v>
      </c>
      <c r="L115" s="24"/>
      <c r="M115" s="593"/>
      <c r="N115" s="617"/>
    </row>
    <row r="116" spans="1:14" s="26" customFormat="1" ht="16" customHeight="1" x14ac:dyDescent="0.35">
      <c r="A116" s="589">
        <v>53</v>
      </c>
      <c r="B116" s="43" t="s">
        <v>249</v>
      </c>
      <c r="C116" s="15">
        <f>'inventory2022 (FINAL)'!E60</f>
        <v>6.4</v>
      </c>
      <c r="D116" s="590">
        <f>'[23]road inventory 2018'!C113</f>
        <v>6.4</v>
      </c>
      <c r="E116" s="15">
        <f>'inventory2022 (FINAL)'!F60</f>
        <v>5.64</v>
      </c>
      <c r="F116" s="15">
        <f>'inventory2022 (FINAL)'!G60</f>
        <v>0</v>
      </c>
      <c r="G116" s="15">
        <f>'inventory2022 (FINAL)'!H60</f>
        <v>0</v>
      </c>
      <c r="H116" s="15">
        <f>'inventory2022 (FINAL)'!I60</f>
        <v>0.76</v>
      </c>
      <c r="I116" s="15">
        <v>0</v>
      </c>
      <c r="J116" s="106" t="s">
        <v>12</v>
      </c>
      <c r="K116" s="591" t="s">
        <v>416</v>
      </c>
      <c r="L116" s="24"/>
      <c r="M116" s="593"/>
      <c r="N116" s="617"/>
    </row>
    <row r="117" spans="1:14" s="26" customFormat="1" ht="16" customHeight="1" x14ac:dyDescent="0.35">
      <c r="A117" s="589">
        <v>54</v>
      </c>
      <c r="B117" s="43" t="s">
        <v>252</v>
      </c>
      <c r="C117" s="15">
        <f>'inventory2022 (FINAL)'!E61</f>
        <v>1.6</v>
      </c>
      <c r="D117" s="590">
        <f>'[23]road inventory 2018'!C114</f>
        <v>1.6</v>
      </c>
      <c r="E117" s="15">
        <f>'inventory2022 (FINAL)'!F61</f>
        <v>1.18</v>
      </c>
      <c r="F117" s="15">
        <f>'inventory2022 (FINAL)'!G61</f>
        <v>0</v>
      </c>
      <c r="G117" s="15">
        <f>'inventory2022 (FINAL)'!H61</f>
        <v>0</v>
      </c>
      <c r="H117" s="15">
        <f>'inventory2022 (FINAL)'!I61</f>
        <v>0.42</v>
      </c>
      <c r="I117" s="15">
        <v>0</v>
      </c>
      <c r="J117" s="106" t="s">
        <v>10</v>
      </c>
      <c r="K117" s="591" t="s">
        <v>417</v>
      </c>
      <c r="L117" s="24"/>
      <c r="M117" s="593"/>
      <c r="N117" s="617"/>
    </row>
    <row r="118" spans="1:14" s="26" customFormat="1" ht="16" customHeight="1" x14ac:dyDescent="0.35">
      <c r="A118" s="589">
        <v>103</v>
      </c>
      <c r="B118" s="43" t="s">
        <v>245</v>
      </c>
      <c r="C118" s="15">
        <f>'inventory2022 (FINAL)'!E62</f>
        <v>1.2</v>
      </c>
      <c r="D118" s="590">
        <f>'[23]road inventory 2018'!C115</f>
        <v>1.2</v>
      </c>
      <c r="E118" s="15">
        <f>'inventory2022 (FINAL)'!F62</f>
        <v>0.19</v>
      </c>
      <c r="F118" s="15">
        <f>'inventory2022 (FINAL)'!G62</f>
        <v>0</v>
      </c>
      <c r="G118" s="15">
        <f>'inventory2022 (FINAL)'!H62</f>
        <v>0</v>
      </c>
      <c r="H118" s="15">
        <f>'inventory2022 (FINAL)'!I62</f>
        <v>1.01</v>
      </c>
      <c r="I118" s="15">
        <v>0</v>
      </c>
      <c r="J118" s="106" t="s">
        <v>10</v>
      </c>
      <c r="K118" s="591" t="s">
        <v>418</v>
      </c>
      <c r="L118" s="24"/>
      <c r="M118" s="593"/>
      <c r="N118" s="617"/>
    </row>
    <row r="119" spans="1:14" s="26" customFormat="1" ht="16" customHeight="1" x14ac:dyDescent="0.35">
      <c r="A119" s="589">
        <v>55</v>
      </c>
      <c r="B119" s="43" t="s">
        <v>244</v>
      </c>
      <c r="C119" s="15">
        <f>'inventory2022 (FINAL)'!E63</f>
        <v>4.0999999999999996</v>
      </c>
      <c r="D119" s="590">
        <f>'[23]road inventory 2018'!C116</f>
        <v>4.0999999999999996</v>
      </c>
      <c r="E119" s="15">
        <f>'inventory2022 (FINAL)'!F63</f>
        <v>0</v>
      </c>
      <c r="F119" s="15">
        <f>'inventory2022 (FINAL)'!G63</f>
        <v>0</v>
      </c>
      <c r="G119" s="15">
        <f>'inventory2022 (FINAL)'!H63</f>
        <v>0</v>
      </c>
      <c r="H119" s="15">
        <f>'inventory2022 (FINAL)'!I63</f>
        <v>4.0999999999999996</v>
      </c>
      <c r="I119" s="15">
        <v>0</v>
      </c>
      <c r="J119" s="106" t="s">
        <v>12</v>
      </c>
      <c r="K119" s="591" t="s">
        <v>419</v>
      </c>
      <c r="L119" s="24"/>
      <c r="M119" s="593"/>
      <c r="N119" s="617"/>
    </row>
    <row r="120" spans="1:14" s="26" customFormat="1" ht="16" customHeight="1" x14ac:dyDescent="0.35">
      <c r="A120" s="589">
        <v>57</v>
      </c>
      <c r="B120" s="43" t="s">
        <v>268</v>
      </c>
      <c r="C120" s="15">
        <f>'inventory2022 (FINAL)'!E64</f>
        <v>1.3</v>
      </c>
      <c r="D120" s="590">
        <f>'[23]road inventory 2018'!C117</f>
        <v>1.3</v>
      </c>
      <c r="E120" s="15">
        <f>'inventory2022 (FINAL)'!F64</f>
        <v>0.3</v>
      </c>
      <c r="F120" s="15">
        <f>'inventory2022 (FINAL)'!G64</f>
        <v>0</v>
      </c>
      <c r="G120" s="15">
        <f>'inventory2022 (FINAL)'!H64</f>
        <v>0</v>
      </c>
      <c r="H120" s="15">
        <f>'inventory2022 (FINAL)'!I64</f>
        <v>1</v>
      </c>
      <c r="I120" s="15">
        <v>0</v>
      </c>
      <c r="J120" s="106" t="s">
        <v>12</v>
      </c>
      <c r="K120" s="591" t="s">
        <v>420</v>
      </c>
      <c r="L120" s="24"/>
      <c r="M120" s="593"/>
      <c r="N120" s="617"/>
    </row>
    <row r="121" spans="1:14" s="1" customFormat="1" ht="16" customHeight="1" x14ac:dyDescent="0.35">
      <c r="A121" s="596">
        <v>58</v>
      </c>
      <c r="B121" s="45" t="s">
        <v>421</v>
      </c>
      <c r="C121" s="15">
        <f>'inventory2022 (FINAL)'!E65</f>
        <v>0.3</v>
      </c>
      <c r="D121" s="590">
        <f>'[23]road inventory 2018'!C118</f>
        <v>0.3</v>
      </c>
      <c r="E121" s="15">
        <f>'inventory2022 (FINAL)'!F65</f>
        <v>0</v>
      </c>
      <c r="F121" s="15">
        <f>'inventory2022 (FINAL)'!G65</f>
        <v>0</v>
      </c>
      <c r="G121" s="15">
        <f>'inventory2022 (FINAL)'!H65</f>
        <v>0</v>
      </c>
      <c r="H121" s="15">
        <f>'inventory2022 (FINAL)'!I65</f>
        <v>0.3</v>
      </c>
      <c r="I121" s="10">
        <v>0</v>
      </c>
      <c r="J121" s="103" t="s">
        <v>33</v>
      </c>
      <c r="K121" s="597" t="s">
        <v>422</v>
      </c>
      <c r="L121" s="28"/>
      <c r="M121" s="2"/>
      <c r="N121" s="581"/>
    </row>
    <row r="122" spans="1:14" s="1" customFormat="1" ht="16" customHeight="1" x14ac:dyDescent="0.35">
      <c r="A122" s="596">
        <v>59</v>
      </c>
      <c r="B122" s="45" t="s">
        <v>262</v>
      </c>
      <c r="C122" s="15">
        <f>'inventory2022 (FINAL)'!E66</f>
        <v>0.8</v>
      </c>
      <c r="D122" s="590">
        <f>'[23]road inventory 2018'!C119</f>
        <v>0.8</v>
      </c>
      <c r="E122" s="15">
        <f>'inventory2022 (FINAL)'!F66</f>
        <v>0</v>
      </c>
      <c r="F122" s="15">
        <f>'inventory2022 (FINAL)'!G66</f>
        <v>0</v>
      </c>
      <c r="G122" s="15">
        <f>'inventory2022 (FINAL)'!H66</f>
        <v>0</v>
      </c>
      <c r="H122" s="15">
        <f>'inventory2022 (FINAL)'!I66</f>
        <v>0.8</v>
      </c>
      <c r="I122" s="10">
        <v>0</v>
      </c>
      <c r="J122" s="103" t="s">
        <v>33</v>
      </c>
      <c r="K122" s="597" t="s">
        <v>422</v>
      </c>
      <c r="L122" s="28"/>
      <c r="M122" s="2"/>
      <c r="N122" s="581"/>
    </row>
    <row r="123" spans="1:14" s="26" customFormat="1" ht="16" customHeight="1" x14ac:dyDescent="0.35">
      <c r="A123" s="589">
        <v>97</v>
      </c>
      <c r="B123" s="43" t="s">
        <v>51</v>
      </c>
      <c r="C123" s="15">
        <f>'inventory2022 (FINAL)'!E67</f>
        <v>8.3000000000000007</v>
      </c>
      <c r="D123" s="590">
        <f>'[23]road inventory 2018'!C120</f>
        <v>8.3000000000000007</v>
      </c>
      <c r="E123" s="15">
        <f>'inventory2022 (FINAL)'!F67</f>
        <v>8.3000000000000007</v>
      </c>
      <c r="F123" s="15">
        <f>'inventory2022 (FINAL)'!G67</f>
        <v>0</v>
      </c>
      <c r="G123" s="15">
        <f>'inventory2022 (FINAL)'!H67</f>
        <v>0</v>
      </c>
      <c r="H123" s="15">
        <f>'inventory2022 (FINAL)'!I67</f>
        <v>0</v>
      </c>
      <c r="I123" s="15">
        <v>0</v>
      </c>
      <c r="J123" s="106" t="s">
        <v>10</v>
      </c>
      <c r="K123" s="591" t="s">
        <v>423</v>
      </c>
      <c r="L123" s="24"/>
      <c r="M123" s="593"/>
      <c r="N123" s="617"/>
    </row>
    <row r="124" spans="1:14" s="26" customFormat="1" ht="16" customHeight="1" x14ac:dyDescent="0.35">
      <c r="A124" s="589">
        <v>56</v>
      </c>
      <c r="B124" s="43" t="s">
        <v>250</v>
      </c>
      <c r="C124" s="15">
        <f>'inventory2022 (FINAL)'!E68</f>
        <v>5.7</v>
      </c>
      <c r="D124" s="590">
        <f>'[23]road inventory 2018'!C121</f>
        <v>5.7</v>
      </c>
      <c r="E124" s="15">
        <f>'inventory2022 (FINAL)'!F68</f>
        <v>1.72</v>
      </c>
      <c r="F124" s="15">
        <f>'inventory2022 (FINAL)'!G68</f>
        <v>0</v>
      </c>
      <c r="G124" s="15">
        <f>'inventory2022 (FINAL)'!H68</f>
        <v>0</v>
      </c>
      <c r="H124" s="15">
        <f>'inventory2022 (FINAL)'!I68</f>
        <v>3.98</v>
      </c>
      <c r="I124" s="15">
        <v>0</v>
      </c>
      <c r="J124" s="106" t="s">
        <v>12</v>
      </c>
      <c r="K124" s="591" t="s">
        <v>414</v>
      </c>
      <c r="L124" s="24"/>
      <c r="M124" s="593"/>
      <c r="N124" s="617"/>
    </row>
    <row r="125" spans="1:14" s="26" customFormat="1" ht="16" customHeight="1" x14ac:dyDescent="0.35">
      <c r="A125" s="589">
        <v>60</v>
      </c>
      <c r="B125" s="43" t="s">
        <v>253</v>
      </c>
      <c r="C125" s="15">
        <f>'inventory2022 (FINAL)'!E69</f>
        <v>9.1999999999999993</v>
      </c>
      <c r="D125" s="590">
        <f>'[23]road inventory 2018'!C122</f>
        <v>9.1999999999999993</v>
      </c>
      <c r="E125" s="15">
        <f>'inventory2022 (FINAL)'!F69</f>
        <v>7.1</v>
      </c>
      <c r="F125" s="15">
        <f>'inventory2022 (FINAL)'!G69</f>
        <v>0</v>
      </c>
      <c r="G125" s="15">
        <f>'inventory2022 (FINAL)'!H69</f>
        <v>0</v>
      </c>
      <c r="H125" s="15">
        <f>'inventory2022 (FINAL)'!I69</f>
        <v>2.1</v>
      </c>
      <c r="I125" s="15">
        <v>0</v>
      </c>
      <c r="J125" s="106" t="s">
        <v>10</v>
      </c>
      <c r="K125" s="591" t="s">
        <v>424</v>
      </c>
      <c r="L125" s="24"/>
      <c r="M125" s="593"/>
      <c r="N125" s="617"/>
    </row>
    <row r="126" spans="1:14" s="26" customFormat="1" ht="16" customHeight="1" x14ac:dyDescent="0.35">
      <c r="A126" s="589">
        <v>61</v>
      </c>
      <c r="B126" s="43" t="s">
        <v>260</v>
      </c>
      <c r="C126" s="15">
        <f>'inventory2022 (FINAL)'!E70</f>
        <v>4.5</v>
      </c>
      <c r="D126" s="590">
        <f>'[23]road inventory 2018'!C123</f>
        <v>4.5</v>
      </c>
      <c r="E126" s="15">
        <f>'inventory2022 (FINAL)'!F70</f>
        <v>1.63</v>
      </c>
      <c r="F126" s="15">
        <f>'inventory2022 (FINAL)'!G70</f>
        <v>0</v>
      </c>
      <c r="G126" s="15">
        <f>'inventory2022 (FINAL)'!H70</f>
        <v>0</v>
      </c>
      <c r="H126" s="15">
        <f>'inventory2022 (FINAL)'!I70</f>
        <v>2.87</v>
      </c>
      <c r="I126" s="15">
        <v>0</v>
      </c>
      <c r="J126" s="106" t="s">
        <v>10</v>
      </c>
      <c r="K126" s="591" t="s">
        <v>425</v>
      </c>
      <c r="L126" s="24"/>
      <c r="M126" s="593"/>
      <c r="N126" s="617"/>
    </row>
    <row r="127" spans="1:14" s="26" customFormat="1" ht="16" customHeight="1" x14ac:dyDescent="0.35">
      <c r="A127" s="589">
        <v>62</v>
      </c>
      <c r="B127" s="43" t="s">
        <v>269</v>
      </c>
      <c r="C127" s="15">
        <f>'inventory2022 (FINAL)'!E71</f>
        <v>2</v>
      </c>
      <c r="D127" s="590">
        <f>'[23]road inventory 2018'!C124</f>
        <v>2</v>
      </c>
      <c r="E127" s="15">
        <f>'inventory2022 (FINAL)'!F71</f>
        <v>0</v>
      </c>
      <c r="F127" s="15">
        <f>'inventory2022 (FINAL)'!G71</f>
        <v>0</v>
      </c>
      <c r="G127" s="15">
        <f>'inventory2022 (FINAL)'!H71</f>
        <v>0</v>
      </c>
      <c r="H127" s="15">
        <f>'inventory2022 (FINAL)'!I71</f>
        <v>2</v>
      </c>
      <c r="I127" s="15">
        <v>0</v>
      </c>
      <c r="J127" s="106" t="s">
        <v>12</v>
      </c>
      <c r="K127" s="591" t="s">
        <v>426</v>
      </c>
      <c r="L127" s="24"/>
      <c r="M127" s="593"/>
      <c r="N127" s="617"/>
    </row>
    <row r="128" spans="1:14" s="26" customFormat="1" ht="16" customHeight="1" x14ac:dyDescent="0.35">
      <c r="A128" s="589">
        <v>63</v>
      </c>
      <c r="B128" s="43" t="s">
        <v>265</v>
      </c>
      <c r="C128" s="15">
        <f>'inventory2022 (FINAL)'!E72</f>
        <v>3</v>
      </c>
      <c r="D128" s="590">
        <f>'[23]road inventory 2018'!C125</f>
        <v>3</v>
      </c>
      <c r="E128" s="15">
        <f>'inventory2022 (FINAL)'!F72</f>
        <v>1.1100000000000001</v>
      </c>
      <c r="F128" s="15">
        <f>'inventory2022 (FINAL)'!G72</f>
        <v>0</v>
      </c>
      <c r="G128" s="15">
        <f>'inventory2022 (FINAL)'!H72</f>
        <v>0</v>
      </c>
      <c r="H128" s="15">
        <f>'inventory2022 (FINAL)'!I72</f>
        <v>1.89</v>
      </c>
      <c r="I128" s="15">
        <v>0</v>
      </c>
      <c r="J128" s="106" t="s">
        <v>12</v>
      </c>
      <c r="K128" s="591" t="s">
        <v>427</v>
      </c>
      <c r="L128" s="24"/>
      <c r="M128" s="593"/>
      <c r="N128" s="617"/>
    </row>
    <row r="129" spans="1:14" s="26" customFormat="1" ht="16" customHeight="1" x14ac:dyDescent="0.35">
      <c r="A129" s="589">
        <v>98</v>
      </c>
      <c r="B129" s="43" t="s">
        <v>247</v>
      </c>
      <c r="C129" s="15">
        <f>'inventory2022 (FINAL)'!E73</f>
        <v>5.1000000000000005</v>
      </c>
      <c r="D129" s="590">
        <f>'[23]road inventory 2018'!C126</f>
        <v>5.1000000000000005</v>
      </c>
      <c r="E129" s="15">
        <f>'inventory2022 (FINAL)'!F73</f>
        <v>4.9800000000000004</v>
      </c>
      <c r="F129" s="15">
        <f>'inventory2022 (FINAL)'!G73</f>
        <v>0</v>
      </c>
      <c r="G129" s="15">
        <f>'inventory2022 (FINAL)'!H73</f>
        <v>0</v>
      </c>
      <c r="H129" s="15">
        <f>'inventory2022 (FINAL)'!I73</f>
        <v>0.12</v>
      </c>
      <c r="I129" s="15">
        <v>0</v>
      </c>
      <c r="J129" s="106" t="s">
        <v>12</v>
      </c>
      <c r="K129" s="591" t="s">
        <v>428</v>
      </c>
      <c r="L129" s="24"/>
      <c r="M129" s="593"/>
      <c r="N129" s="617"/>
    </row>
    <row r="130" spans="1:14" s="26" customFormat="1" ht="16" customHeight="1" x14ac:dyDescent="0.35">
      <c r="A130" s="589">
        <v>64</v>
      </c>
      <c r="B130" s="43" t="s">
        <v>246</v>
      </c>
      <c r="C130" s="15">
        <f>'inventory2022 (FINAL)'!E74</f>
        <v>3.6</v>
      </c>
      <c r="D130" s="590">
        <f>'[23]road inventory 2018'!C127</f>
        <v>3.6</v>
      </c>
      <c r="E130" s="15">
        <f>'inventory2022 (FINAL)'!F74</f>
        <v>3.6</v>
      </c>
      <c r="F130" s="15">
        <f>'inventory2022 (FINAL)'!G74</f>
        <v>0</v>
      </c>
      <c r="G130" s="15">
        <f>'inventory2022 (FINAL)'!H74</f>
        <v>0</v>
      </c>
      <c r="H130" s="15">
        <f>'inventory2022 (FINAL)'!I74</f>
        <v>0</v>
      </c>
      <c r="I130" s="15">
        <v>0</v>
      </c>
      <c r="J130" s="106" t="s">
        <v>12</v>
      </c>
      <c r="K130" s="591" t="s">
        <v>429</v>
      </c>
      <c r="L130" s="24"/>
      <c r="M130" s="593"/>
      <c r="N130" s="617"/>
    </row>
    <row r="131" spans="1:14" s="625" customFormat="1" ht="16" customHeight="1" x14ac:dyDescent="0.35">
      <c r="A131" s="618">
        <v>96</v>
      </c>
      <c r="B131" s="648" t="s">
        <v>270</v>
      </c>
      <c r="C131" s="15">
        <f>'inventory2022 (FINAL)'!E75</f>
        <v>5.6999999999999993</v>
      </c>
      <c r="D131" s="634">
        <f>'[23]road inventory 2018'!C128</f>
        <v>5.6999999999999993</v>
      </c>
      <c r="E131" s="15">
        <f>'inventory2022 (FINAL)'!F75</f>
        <v>2.089</v>
      </c>
      <c r="F131" s="15">
        <f>'inventory2022 (FINAL)'!G75</f>
        <v>0</v>
      </c>
      <c r="G131" s="15">
        <f>'inventory2022 (FINAL)'!H75</f>
        <v>0</v>
      </c>
      <c r="H131" s="15">
        <f>'inventory2022 (FINAL)'!I75</f>
        <v>3.6110000000000002</v>
      </c>
      <c r="I131" s="620">
        <v>0</v>
      </c>
      <c r="J131" s="621" t="s">
        <v>12</v>
      </c>
      <c r="K131" s="622" t="s">
        <v>430</v>
      </c>
      <c r="L131" s="619"/>
      <c r="M131" s="623"/>
      <c r="N131" s="624"/>
    </row>
    <row r="132" spans="1:14" s="26" customFormat="1" ht="16" customHeight="1" x14ac:dyDescent="0.35">
      <c r="A132" s="589">
        <v>65</v>
      </c>
      <c r="B132" s="43" t="s">
        <v>261</v>
      </c>
      <c r="C132" s="15">
        <f>'inventory2022 (FINAL)'!E76</f>
        <v>1.65</v>
      </c>
      <c r="D132" s="590">
        <f>'[23]road inventory 2018'!C129</f>
        <v>1.65</v>
      </c>
      <c r="E132" s="15">
        <f>'inventory2022 (FINAL)'!F76</f>
        <v>0</v>
      </c>
      <c r="F132" s="15">
        <f>'inventory2022 (FINAL)'!G76</f>
        <v>0</v>
      </c>
      <c r="G132" s="15">
        <f>'inventory2022 (FINAL)'!H76</f>
        <v>0</v>
      </c>
      <c r="H132" s="15">
        <f>'inventory2022 (FINAL)'!I76</f>
        <v>1.65</v>
      </c>
      <c r="I132" s="15">
        <v>0</v>
      </c>
      <c r="J132" s="106" t="s">
        <v>12</v>
      </c>
      <c r="K132" s="591" t="s">
        <v>431</v>
      </c>
      <c r="L132" s="24"/>
      <c r="M132" s="593"/>
      <c r="N132" s="617"/>
    </row>
    <row r="133" spans="1:14" s="26" customFormat="1" ht="16" customHeight="1" x14ac:dyDescent="0.35">
      <c r="A133" s="589">
        <v>66</v>
      </c>
      <c r="B133" s="43" t="s">
        <v>432</v>
      </c>
      <c r="C133" s="15">
        <f>'inventory2022 (FINAL)'!E77</f>
        <v>3.8000000000000003</v>
      </c>
      <c r="D133" s="590">
        <f>'[23]road inventory 2018'!C130</f>
        <v>3.8000000000000003</v>
      </c>
      <c r="E133" s="15">
        <f>'inventory2022 (FINAL)'!F77</f>
        <v>0</v>
      </c>
      <c r="F133" s="15">
        <f>'inventory2022 (FINAL)'!G77</f>
        <v>0</v>
      </c>
      <c r="G133" s="15">
        <f>'inventory2022 (FINAL)'!H77</f>
        <v>0</v>
      </c>
      <c r="H133" s="15">
        <f>'inventory2022 (FINAL)'!I77</f>
        <v>3.8</v>
      </c>
      <c r="I133" s="15">
        <v>0</v>
      </c>
      <c r="J133" s="106" t="s">
        <v>12</v>
      </c>
      <c r="K133" s="591" t="s">
        <v>433</v>
      </c>
      <c r="L133" s="24"/>
      <c r="M133" s="593"/>
      <c r="N133" s="617"/>
    </row>
    <row r="134" spans="1:14" s="1" customFormat="1" ht="16" customHeight="1" x14ac:dyDescent="0.35">
      <c r="A134" s="596">
        <v>67</v>
      </c>
      <c r="B134" s="45" t="s">
        <v>267</v>
      </c>
      <c r="C134" s="15">
        <f>'inventory2022 (FINAL)'!E78</f>
        <v>1.9</v>
      </c>
      <c r="D134" s="590">
        <f>'[23]road inventory 2018'!C131</f>
        <v>1.9</v>
      </c>
      <c r="E134" s="15">
        <f>'inventory2022 (FINAL)'!F78</f>
        <v>0.5</v>
      </c>
      <c r="F134" s="15">
        <f>'inventory2022 (FINAL)'!G78</f>
        <v>0</v>
      </c>
      <c r="G134" s="15">
        <f>'inventory2022 (FINAL)'!H78</f>
        <v>0</v>
      </c>
      <c r="H134" s="15">
        <f>'inventory2022 (FINAL)'!I78</f>
        <v>1.4</v>
      </c>
      <c r="I134" s="10">
        <v>0</v>
      </c>
      <c r="J134" s="103" t="s">
        <v>33</v>
      </c>
      <c r="K134" s="597" t="s">
        <v>434</v>
      </c>
      <c r="L134" s="28"/>
      <c r="M134" s="2"/>
      <c r="N134" s="581"/>
    </row>
    <row r="135" spans="1:14" s="1" customFormat="1" ht="16" customHeight="1" x14ac:dyDescent="0.35">
      <c r="A135" s="596">
        <v>68</v>
      </c>
      <c r="B135" s="45" t="s">
        <v>266</v>
      </c>
      <c r="C135" s="15">
        <f>'inventory2022 (FINAL)'!E79</f>
        <v>1.5999999999999999</v>
      </c>
      <c r="D135" s="590">
        <f>'[23]road inventory 2018'!C132</f>
        <v>1.5999999999999999</v>
      </c>
      <c r="E135" s="15">
        <f>'inventory2022 (FINAL)'!F79</f>
        <v>0.25</v>
      </c>
      <c r="F135" s="15">
        <f>'inventory2022 (FINAL)'!G79</f>
        <v>0</v>
      </c>
      <c r="G135" s="15">
        <f>'inventory2022 (FINAL)'!H79</f>
        <v>0</v>
      </c>
      <c r="H135" s="15">
        <f>'inventory2022 (FINAL)'!I79</f>
        <v>1.35</v>
      </c>
      <c r="I135" s="10">
        <v>0</v>
      </c>
      <c r="J135" s="103" t="s">
        <v>33</v>
      </c>
      <c r="K135" s="597" t="s">
        <v>434</v>
      </c>
      <c r="L135" s="28"/>
      <c r="M135" s="2"/>
      <c r="N135" s="581"/>
    </row>
    <row r="136" spans="1:14" s="26" customFormat="1" ht="16" customHeight="1" thickBot="1" x14ac:dyDescent="0.4">
      <c r="A136" s="649">
        <v>69</v>
      </c>
      <c r="B136" s="650" t="s">
        <v>264</v>
      </c>
      <c r="C136" s="15">
        <f>'inventory2022 (FINAL)'!E80</f>
        <v>1.6</v>
      </c>
      <c r="D136" s="590">
        <f>'[23]road inventory 2018'!C133</f>
        <v>1.6</v>
      </c>
      <c r="E136" s="15">
        <f>'inventory2022 (FINAL)'!F80</f>
        <v>0</v>
      </c>
      <c r="F136" s="15">
        <f>'inventory2022 (FINAL)'!G80</f>
        <v>0</v>
      </c>
      <c r="G136" s="15">
        <f>'inventory2022 (FINAL)'!H80</f>
        <v>0</v>
      </c>
      <c r="H136" s="15">
        <f>'inventory2022 (FINAL)'!I80</f>
        <v>1.6</v>
      </c>
      <c r="I136" s="65">
        <v>0</v>
      </c>
      <c r="J136" s="651" t="s">
        <v>12</v>
      </c>
      <c r="K136" s="652" t="s">
        <v>435</v>
      </c>
      <c r="L136" s="24"/>
      <c r="M136" s="593"/>
      <c r="N136" s="617"/>
    </row>
    <row r="137" spans="1:14" s="26" customFormat="1" ht="16" customHeight="1" x14ac:dyDescent="0.35">
      <c r="A137" s="589">
        <v>70</v>
      </c>
      <c r="B137" s="43" t="s">
        <v>263</v>
      </c>
      <c r="C137" s="15">
        <f>'inventory2022 (FINAL)'!E81</f>
        <v>2.6</v>
      </c>
      <c r="D137" s="590">
        <f>'[23]road inventory 2018'!C136</f>
        <v>2.6</v>
      </c>
      <c r="E137" s="15">
        <f>'inventory2022 (FINAL)'!F81</f>
        <v>0</v>
      </c>
      <c r="F137" s="15">
        <f>'inventory2022 (FINAL)'!G81</f>
        <v>0</v>
      </c>
      <c r="G137" s="15">
        <f>'inventory2022 (FINAL)'!H81</f>
        <v>0</v>
      </c>
      <c r="H137" s="15">
        <f>'inventory2022 (FINAL)'!I81</f>
        <v>2.6</v>
      </c>
      <c r="I137" s="15">
        <v>0</v>
      </c>
      <c r="J137" s="106" t="s">
        <v>12</v>
      </c>
      <c r="K137" s="591" t="s">
        <v>436</v>
      </c>
      <c r="L137" s="24"/>
      <c r="M137" s="593"/>
      <c r="N137" s="617"/>
    </row>
    <row r="138" spans="1:14" s="26" customFormat="1" ht="16" customHeight="1" x14ac:dyDescent="0.35">
      <c r="A138" s="589">
        <v>71</v>
      </c>
      <c r="B138" s="43" t="s">
        <v>54</v>
      </c>
      <c r="C138" s="15">
        <f>'inventory2022 (FINAL)'!E82</f>
        <v>2.7</v>
      </c>
      <c r="D138" s="590">
        <f>'[23]road inventory 2018'!C137</f>
        <v>2.7</v>
      </c>
      <c r="E138" s="15">
        <f>'inventory2022 (FINAL)'!F82</f>
        <v>0</v>
      </c>
      <c r="F138" s="15">
        <f>'inventory2022 (FINAL)'!G82</f>
        <v>0</v>
      </c>
      <c r="G138" s="15">
        <f>'inventory2022 (FINAL)'!H82</f>
        <v>0</v>
      </c>
      <c r="H138" s="15">
        <f>'inventory2022 (FINAL)'!I82</f>
        <v>2.7</v>
      </c>
      <c r="I138" s="15">
        <v>0</v>
      </c>
      <c r="J138" s="106" t="s">
        <v>12</v>
      </c>
      <c r="K138" s="591" t="s">
        <v>437</v>
      </c>
      <c r="L138" s="24"/>
      <c r="M138" s="593"/>
      <c r="N138" s="617"/>
    </row>
    <row r="139" spans="1:14" s="26" customFormat="1" ht="16" customHeight="1" x14ac:dyDescent="0.35">
      <c r="A139" s="589">
        <v>72</v>
      </c>
      <c r="B139" s="43" t="s">
        <v>56</v>
      </c>
      <c r="C139" s="15">
        <f>'inventory2022 (FINAL)'!E83</f>
        <v>1.7</v>
      </c>
      <c r="D139" s="590">
        <f>'[23]road inventory 2018'!C138</f>
        <v>1.7</v>
      </c>
      <c r="E139" s="15">
        <f>'inventory2022 (FINAL)'!F83</f>
        <v>0.83</v>
      </c>
      <c r="F139" s="15">
        <f>'inventory2022 (FINAL)'!G83</f>
        <v>0</v>
      </c>
      <c r="G139" s="15">
        <f>'inventory2022 (FINAL)'!H83</f>
        <v>0</v>
      </c>
      <c r="H139" s="15">
        <f>'inventory2022 (FINAL)'!I83</f>
        <v>0.87</v>
      </c>
      <c r="I139" s="15">
        <v>0</v>
      </c>
      <c r="J139" s="106" t="s">
        <v>12</v>
      </c>
      <c r="K139" s="591" t="s">
        <v>438</v>
      </c>
      <c r="L139" s="24"/>
      <c r="M139" s="593"/>
      <c r="N139" s="617"/>
    </row>
    <row r="140" spans="1:14" s="26" customFormat="1" ht="16" customHeight="1" x14ac:dyDescent="0.35">
      <c r="A140" s="589">
        <v>73</v>
      </c>
      <c r="B140" s="24" t="s">
        <v>258</v>
      </c>
      <c r="C140" s="15">
        <f>'inventory2022 (FINAL)'!E84</f>
        <v>5.5</v>
      </c>
      <c r="D140" s="590">
        <f>'[23]road inventory 2018'!C139</f>
        <v>5.5</v>
      </c>
      <c r="E140" s="15">
        <f>'inventory2022 (FINAL)'!F84</f>
        <v>0</v>
      </c>
      <c r="F140" s="15">
        <f>'inventory2022 (FINAL)'!G84</f>
        <v>0</v>
      </c>
      <c r="G140" s="15">
        <f>'inventory2022 (FINAL)'!H84</f>
        <v>0</v>
      </c>
      <c r="H140" s="15">
        <f>'inventory2022 (FINAL)'!I84</f>
        <v>5.5</v>
      </c>
      <c r="I140" s="15">
        <v>0</v>
      </c>
      <c r="J140" s="106" t="s">
        <v>12</v>
      </c>
      <c r="K140" s="591" t="s">
        <v>439</v>
      </c>
      <c r="L140" s="24"/>
      <c r="M140" s="593"/>
      <c r="N140" s="617"/>
    </row>
    <row r="141" spans="1:14" s="26" customFormat="1" ht="16" customHeight="1" x14ac:dyDescent="0.35">
      <c r="A141" s="589">
        <v>74</v>
      </c>
      <c r="B141" s="24" t="s">
        <v>257</v>
      </c>
      <c r="C141" s="15">
        <f>'inventory2022 (FINAL)'!E85</f>
        <v>0.5</v>
      </c>
      <c r="D141" s="590">
        <f>'[23]road inventory 2018'!C140</f>
        <v>0.5</v>
      </c>
      <c r="E141" s="15">
        <f>'inventory2022 (FINAL)'!F85</f>
        <v>0</v>
      </c>
      <c r="F141" s="15">
        <f>'inventory2022 (FINAL)'!G85</f>
        <v>0</v>
      </c>
      <c r="G141" s="15">
        <f>'inventory2022 (FINAL)'!H85</f>
        <v>0</v>
      </c>
      <c r="H141" s="15">
        <f>'inventory2022 (FINAL)'!I85</f>
        <v>0.5</v>
      </c>
      <c r="I141" s="15">
        <v>0</v>
      </c>
      <c r="J141" s="106" t="s">
        <v>33</v>
      </c>
      <c r="K141" s="591" t="s">
        <v>439</v>
      </c>
      <c r="L141" s="24"/>
      <c r="M141" s="593"/>
      <c r="N141" s="617"/>
    </row>
    <row r="142" spans="1:14" s="1" customFormat="1" ht="16" customHeight="1" x14ac:dyDescent="0.35">
      <c r="A142" s="596">
        <v>75</v>
      </c>
      <c r="B142" s="28" t="s">
        <v>259</v>
      </c>
      <c r="C142" s="15">
        <f>'inventory2022 (FINAL)'!E86</f>
        <v>2.1</v>
      </c>
      <c r="D142" s="590">
        <f>'[23]road inventory 2018'!C141</f>
        <v>2.1</v>
      </c>
      <c r="E142" s="15">
        <f>'inventory2022 (FINAL)'!F86</f>
        <v>0</v>
      </c>
      <c r="F142" s="15">
        <f>'inventory2022 (FINAL)'!G86</f>
        <v>0</v>
      </c>
      <c r="G142" s="15">
        <f>'inventory2022 (FINAL)'!H86</f>
        <v>0</v>
      </c>
      <c r="H142" s="15">
        <f>'inventory2022 (FINAL)'!I86</f>
        <v>2.1</v>
      </c>
      <c r="I142" s="10">
        <v>0</v>
      </c>
      <c r="J142" s="103" t="s">
        <v>12</v>
      </c>
      <c r="K142" s="597" t="s">
        <v>440</v>
      </c>
      <c r="L142" s="28"/>
      <c r="M142" s="2"/>
      <c r="N142" s="581"/>
    </row>
    <row r="143" spans="1:14" s="26" customFormat="1" ht="16" customHeight="1" x14ac:dyDescent="0.35">
      <c r="A143" s="589">
        <v>76</v>
      </c>
      <c r="B143" s="24" t="s">
        <v>256</v>
      </c>
      <c r="C143" s="15">
        <f>'inventory2022 (FINAL)'!E87</f>
        <v>0.2</v>
      </c>
      <c r="D143" s="590">
        <f>'[23]road inventory 2018'!C142</f>
        <v>0.2</v>
      </c>
      <c r="E143" s="15">
        <f>'inventory2022 (FINAL)'!F87</f>
        <v>0.2</v>
      </c>
      <c r="F143" s="15">
        <f>'inventory2022 (FINAL)'!G87</f>
        <v>0</v>
      </c>
      <c r="G143" s="15">
        <f>'inventory2022 (FINAL)'!H87</f>
        <v>0</v>
      </c>
      <c r="H143" s="15">
        <f>'inventory2022 (FINAL)'!I87</f>
        <v>0</v>
      </c>
      <c r="I143" s="15">
        <v>0</v>
      </c>
      <c r="J143" s="106" t="s">
        <v>10</v>
      </c>
      <c r="K143" s="591" t="s">
        <v>425</v>
      </c>
      <c r="L143" s="24"/>
      <c r="M143" s="593"/>
      <c r="N143" s="617"/>
    </row>
    <row r="144" spans="1:14" s="26" customFormat="1" ht="16" customHeight="1" x14ac:dyDescent="0.35">
      <c r="A144" s="626"/>
      <c r="B144" s="60"/>
      <c r="C144" s="61">
        <f t="shared" ref="C144:I144" si="5">SUM(C112:C143)</f>
        <v>107.84999999999998</v>
      </c>
      <c r="D144" s="636">
        <f t="shared" si="5"/>
        <v>107.84999999999998</v>
      </c>
      <c r="E144" s="61">
        <f t="shared" si="5"/>
        <v>41.619</v>
      </c>
      <c r="F144" s="61">
        <f t="shared" si="5"/>
        <v>0</v>
      </c>
      <c r="G144" s="61">
        <f t="shared" si="5"/>
        <v>0</v>
      </c>
      <c r="H144" s="61">
        <f t="shared" si="5"/>
        <v>66.230999999999995</v>
      </c>
      <c r="I144" s="61">
        <f t="shared" si="5"/>
        <v>0</v>
      </c>
      <c r="J144" s="628"/>
      <c r="K144" s="629"/>
      <c r="L144" s="24"/>
      <c r="M144" s="593"/>
      <c r="N144" s="617"/>
    </row>
    <row r="145" spans="1:14" s="1" customFormat="1" ht="18" customHeight="1" thickBot="1" x14ac:dyDescent="0.4">
      <c r="A145" s="53" t="s">
        <v>341</v>
      </c>
      <c r="B145" s="34"/>
      <c r="C145" s="31">
        <f>E145+H145</f>
        <v>107.85</v>
      </c>
      <c r="D145" s="630"/>
      <c r="E145" s="31">
        <f>SUM(E112:E143)</f>
        <v>41.619</v>
      </c>
      <c r="F145" s="31">
        <f>SUM(F112:F143)</f>
        <v>0</v>
      </c>
      <c r="G145" s="31">
        <f>SUM(G112:G143)</f>
        <v>0</v>
      </c>
      <c r="H145" s="31">
        <f>SUM(H112:H143)</f>
        <v>66.230999999999995</v>
      </c>
      <c r="I145" s="31">
        <f>SUM(I112:I143)</f>
        <v>0</v>
      </c>
      <c r="J145" s="608"/>
      <c r="K145" s="609"/>
      <c r="L145" s="653"/>
      <c r="M145" s="21"/>
      <c r="N145" s="581"/>
    </row>
    <row r="146" spans="1:14" s="1" customFormat="1" ht="18" customHeight="1" x14ac:dyDescent="0.35">
      <c r="A146" s="544"/>
      <c r="B146" s="35"/>
      <c r="C146" s="22"/>
      <c r="D146" s="610"/>
      <c r="E146" s="22"/>
      <c r="F146" s="22"/>
      <c r="G146" s="22"/>
      <c r="H146" s="22"/>
      <c r="I146" s="22"/>
      <c r="K146" s="21"/>
      <c r="L146" s="653"/>
      <c r="M146" s="21"/>
      <c r="N146" s="581"/>
    </row>
    <row r="147" spans="1:14" s="1" customFormat="1" x14ac:dyDescent="0.35">
      <c r="A147" s="1203" t="s">
        <v>441</v>
      </c>
      <c r="B147" s="1204"/>
      <c r="C147" s="1204"/>
      <c r="D147" s="1204"/>
      <c r="E147" s="1204"/>
      <c r="F147" s="1204"/>
      <c r="G147" s="1204"/>
      <c r="H147" s="1204"/>
      <c r="I147" s="1204"/>
      <c r="J147" s="1204"/>
      <c r="K147" s="1204"/>
      <c r="L147" s="1205"/>
      <c r="M147" s="584"/>
      <c r="N147" s="581"/>
    </row>
    <row r="148" spans="1:14" s="1" customFormat="1" ht="16" thickBot="1" x14ac:dyDescent="0.4">
      <c r="A148" s="585"/>
      <c r="B148" s="2"/>
      <c r="C148" s="5"/>
      <c r="D148" s="586"/>
      <c r="E148" s="5"/>
      <c r="F148" s="5"/>
      <c r="G148" s="5"/>
      <c r="H148" s="5"/>
      <c r="I148" s="5"/>
      <c r="J148" s="3"/>
      <c r="K148" s="21"/>
      <c r="L148" s="97"/>
      <c r="M148" s="21"/>
      <c r="N148" s="581"/>
    </row>
    <row r="149" spans="1:14" s="1" customFormat="1" ht="21" customHeight="1" x14ac:dyDescent="0.35">
      <c r="A149" s="1206" t="s">
        <v>302</v>
      </c>
      <c r="B149" s="1208" t="s">
        <v>28</v>
      </c>
      <c r="C149" s="1210" t="s">
        <v>343</v>
      </c>
      <c r="D149" s="613"/>
      <c r="E149" s="1212" t="s">
        <v>305</v>
      </c>
      <c r="F149" s="1212"/>
      <c r="G149" s="1212"/>
      <c r="H149" s="1212"/>
      <c r="I149" s="1212"/>
      <c r="J149" s="1208" t="s">
        <v>29</v>
      </c>
      <c r="K149" s="1213" t="s">
        <v>306</v>
      </c>
      <c r="L149" s="1226" t="s">
        <v>307</v>
      </c>
      <c r="M149" s="588"/>
      <c r="N149" s="581"/>
    </row>
    <row r="150" spans="1:14" s="1" customFormat="1" ht="21" customHeight="1" thickBot="1" x14ac:dyDescent="0.4">
      <c r="A150" s="1207"/>
      <c r="B150" s="1209"/>
      <c r="C150" s="1211"/>
      <c r="D150" s="614"/>
      <c r="E150" s="7" t="s">
        <v>308</v>
      </c>
      <c r="F150" s="7" t="s">
        <v>309</v>
      </c>
      <c r="G150" s="7" t="s">
        <v>310</v>
      </c>
      <c r="H150" s="7" t="s">
        <v>311</v>
      </c>
      <c r="I150" s="7" t="s">
        <v>312</v>
      </c>
      <c r="J150" s="1209"/>
      <c r="K150" s="1214"/>
      <c r="L150" s="1227"/>
      <c r="M150" s="588"/>
      <c r="N150" s="581"/>
    </row>
    <row r="151" spans="1:14" s="26" customFormat="1" ht="16.5" customHeight="1" x14ac:dyDescent="0.35">
      <c r="A151" s="626">
        <v>95</v>
      </c>
      <c r="B151" s="43" t="s">
        <v>276</v>
      </c>
      <c r="C151" s="61">
        <f>'inventory2022 (FINAL)'!E40</f>
        <v>3</v>
      </c>
      <c r="D151" s="636">
        <f>'[23]road inventory 2018'!C149</f>
        <v>3</v>
      </c>
      <c r="E151" s="15">
        <f>'inventory2022 (FINAL)'!F40</f>
        <v>1.02</v>
      </c>
      <c r="F151" s="15">
        <f>'inventory2022 (FINAL)'!G40</f>
        <v>0</v>
      </c>
      <c r="G151" s="15">
        <f>'inventory2022 (FINAL)'!H40</f>
        <v>0</v>
      </c>
      <c r="H151" s="61">
        <f>'inventory2022 (FINAL)'!I40</f>
        <v>1.98</v>
      </c>
      <c r="I151" s="15">
        <v>0</v>
      </c>
      <c r="J151" s="106" t="s">
        <v>10</v>
      </c>
      <c r="K151" s="591" t="s">
        <v>442</v>
      </c>
      <c r="L151" s="592"/>
      <c r="M151" s="593"/>
      <c r="N151" s="617"/>
    </row>
    <row r="152" spans="1:14" s="26" customFormat="1" ht="15" customHeight="1" x14ac:dyDescent="0.35">
      <c r="A152" s="589">
        <v>77</v>
      </c>
      <c r="B152" s="43" t="s">
        <v>271</v>
      </c>
      <c r="C152" s="61">
        <f>'inventory2022 (FINAL)'!E41</f>
        <v>0.7</v>
      </c>
      <c r="D152" s="636">
        <f>'[23]road inventory 2018'!C150</f>
        <v>0.7</v>
      </c>
      <c r="E152" s="15">
        <f>'inventory2022 (FINAL)'!F41</f>
        <v>0</v>
      </c>
      <c r="F152" s="15">
        <f>'inventory2022 (FINAL)'!G41</f>
        <v>0</v>
      </c>
      <c r="G152" s="15">
        <f>'inventory2022 (FINAL)'!H41</f>
        <v>0</v>
      </c>
      <c r="H152" s="61">
        <f>'inventory2022 (FINAL)'!I41</f>
        <v>0.7</v>
      </c>
      <c r="I152" s="15">
        <v>0</v>
      </c>
      <c r="J152" s="106" t="s">
        <v>10</v>
      </c>
      <c r="K152" s="591" t="s">
        <v>443</v>
      </c>
      <c r="L152" s="24"/>
      <c r="M152" s="593"/>
      <c r="N152" s="617"/>
    </row>
    <row r="153" spans="1:14" s="26" customFormat="1" ht="15" customHeight="1" x14ac:dyDescent="0.35">
      <c r="A153" s="589">
        <v>94</v>
      </c>
      <c r="B153" s="43" t="s">
        <v>278</v>
      </c>
      <c r="C153" s="61">
        <f>'inventory2022 (FINAL)'!E42</f>
        <v>0.6</v>
      </c>
      <c r="D153" s="636">
        <f>'[23]road inventory 2018'!C151</f>
        <v>0.6</v>
      </c>
      <c r="E153" s="15">
        <f>'inventory2022 (FINAL)'!F42</f>
        <v>0</v>
      </c>
      <c r="F153" s="15">
        <f>'inventory2022 (FINAL)'!G42</f>
        <v>0</v>
      </c>
      <c r="G153" s="15">
        <f>'inventory2022 (FINAL)'!H42</f>
        <v>0</v>
      </c>
      <c r="H153" s="61">
        <f>'inventory2022 (FINAL)'!I42</f>
        <v>0.6</v>
      </c>
      <c r="I153" s="15">
        <v>0</v>
      </c>
      <c r="J153" s="106" t="s">
        <v>10</v>
      </c>
      <c r="K153" s="591" t="s">
        <v>444</v>
      </c>
      <c r="L153" s="24"/>
      <c r="M153" s="593"/>
      <c r="N153" s="617"/>
    </row>
    <row r="154" spans="1:14" s="1" customFormat="1" x14ac:dyDescent="0.35">
      <c r="A154" s="596">
        <v>78</v>
      </c>
      <c r="B154" s="45" t="s">
        <v>277</v>
      </c>
      <c r="C154" s="61">
        <f>'inventory2022 (FINAL)'!E43</f>
        <v>3.8</v>
      </c>
      <c r="D154" s="636">
        <f>'[23]road inventory 2018'!C152</f>
        <v>3.8</v>
      </c>
      <c r="E154" s="15">
        <f>'inventory2022 (FINAL)'!F43</f>
        <v>0.69</v>
      </c>
      <c r="F154" s="15">
        <f>'inventory2022 (FINAL)'!G43</f>
        <v>0</v>
      </c>
      <c r="G154" s="15">
        <f>'inventory2022 (FINAL)'!H43</f>
        <v>0</v>
      </c>
      <c r="H154" s="61">
        <f>'inventory2022 (FINAL)'!I43</f>
        <v>3.11</v>
      </c>
      <c r="I154" s="10">
        <v>0</v>
      </c>
      <c r="J154" s="103" t="s">
        <v>41</v>
      </c>
      <c r="K154" s="597" t="s">
        <v>445</v>
      </c>
      <c r="L154" s="28"/>
      <c r="M154" s="2"/>
      <c r="N154" s="581"/>
    </row>
    <row r="155" spans="1:14" s="1" customFormat="1" ht="16.5" customHeight="1" x14ac:dyDescent="0.35">
      <c r="A155" s="596">
        <v>79</v>
      </c>
      <c r="B155" s="45" t="s">
        <v>272</v>
      </c>
      <c r="C155" s="61">
        <f>'inventory2022 (FINAL)'!E44</f>
        <v>1.9000000000000001</v>
      </c>
      <c r="D155" s="636">
        <f>'[23]road inventory 2018'!C153</f>
        <v>1.9000000000000001</v>
      </c>
      <c r="E155" s="15">
        <f>'inventory2022 (FINAL)'!F44</f>
        <v>0.12</v>
      </c>
      <c r="F155" s="15">
        <f>'inventory2022 (FINAL)'!G44</f>
        <v>0</v>
      </c>
      <c r="G155" s="15">
        <f>'inventory2022 (FINAL)'!H44</f>
        <v>0</v>
      </c>
      <c r="H155" s="61">
        <f>'inventory2022 (FINAL)'!I44</f>
        <v>1.78</v>
      </c>
      <c r="I155" s="10">
        <v>0</v>
      </c>
      <c r="J155" s="103" t="s">
        <v>41</v>
      </c>
      <c r="K155" s="597" t="s">
        <v>446</v>
      </c>
      <c r="L155" s="28" t="s">
        <v>833</v>
      </c>
      <c r="M155" s="2"/>
      <c r="N155" s="581" t="s">
        <v>834</v>
      </c>
    </row>
    <row r="156" spans="1:14" s="1" customFormat="1" ht="31" x14ac:dyDescent="0.35">
      <c r="A156" s="596">
        <v>80</v>
      </c>
      <c r="B156" s="45" t="s">
        <v>282</v>
      </c>
      <c r="C156" s="61">
        <f>'inventory2022 (FINAL)'!E45</f>
        <v>15.7</v>
      </c>
      <c r="D156" s="636">
        <f>'[23]road inventory 2018'!C154</f>
        <v>15.7</v>
      </c>
      <c r="E156" s="15">
        <f>'inventory2022 (FINAL)'!F45</f>
        <v>0.7</v>
      </c>
      <c r="F156" s="15">
        <f>'inventory2022 (FINAL)'!G45</f>
        <v>0</v>
      </c>
      <c r="G156" s="15">
        <f>'inventory2022 (FINAL)'!H45</f>
        <v>0</v>
      </c>
      <c r="H156" s="61">
        <f>'inventory2022 (FINAL)'!I45</f>
        <v>15</v>
      </c>
      <c r="I156" s="10">
        <v>0</v>
      </c>
      <c r="J156" s="103" t="s">
        <v>41</v>
      </c>
      <c r="K156" s="597" t="s">
        <v>447</v>
      </c>
      <c r="L156" s="28"/>
      <c r="M156" s="2"/>
      <c r="N156" s="581"/>
    </row>
    <row r="157" spans="1:14" s="26" customFormat="1" ht="16.5" customHeight="1" x14ac:dyDescent="0.35">
      <c r="A157" s="589">
        <v>81</v>
      </c>
      <c r="B157" s="43" t="s">
        <v>279</v>
      </c>
      <c r="C157" s="61">
        <f>'inventory2022 (FINAL)'!E46</f>
        <v>3.8</v>
      </c>
      <c r="D157" s="636">
        <f>'[23]road inventory 2018'!C155</f>
        <v>3.8</v>
      </c>
      <c r="E157" s="15">
        <f>'inventory2022 (FINAL)'!F46</f>
        <v>0.47000000000000003</v>
      </c>
      <c r="F157" s="15">
        <f>'inventory2022 (FINAL)'!G46</f>
        <v>0</v>
      </c>
      <c r="G157" s="15">
        <f>'inventory2022 (FINAL)'!H46</f>
        <v>0</v>
      </c>
      <c r="H157" s="61">
        <f>'inventory2022 (FINAL)'!I46</f>
        <v>3.33</v>
      </c>
      <c r="I157" s="15">
        <v>0</v>
      </c>
      <c r="J157" s="106" t="s">
        <v>33</v>
      </c>
      <c r="K157" s="591" t="s">
        <v>448</v>
      </c>
      <c r="L157" s="24"/>
      <c r="M157" s="593"/>
      <c r="N157" s="617"/>
    </row>
    <row r="158" spans="1:14" s="26" customFormat="1" ht="13.15" customHeight="1" x14ac:dyDescent="0.35">
      <c r="A158" s="589">
        <v>82</v>
      </c>
      <c r="B158" s="43" t="s">
        <v>283</v>
      </c>
      <c r="C158" s="61">
        <f>'inventory2022 (FINAL)'!E47</f>
        <v>5.4</v>
      </c>
      <c r="D158" s="636">
        <f>'[23]road inventory 2018'!C156</f>
        <v>5.4</v>
      </c>
      <c r="E158" s="15">
        <f>'inventory2022 (FINAL)'!F47</f>
        <v>1.22</v>
      </c>
      <c r="F158" s="15">
        <f>'inventory2022 (FINAL)'!G47</f>
        <v>0</v>
      </c>
      <c r="G158" s="15">
        <f>'inventory2022 (FINAL)'!H47</f>
        <v>0</v>
      </c>
      <c r="H158" s="61">
        <f>'inventory2022 (FINAL)'!I47</f>
        <v>4.18</v>
      </c>
      <c r="I158" s="15">
        <v>0</v>
      </c>
      <c r="J158" s="106" t="s">
        <v>33</v>
      </c>
      <c r="K158" s="591" t="s">
        <v>449</v>
      </c>
      <c r="L158" s="24"/>
      <c r="M158" s="593"/>
      <c r="N158" s="617"/>
    </row>
    <row r="159" spans="1:14" s="1" customFormat="1" x14ac:dyDescent="0.35">
      <c r="A159" s="596">
        <v>83</v>
      </c>
      <c r="B159" s="45" t="s">
        <v>58</v>
      </c>
      <c r="C159" s="61">
        <f>'inventory2022 (FINAL)'!E48</f>
        <v>4.2</v>
      </c>
      <c r="D159" s="636">
        <f>'[23]road inventory 2018'!C157</f>
        <v>4.2</v>
      </c>
      <c r="E159" s="15">
        <f>'inventory2022 (FINAL)'!F48</f>
        <v>0.33999999999999997</v>
      </c>
      <c r="F159" s="15">
        <f>'inventory2022 (FINAL)'!G48</f>
        <v>0</v>
      </c>
      <c r="G159" s="15">
        <f>'inventory2022 (FINAL)'!H48</f>
        <v>0</v>
      </c>
      <c r="H159" s="61">
        <f>'inventory2022 (FINAL)'!I48</f>
        <v>3.86</v>
      </c>
      <c r="I159" s="10">
        <v>0</v>
      </c>
      <c r="J159" s="103" t="s">
        <v>12</v>
      </c>
      <c r="K159" s="597" t="s">
        <v>447</v>
      </c>
      <c r="L159" s="28"/>
      <c r="M159" s="2"/>
      <c r="N159" s="581"/>
    </row>
    <row r="160" spans="1:14" s="1" customFormat="1" ht="31" x14ac:dyDescent="0.35">
      <c r="A160" s="596">
        <v>84</v>
      </c>
      <c r="B160" s="45" t="s">
        <v>274</v>
      </c>
      <c r="C160" s="61">
        <f>'inventory2022 (FINAL)'!E49</f>
        <v>1.2</v>
      </c>
      <c r="D160" s="636">
        <f>'[23]road inventory 2018'!C158</f>
        <v>1.2</v>
      </c>
      <c r="E160" s="15">
        <f>'inventory2022 (FINAL)'!F49</f>
        <v>0</v>
      </c>
      <c r="F160" s="15">
        <f>'inventory2022 (FINAL)'!G49</f>
        <v>0</v>
      </c>
      <c r="G160" s="15">
        <f>'inventory2022 (FINAL)'!H49</f>
        <v>0</v>
      </c>
      <c r="H160" s="61">
        <f>'inventory2022 (FINAL)'!I49</f>
        <v>1.2</v>
      </c>
      <c r="I160" s="10">
        <v>0</v>
      </c>
      <c r="J160" s="103" t="s">
        <v>41</v>
      </c>
      <c r="K160" s="597" t="s">
        <v>450</v>
      </c>
      <c r="L160" s="28"/>
      <c r="M160" s="2"/>
      <c r="N160" s="581"/>
    </row>
    <row r="161" spans="1:14" s="26" customFormat="1" ht="13.15" customHeight="1" x14ac:dyDescent="0.35">
      <c r="A161" s="589">
        <v>85</v>
      </c>
      <c r="B161" s="43" t="s">
        <v>281</v>
      </c>
      <c r="C161" s="61">
        <f>'inventory2022 (FINAL)'!E50</f>
        <v>2.8</v>
      </c>
      <c r="D161" s="636">
        <f>'[23]road inventory 2018'!C159</f>
        <v>2.8</v>
      </c>
      <c r="E161" s="15">
        <f>'inventory2022 (FINAL)'!F50</f>
        <v>0</v>
      </c>
      <c r="F161" s="15">
        <f>'inventory2022 (FINAL)'!G50</f>
        <v>0</v>
      </c>
      <c r="G161" s="15">
        <f>'inventory2022 (FINAL)'!H50</f>
        <v>0</v>
      </c>
      <c r="H161" s="61">
        <f>'inventory2022 (FINAL)'!I50</f>
        <v>2.8</v>
      </c>
      <c r="I161" s="15">
        <v>0</v>
      </c>
      <c r="J161" s="106" t="s">
        <v>10</v>
      </c>
      <c r="K161" s="591" t="s">
        <v>451</v>
      </c>
      <c r="L161" s="24"/>
      <c r="M161" s="593"/>
      <c r="N161" s="617"/>
    </row>
    <row r="162" spans="1:14" x14ac:dyDescent="0.35">
      <c r="A162" s="596">
        <v>86</v>
      </c>
      <c r="B162" s="45" t="s">
        <v>275</v>
      </c>
      <c r="C162" s="61">
        <f>'inventory2022 (FINAL)'!E51</f>
        <v>2.5</v>
      </c>
      <c r="D162" s="636">
        <f>'[23]road inventory 2018'!C160</f>
        <v>2.5</v>
      </c>
      <c r="E162" s="15">
        <f>'inventory2022 (FINAL)'!F51</f>
        <v>0</v>
      </c>
      <c r="F162" s="15">
        <f>'inventory2022 (FINAL)'!G51</f>
        <v>0</v>
      </c>
      <c r="G162" s="15">
        <f>'inventory2022 (FINAL)'!H51</f>
        <v>0</v>
      </c>
      <c r="H162" s="61">
        <f>'inventory2022 (FINAL)'!I51</f>
        <v>2.5</v>
      </c>
      <c r="I162" s="10">
        <v>0</v>
      </c>
      <c r="J162" s="103" t="s">
        <v>41</v>
      </c>
      <c r="K162" s="597" t="s">
        <v>452</v>
      </c>
      <c r="L162" s="28"/>
      <c r="N162" s="583" t="s">
        <v>453</v>
      </c>
    </row>
    <row r="163" spans="1:14" ht="31" x14ac:dyDescent="0.35">
      <c r="A163" s="596">
        <v>87</v>
      </c>
      <c r="B163" s="45" t="s">
        <v>273</v>
      </c>
      <c r="C163" s="61">
        <f>'inventory2022 (FINAL)'!E52</f>
        <v>0.5</v>
      </c>
      <c r="D163" s="636">
        <f>'[23]road inventory 2018'!C161</f>
        <v>0.5</v>
      </c>
      <c r="E163" s="15">
        <f>'inventory2022 (FINAL)'!F52</f>
        <v>0</v>
      </c>
      <c r="F163" s="15">
        <f>'inventory2022 (FINAL)'!G52</f>
        <v>0</v>
      </c>
      <c r="G163" s="15">
        <f>'inventory2022 (FINAL)'!H52</f>
        <v>0</v>
      </c>
      <c r="H163" s="61">
        <f>'inventory2022 (FINAL)'!I52</f>
        <v>0.5</v>
      </c>
      <c r="I163" s="10">
        <v>0</v>
      </c>
      <c r="J163" s="103" t="s">
        <v>41</v>
      </c>
      <c r="K163" s="597" t="s">
        <v>450</v>
      </c>
      <c r="L163" s="28"/>
    </row>
    <row r="164" spans="1:14" x14ac:dyDescent="0.35">
      <c r="A164" s="596">
        <v>88</v>
      </c>
      <c r="B164" s="45" t="s">
        <v>280</v>
      </c>
      <c r="C164" s="61">
        <f>'inventory2022 (FINAL)'!E53</f>
        <v>3.2</v>
      </c>
      <c r="D164" s="636">
        <f>'[23]road inventory 2018'!C162</f>
        <v>3.2</v>
      </c>
      <c r="E164" s="15">
        <f>'inventory2022 (FINAL)'!F53</f>
        <v>0</v>
      </c>
      <c r="F164" s="15">
        <f>'inventory2022 (FINAL)'!G53</f>
        <v>0</v>
      </c>
      <c r="G164" s="15">
        <f>'inventory2022 (FINAL)'!H53</f>
        <v>0</v>
      </c>
      <c r="H164" s="61">
        <f>'inventory2022 (FINAL)'!I53</f>
        <v>3.2</v>
      </c>
      <c r="I164" s="10">
        <v>0</v>
      </c>
      <c r="J164" s="103" t="s">
        <v>33</v>
      </c>
      <c r="K164" s="597" t="s">
        <v>454</v>
      </c>
      <c r="L164" s="28"/>
    </row>
    <row r="165" spans="1:14" x14ac:dyDescent="0.35">
      <c r="A165" s="635"/>
      <c r="B165" s="654"/>
      <c r="C165" s="41">
        <f>SUM(C151:C164)</f>
        <v>49.300000000000004</v>
      </c>
      <c r="D165" s="41">
        <f t="shared" ref="D165:I165" si="6">SUM(D151:D164)</f>
        <v>49.300000000000004</v>
      </c>
      <c r="E165" s="41">
        <f>SUM(E151:E164)</f>
        <v>4.5600000000000005</v>
      </c>
      <c r="F165" s="41">
        <f t="shared" si="6"/>
        <v>0</v>
      </c>
      <c r="G165" s="41">
        <f t="shared" si="6"/>
        <v>0</v>
      </c>
      <c r="H165" s="41">
        <f t="shared" si="6"/>
        <v>44.74</v>
      </c>
      <c r="I165" s="41">
        <f t="shared" si="6"/>
        <v>0</v>
      </c>
      <c r="J165" s="109"/>
      <c r="K165" s="605"/>
      <c r="L165" s="28"/>
    </row>
    <row r="166" spans="1:14" ht="18" customHeight="1" thickBot="1" x14ac:dyDescent="0.4">
      <c r="A166" s="53" t="s">
        <v>341</v>
      </c>
      <c r="B166" s="34"/>
      <c r="C166" s="31">
        <f>E166+H166</f>
        <v>49.300000000000004</v>
      </c>
      <c r="D166" s="630"/>
      <c r="E166" s="31">
        <f>SUM(E151:E164)</f>
        <v>4.5600000000000005</v>
      </c>
      <c r="F166" s="31">
        <f>SUM(F151:F164)</f>
        <v>0</v>
      </c>
      <c r="G166" s="31">
        <f>SUM(G151:G164)</f>
        <v>0</v>
      </c>
      <c r="H166" s="31">
        <f>SUM(H151:H164)</f>
        <v>44.74</v>
      </c>
      <c r="I166" s="31">
        <f>SUM(I151:I164)</f>
        <v>0</v>
      </c>
      <c r="J166" s="608"/>
      <c r="K166" s="609"/>
      <c r="L166" s="653"/>
      <c r="M166" s="21"/>
    </row>
    <row r="167" spans="1:14" ht="18" customHeight="1" thickBot="1" x14ac:dyDescent="0.4">
      <c r="A167" s="544"/>
      <c r="B167" s="35"/>
      <c r="C167" s="22"/>
      <c r="D167" s="610"/>
      <c r="E167" s="22"/>
      <c r="F167" s="22"/>
      <c r="G167" s="22"/>
      <c r="H167" s="22"/>
      <c r="I167" s="22"/>
      <c r="J167" s="1"/>
      <c r="K167" s="21"/>
      <c r="L167" s="97"/>
      <c r="M167" s="21"/>
    </row>
    <row r="168" spans="1:14" s="1" customFormat="1" x14ac:dyDescent="0.35">
      <c r="A168" s="1217" t="s">
        <v>455</v>
      </c>
      <c r="B168" s="1218"/>
      <c r="C168" s="1218"/>
      <c r="D168" s="1218"/>
      <c r="E168" s="1218"/>
      <c r="F168" s="1218"/>
      <c r="G168" s="1218"/>
      <c r="H168" s="1218"/>
      <c r="I168" s="1218"/>
      <c r="J168" s="1218"/>
      <c r="K168" s="1218"/>
      <c r="L168" s="1219"/>
      <c r="M168" s="584"/>
      <c r="N168" s="581"/>
    </row>
    <row r="169" spans="1:14" s="1" customFormat="1" ht="16" thickBot="1" x14ac:dyDescent="0.4">
      <c r="A169" s="585"/>
      <c r="B169" s="2"/>
      <c r="C169" s="5"/>
      <c r="D169" s="586"/>
      <c r="E169" s="5"/>
      <c r="F169" s="5"/>
      <c r="G169" s="5"/>
      <c r="H169" s="5"/>
      <c r="I169" s="5"/>
      <c r="J169" s="3"/>
      <c r="K169" s="21"/>
      <c r="L169" s="97"/>
      <c r="M169" s="21"/>
      <c r="N169" s="581"/>
    </row>
    <row r="170" spans="1:14" s="1" customFormat="1" ht="21" customHeight="1" x14ac:dyDescent="0.35">
      <c r="A170" s="1206" t="s">
        <v>302</v>
      </c>
      <c r="B170" s="1208" t="s">
        <v>28</v>
      </c>
      <c r="C170" s="1210" t="s">
        <v>343</v>
      </c>
      <c r="D170" s="613"/>
      <c r="E170" s="1212" t="s">
        <v>305</v>
      </c>
      <c r="F170" s="1212"/>
      <c r="G170" s="1212"/>
      <c r="H170" s="1212"/>
      <c r="I170" s="1212"/>
      <c r="J170" s="1208" t="s">
        <v>29</v>
      </c>
      <c r="K170" s="1213" t="s">
        <v>306</v>
      </c>
      <c r="L170" s="1226" t="s">
        <v>307</v>
      </c>
      <c r="M170" s="588"/>
      <c r="N170" s="581"/>
    </row>
    <row r="171" spans="1:14" s="1" customFormat="1" ht="21" customHeight="1" thickBot="1" x14ac:dyDescent="0.4">
      <c r="A171" s="1207"/>
      <c r="B171" s="1209"/>
      <c r="C171" s="1211"/>
      <c r="D171" s="614"/>
      <c r="E171" s="7" t="s">
        <v>308</v>
      </c>
      <c r="F171" s="7" t="s">
        <v>309</v>
      </c>
      <c r="G171" s="7" t="s">
        <v>310</v>
      </c>
      <c r="H171" s="7" t="s">
        <v>311</v>
      </c>
      <c r="I171" s="7" t="s">
        <v>312</v>
      </c>
      <c r="J171" s="1209"/>
      <c r="K171" s="1214"/>
      <c r="L171" s="1227"/>
      <c r="M171" s="588"/>
      <c r="N171" s="581"/>
    </row>
    <row r="172" spans="1:14" x14ac:dyDescent="0.35">
      <c r="A172" s="655">
        <v>91</v>
      </c>
      <c r="B172" s="47" t="s">
        <v>62</v>
      </c>
      <c r="C172" s="11">
        <f>'inventory2022 (FINAL)'!E35</f>
        <v>12.9</v>
      </c>
      <c r="D172" s="656">
        <f>'[23]road inventory 2018'!C169</f>
        <v>12.9</v>
      </c>
      <c r="E172" s="11">
        <f>'inventory2022 (FINAL)'!F35</f>
        <v>12.209999999999999</v>
      </c>
      <c r="F172" s="11">
        <f>'inventory2022 (FINAL)'!G35</f>
        <v>0</v>
      </c>
      <c r="G172" s="11">
        <f>'inventory2022 (FINAL)'!H35</f>
        <v>0</v>
      </c>
      <c r="H172" s="11">
        <f>'inventory2022 (FINAL)'!I35</f>
        <v>0.69</v>
      </c>
      <c r="I172" s="11">
        <v>0</v>
      </c>
      <c r="J172" s="111" t="s">
        <v>10</v>
      </c>
      <c r="K172" s="657" t="s">
        <v>456</v>
      </c>
      <c r="L172" s="112"/>
    </row>
    <row r="173" spans="1:14" s="16" customFormat="1" x14ac:dyDescent="0.35">
      <c r="A173" s="589">
        <v>92</v>
      </c>
      <c r="B173" s="43" t="s">
        <v>457</v>
      </c>
      <c r="C173" s="11">
        <f>'inventory2022 (FINAL)'!E36</f>
        <v>5.6</v>
      </c>
      <c r="D173" s="656">
        <f>'[23]road inventory 2018'!C170</f>
        <v>5.6</v>
      </c>
      <c r="E173" s="11">
        <f>'inventory2022 (FINAL)'!F36</f>
        <v>5.6</v>
      </c>
      <c r="F173" s="11">
        <f>'inventory2022 (FINAL)'!G36</f>
        <v>0</v>
      </c>
      <c r="G173" s="11">
        <f>'inventory2022 (FINAL)'!H36</f>
        <v>0</v>
      </c>
      <c r="H173" s="11">
        <f>'inventory2022 (FINAL)'!I36</f>
        <v>0</v>
      </c>
      <c r="I173" s="15">
        <v>0</v>
      </c>
      <c r="J173" s="106" t="s">
        <v>317</v>
      </c>
      <c r="K173" s="591" t="s">
        <v>459</v>
      </c>
      <c r="L173" s="24"/>
      <c r="M173" s="593"/>
      <c r="N173" s="598"/>
    </row>
    <row r="174" spans="1:14" x14ac:dyDescent="0.35">
      <c r="A174" s="658" t="s">
        <v>341</v>
      </c>
      <c r="B174" s="50"/>
      <c r="C174" s="51">
        <f t="shared" ref="C174:I174" si="7">SUM(C172:C173)</f>
        <v>18.5</v>
      </c>
      <c r="D174" s="51">
        <f t="shared" si="7"/>
        <v>18.5</v>
      </c>
      <c r="E174" s="51">
        <f t="shared" si="7"/>
        <v>17.809999999999999</v>
      </c>
      <c r="F174" s="51">
        <f t="shared" si="7"/>
        <v>0</v>
      </c>
      <c r="G174" s="51">
        <f t="shared" si="7"/>
        <v>0</v>
      </c>
      <c r="H174" s="51">
        <f t="shared" si="7"/>
        <v>0.69</v>
      </c>
      <c r="I174" s="51">
        <f t="shared" si="7"/>
        <v>0</v>
      </c>
      <c r="J174" s="102"/>
      <c r="K174" s="659"/>
      <c r="L174" s="653"/>
      <c r="M174" s="21"/>
    </row>
    <row r="175" spans="1:14" x14ac:dyDescent="0.35">
      <c r="A175" s="596"/>
      <c r="B175" s="45"/>
      <c r="C175" s="10"/>
      <c r="D175" s="615"/>
      <c r="E175" s="10"/>
      <c r="F175" s="10"/>
      <c r="G175" s="10"/>
      <c r="H175" s="10"/>
      <c r="I175" s="10"/>
      <c r="J175" s="103"/>
      <c r="K175" s="597"/>
      <c r="L175" s="28"/>
    </row>
    <row r="176" spans="1:14" ht="18" customHeight="1" thickBot="1" x14ac:dyDescent="0.4">
      <c r="A176" s="1224" t="s">
        <v>460</v>
      </c>
      <c r="B176" s="1225"/>
      <c r="C176" s="660">
        <f>C35+C69+C82+C89+C106+C145+C166+C174</f>
        <v>476.34999999999997</v>
      </c>
      <c r="D176" s="661">
        <f>D174+D165+D144+D105+D88+D81+D68+D34</f>
        <v>471.84999999999997</v>
      </c>
      <c r="E176" s="660">
        <f>+E174+E166+E145+E106+E89+E82+E69+E35</f>
        <v>171.12700000000001</v>
      </c>
      <c r="F176" s="660">
        <f>+F174+F166+F145+F106+F89+F82+F69+F35</f>
        <v>0</v>
      </c>
      <c r="G176" s="660">
        <f>+G174+G166+G145+G106+G89+G82+G69+G35</f>
        <v>4.53</v>
      </c>
      <c r="H176" s="660">
        <f>+H174+H166+H145+H106+H89+H82+H69+H35</f>
        <v>300.69299999999998</v>
      </c>
      <c r="I176" s="660">
        <f>+I174+I166+I145+I106+I89+I82+I69+I35</f>
        <v>0</v>
      </c>
      <c r="J176" s="662"/>
      <c r="K176" s="663"/>
      <c r="L176" s="664"/>
      <c r="M176" s="21"/>
    </row>
    <row r="177" spans="1:14" ht="18" customHeight="1" thickBot="1" x14ac:dyDescent="0.4">
      <c r="A177" s="544"/>
      <c r="B177" s="35"/>
      <c r="C177" s="22"/>
      <c r="D177" s="610"/>
      <c r="E177" s="22"/>
      <c r="F177" s="22"/>
      <c r="G177" s="22"/>
      <c r="H177" s="22"/>
      <c r="I177" s="22"/>
      <c r="J177" s="1"/>
      <c r="K177" s="21"/>
      <c r="L177" s="97"/>
      <c r="M177" s="21"/>
    </row>
    <row r="178" spans="1:14" s="1" customFormat="1" x14ac:dyDescent="0.35">
      <c r="A178" s="1217" t="s">
        <v>461</v>
      </c>
      <c r="B178" s="1218"/>
      <c r="C178" s="1218"/>
      <c r="D178" s="1218"/>
      <c r="E178" s="1218"/>
      <c r="F178" s="1218"/>
      <c r="G178" s="1218"/>
      <c r="H178" s="1218"/>
      <c r="I178" s="1218"/>
      <c r="J178" s="1218"/>
      <c r="K178" s="1218"/>
      <c r="L178" s="1219"/>
      <c r="M178" s="584"/>
      <c r="N178" s="581"/>
    </row>
    <row r="179" spans="1:14" s="1" customFormat="1" ht="16" thickBot="1" x14ac:dyDescent="0.4">
      <c r="A179" s="585"/>
      <c r="B179" s="2"/>
      <c r="C179" s="5"/>
      <c r="D179" s="586"/>
      <c r="E179" s="5"/>
      <c r="F179" s="5"/>
      <c r="G179" s="5"/>
      <c r="H179" s="5"/>
      <c r="I179" s="5"/>
      <c r="J179" s="3"/>
      <c r="K179" s="21"/>
      <c r="L179" s="97"/>
      <c r="M179" s="21"/>
      <c r="N179" s="581"/>
    </row>
    <row r="180" spans="1:14" s="1" customFormat="1" ht="21" customHeight="1" x14ac:dyDescent="0.35">
      <c r="A180" s="1206" t="s">
        <v>302</v>
      </c>
      <c r="B180" s="1208" t="s">
        <v>28</v>
      </c>
      <c r="C180" s="1210" t="s">
        <v>343</v>
      </c>
      <c r="D180" s="613"/>
      <c r="E180" s="1212" t="s">
        <v>305</v>
      </c>
      <c r="F180" s="1212"/>
      <c r="G180" s="1212"/>
      <c r="H180" s="1212"/>
      <c r="I180" s="1212"/>
      <c r="J180" s="1208" t="s">
        <v>29</v>
      </c>
      <c r="K180" s="1213" t="s">
        <v>306</v>
      </c>
      <c r="L180" s="1226" t="s">
        <v>307</v>
      </c>
      <c r="M180" s="588"/>
      <c r="N180" s="581"/>
    </row>
    <row r="181" spans="1:14" s="1" customFormat="1" ht="21" customHeight="1" thickBot="1" x14ac:dyDescent="0.4">
      <c r="A181" s="1207"/>
      <c r="B181" s="1209"/>
      <c r="C181" s="1211"/>
      <c r="D181" s="614"/>
      <c r="E181" s="7" t="s">
        <v>308</v>
      </c>
      <c r="F181" s="7" t="s">
        <v>309</v>
      </c>
      <c r="G181" s="7" t="s">
        <v>310</v>
      </c>
      <c r="H181" s="7" t="s">
        <v>311</v>
      </c>
      <c r="I181" s="7" t="s">
        <v>312</v>
      </c>
      <c r="J181" s="1209"/>
      <c r="K181" s="1214"/>
      <c r="L181" s="1227"/>
      <c r="M181" s="588"/>
      <c r="N181" s="581"/>
    </row>
    <row r="182" spans="1:14" s="16" customFormat="1" ht="18" customHeight="1" x14ac:dyDescent="0.35">
      <c r="A182" s="589">
        <v>89</v>
      </c>
      <c r="B182" s="24" t="s">
        <v>462</v>
      </c>
      <c r="C182" s="15">
        <f>'inventory2022 (FINAL)'!E255</f>
        <v>0.63</v>
      </c>
      <c r="D182" s="590">
        <f>'[23]road inventory 2018'!C179</f>
        <v>0.63</v>
      </c>
      <c r="E182" s="15">
        <f>'inventory2022 (FINAL)'!F255</f>
        <v>0.28000000000000003</v>
      </c>
      <c r="F182" s="15">
        <f>'inventory2022 (FINAL)'!G255</f>
        <v>0</v>
      </c>
      <c r="G182" s="15">
        <f>'inventory2022 (FINAL)'!H255</f>
        <v>0</v>
      </c>
      <c r="H182" s="15">
        <f>'inventory2022 (FINAL)'!I255</f>
        <v>0.35</v>
      </c>
      <c r="I182" s="15">
        <v>0</v>
      </c>
      <c r="J182" s="24" t="s">
        <v>10</v>
      </c>
      <c r="K182" s="591" t="s">
        <v>360</v>
      </c>
      <c r="L182" s="592"/>
      <c r="M182" s="593"/>
      <c r="N182" s="598"/>
    </row>
    <row r="183" spans="1:14" s="16" customFormat="1" x14ac:dyDescent="0.35">
      <c r="A183" s="589">
        <v>109</v>
      </c>
      <c r="B183" s="24" t="s">
        <v>285</v>
      </c>
      <c r="C183" s="15">
        <f>'inventory2022 (FINAL)'!E256</f>
        <v>2.5</v>
      </c>
      <c r="D183" s="590">
        <f>'[23]road inventory 2018'!C180</f>
        <v>2.5</v>
      </c>
      <c r="E183" s="15">
        <f>'inventory2022 (FINAL)'!F256</f>
        <v>0.22</v>
      </c>
      <c r="F183" s="15">
        <f>'inventory2022 (FINAL)'!G256</f>
        <v>0</v>
      </c>
      <c r="G183" s="15">
        <f>'inventory2022 (FINAL)'!H256</f>
        <v>0</v>
      </c>
      <c r="H183" s="15">
        <f>'inventory2022 (FINAL)'!I256</f>
        <v>2.38</v>
      </c>
      <c r="I183" s="15">
        <v>0</v>
      </c>
      <c r="J183" s="24" t="s">
        <v>10</v>
      </c>
      <c r="K183" s="591" t="s">
        <v>463</v>
      </c>
      <c r="L183" s="24"/>
      <c r="M183" s="593"/>
      <c r="N183" s="598"/>
    </row>
    <row r="184" spans="1:14" ht="31" x14ac:dyDescent="0.35">
      <c r="A184" s="596">
        <v>110</v>
      </c>
      <c r="B184" s="28" t="s">
        <v>65</v>
      </c>
      <c r="C184" s="15">
        <f>'inventory2022 (FINAL)'!E257</f>
        <v>7.3</v>
      </c>
      <c r="D184" s="590">
        <f>'[23]road inventory 2018'!C181</f>
        <v>7.3</v>
      </c>
      <c r="E184" s="15">
        <f>'inventory2022 (FINAL)'!F257</f>
        <v>0.84</v>
      </c>
      <c r="F184" s="15">
        <f>'inventory2022 (FINAL)'!G257</f>
        <v>0</v>
      </c>
      <c r="G184" s="15">
        <f>'inventory2022 (FINAL)'!H257</f>
        <v>0</v>
      </c>
      <c r="H184" s="15">
        <f>'inventory2022 (FINAL)'!I257</f>
        <v>6.2</v>
      </c>
      <c r="I184" s="10">
        <v>0</v>
      </c>
      <c r="J184" s="28" t="s">
        <v>33</v>
      </c>
      <c r="K184" s="597" t="s">
        <v>464</v>
      </c>
      <c r="L184" s="28"/>
    </row>
    <row r="185" spans="1:14" ht="31" x14ac:dyDescent="0.35">
      <c r="A185" s="596">
        <v>111</v>
      </c>
      <c r="B185" s="28" t="s">
        <v>66</v>
      </c>
      <c r="C185" s="15">
        <f>'inventory2022 (FINAL)'!E258</f>
        <v>15.4</v>
      </c>
      <c r="D185" s="590">
        <f>'[23]road inventory 2018'!C182</f>
        <v>15.4</v>
      </c>
      <c r="E185" s="15">
        <f>'inventory2022 (FINAL)'!F258</f>
        <v>1.0900000000000001</v>
      </c>
      <c r="F185" s="15">
        <f>'inventory2022 (FINAL)'!G258</f>
        <v>0</v>
      </c>
      <c r="G185" s="15">
        <f>'inventory2022 (FINAL)'!H258</f>
        <v>0</v>
      </c>
      <c r="H185" s="15">
        <f>'inventory2022 (FINAL)'!I258</f>
        <v>14.382</v>
      </c>
      <c r="I185" s="10">
        <v>0</v>
      </c>
      <c r="J185" s="28" t="s">
        <v>33</v>
      </c>
      <c r="K185" s="597" t="s">
        <v>465</v>
      </c>
      <c r="L185" s="28"/>
    </row>
    <row r="186" spans="1:14" s="16" customFormat="1" ht="31" x14ac:dyDescent="0.35">
      <c r="A186" s="589">
        <v>112</v>
      </c>
      <c r="B186" s="24" t="s">
        <v>73</v>
      </c>
      <c r="C186" s="15">
        <f>'inventory2022 (FINAL)'!E259</f>
        <v>8.4</v>
      </c>
      <c r="D186" s="590">
        <f>'[23]road inventory 2018'!C183</f>
        <v>8.4</v>
      </c>
      <c r="E186" s="15">
        <f>'inventory2022 (FINAL)'!F259</f>
        <v>0.21</v>
      </c>
      <c r="F186" s="15">
        <f>'inventory2022 (FINAL)'!G259</f>
        <v>0</v>
      </c>
      <c r="G186" s="15">
        <f>'inventory2022 (FINAL)'!H259</f>
        <v>0</v>
      </c>
      <c r="H186" s="15">
        <f>'inventory2022 (FINAL)'!I259</f>
        <v>8.177999999999999</v>
      </c>
      <c r="I186" s="15">
        <v>0</v>
      </c>
      <c r="J186" s="24" t="s">
        <v>12</v>
      </c>
      <c r="K186" s="591" t="s">
        <v>466</v>
      </c>
      <c r="L186" s="24"/>
      <c r="M186" s="593"/>
      <c r="N186" s="598"/>
    </row>
    <row r="187" spans="1:14" x14ac:dyDescent="0.35">
      <c r="A187" s="596">
        <v>113</v>
      </c>
      <c r="B187" s="28" t="s">
        <v>75</v>
      </c>
      <c r="C187" s="15">
        <f>'inventory2022 (FINAL)'!E260</f>
        <v>1.5</v>
      </c>
      <c r="D187" s="590">
        <f>'[23]road inventory 2018'!C184</f>
        <v>1.5</v>
      </c>
      <c r="E187" s="15">
        <f>'inventory2022 (FINAL)'!F260</f>
        <v>0.1</v>
      </c>
      <c r="F187" s="15">
        <f>'inventory2022 (FINAL)'!G260</f>
        <v>0</v>
      </c>
      <c r="G187" s="15">
        <f>'inventory2022 (FINAL)'!H260</f>
        <v>0</v>
      </c>
      <c r="H187" s="15">
        <f>'inventory2022 (FINAL)'!I260</f>
        <v>1.49</v>
      </c>
      <c r="I187" s="10">
        <v>0</v>
      </c>
      <c r="J187" s="28" t="s">
        <v>33</v>
      </c>
      <c r="K187" s="597" t="s">
        <v>467</v>
      </c>
      <c r="L187" s="28"/>
    </row>
    <row r="188" spans="1:14" ht="31" x14ac:dyDescent="0.35">
      <c r="A188" s="596">
        <v>114</v>
      </c>
      <c r="B188" s="28" t="s">
        <v>468</v>
      </c>
      <c r="C188" s="15">
        <f>'inventory2022 (FINAL)'!E261</f>
        <v>9.5</v>
      </c>
      <c r="D188" s="590">
        <f>'[23]road inventory 2018'!C185</f>
        <v>9.5</v>
      </c>
      <c r="E188" s="15">
        <f>'inventory2022 (FINAL)'!F261</f>
        <v>0</v>
      </c>
      <c r="F188" s="15">
        <f>'inventory2022 (FINAL)'!G261</f>
        <v>0</v>
      </c>
      <c r="G188" s="15">
        <f>'inventory2022 (FINAL)'!H261</f>
        <v>0</v>
      </c>
      <c r="H188" s="15">
        <f>'inventory2022 (FINAL)'!I261</f>
        <v>9.5949999999999989</v>
      </c>
      <c r="I188" s="10">
        <v>0</v>
      </c>
      <c r="J188" s="103" t="s">
        <v>12</v>
      </c>
      <c r="K188" s="597" t="s">
        <v>469</v>
      </c>
      <c r="L188" s="28"/>
    </row>
    <row r="189" spans="1:14" s="16" customFormat="1" ht="18" customHeight="1" x14ac:dyDescent="0.35">
      <c r="A189" s="589">
        <v>115</v>
      </c>
      <c r="B189" s="24" t="s">
        <v>77</v>
      </c>
      <c r="C189" s="15">
        <f>'inventory2022 (FINAL)'!E262</f>
        <v>10.700000000000001</v>
      </c>
      <c r="D189" s="590">
        <f>'[23]road inventory 2018'!C186</f>
        <v>10.700000000000001</v>
      </c>
      <c r="E189" s="15">
        <f>'inventory2022 (FINAL)'!F262</f>
        <v>11.143000000000001</v>
      </c>
      <c r="F189" s="15">
        <f>'inventory2022 (FINAL)'!G262</f>
        <v>0</v>
      </c>
      <c r="G189" s="15">
        <f>'inventory2022 (FINAL)'!H262</f>
        <v>0</v>
      </c>
      <c r="H189" s="15">
        <f>'inventory2022 (FINAL)'!I262</f>
        <v>0</v>
      </c>
      <c r="I189" s="15">
        <v>0</v>
      </c>
      <c r="J189" s="24" t="s">
        <v>10</v>
      </c>
      <c r="K189" s="591" t="s">
        <v>470</v>
      </c>
      <c r="L189" s="24"/>
      <c r="M189" s="593"/>
      <c r="N189" s="598"/>
    </row>
    <row r="190" spans="1:14" ht="18" customHeight="1" x14ac:dyDescent="0.35">
      <c r="A190" s="596">
        <v>117</v>
      </c>
      <c r="B190" s="28" t="s">
        <v>79</v>
      </c>
      <c r="C190" s="15">
        <f>'inventory2022 (FINAL)'!E263</f>
        <v>8.6</v>
      </c>
      <c r="D190" s="590">
        <f>'[23]road inventory 2018'!C187</f>
        <v>8.6</v>
      </c>
      <c r="E190" s="15">
        <f>'inventory2022 (FINAL)'!F263</f>
        <v>2.1800000000000002</v>
      </c>
      <c r="F190" s="15">
        <f>'inventory2022 (FINAL)'!G263</f>
        <v>0</v>
      </c>
      <c r="G190" s="15">
        <f>'inventory2022 (FINAL)'!H263</f>
        <v>0</v>
      </c>
      <c r="H190" s="15">
        <f>'inventory2022 (FINAL)'!I263</f>
        <v>5.8559999999999999</v>
      </c>
      <c r="I190" s="10">
        <v>0</v>
      </c>
      <c r="J190" s="103" t="s">
        <v>12</v>
      </c>
      <c r="K190" s="597" t="s">
        <v>471</v>
      </c>
      <c r="L190" s="28"/>
    </row>
    <row r="191" spans="1:14" ht="31" x14ac:dyDescent="0.35">
      <c r="A191" s="596">
        <v>118</v>
      </c>
      <c r="B191" s="28" t="s">
        <v>83</v>
      </c>
      <c r="C191" s="15">
        <f>'inventory2022 (FINAL)'!E264</f>
        <v>3.4</v>
      </c>
      <c r="D191" s="590">
        <f>'[23]road inventory 2018'!C188</f>
        <v>3.4</v>
      </c>
      <c r="E191" s="15">
        <f>'inventory2022 (FINAL)'!F264</f>
        <v>0</v>
      </c>
      <c r="F191" s="15">
        <f>'inventory2022 (FINAL)'!G264</f>
        <v>0</v>
      </c>
      <c r="G191" s="15">
        <f>'inventory2022 (FINAL)'!H264</f>
        <v>0</v>
      </c>
      <c r="H191" s="15">
        <f>'inventory2022 (FINAL)'!I264</f>
        <v>0.9</v>
      </c>
      <c r="I191" s="10">
        <v>0</v>
      </c>
      <c r="J191" s="103" t="s">
        <v>835</v>
      </c>
      <c r="K191" s="597" t="s">
        <v>472</v>
      </c>
      <c r="L191" s="28"/>
    </row>
    <row r="192" spans="1:14" s="16" customFormat="1" ht="31" x14ac:dyDescent="0.35">
      <c r="A192" s="589">
        <v>132</v>
      </c>
      <c r="B192" s="24" t="s">
        <v>85</v>
      </c>
      <c r="C192" s="15">
        <f>'inventory2022 (FINAL)'!E265</f>
        <v>13.5</v>
      </c>
      <c r="D192" s="590">
        <f>'[23]road inventory 2018'!C189</f>
        <v>13.5</v>
      </c>
      <c r="E192" s="15">
        <f>'inventory2022 (FINAL)'!F265</f>
        <v>9.7330000000000005</v>
      </c>
      <c r="F192" s="15">
        <f>'inventory2022 (FINAL)'!G265</f>
        <v>0</v>
      </c>
      <c r="G192" s="15">
        <f>'inventory2022 (FINAL)'!H265</f>
        <v>0</v>
      </c>
      <c r="H192" s="15">
        <f>'inventory2022 (FINAL)'!I265</f>
        <v>3.6050000000000004</v>
      </c>
      <c r="I192" s="15">
        <v>0</v>
      </c>
      <c r="J192" s="106" t="s">
        <v>10</v>
      </c>
      <c r="K192" s="591" t="s">
        <v>473</v>
      </c>
      <c r="L192" s="24"/>
      <c r="M192" s="593"/>
      <c r="N192" s="598"/>
    </row>
    <row r="193" spans="1:14" s="16" customFormat="1" ht="18" customHeight="1" thickBot="1" x14ac:dyDescent="0.4">
      <c r="A193" s="649">
        <v>139</v>
      </c>
      <c r="B193" s="64" t="s">
        <v>474</v>
      </c>
      <c r="C193" s="15">
        <f>'inventory2022 (FINAL)'!E266</f>
        <v>8.9</v>
      </c>
      <c r="D193" s="590">
        <f>'[23]road inventory 2018'!C190</f>
        <v>8.9</v>
      </c>
      <c r="E193" s="15">
        <f>'inventory2022 (FINAL)'!F266</f>
        <v>0</v>
      </c>
      <c r="F193" s="15">
        <f>'inventory2022 (FINAL)'!G266</f>
        <v>0</v>
      </c>
      <c r="G193" s="15">
        <f>'inventory2022 (FINAL)'!H266</f>
        <v>0</v>
      </c>
      <c r="H193" s="15">
        <f>'inventory2022 (FINAL)'!I266</f>
        <v>9.1479999999999997</v>
      </c>
      <c r="I193" s="65">
        <v>0</v>
      </c>
      <c r="J193" s="651" t="s">
        <v>12</v>
      </c>
      <c r="K193" s="652" t="s">
        <v>475</v>
      </c>
      <c r="L193" s="60"/>
      <c r="M193" s="593"/>
      <c r="N193" s="598"/>
    </row>
    <row r="194" spans="1:14" s="667" customFormat="1" ht="18" customHeight="1" x14ac:dyDescent="0.35">
      <c r="A194" s="618">
        <v>122</v>
      </c>
      <c r="B194" s="619" t="s">
        <v>476</v>
      </c>
      <c r="C194" s="15">
        <f>'inventory2022 (FINAL)'!E267</f>
        <v>3.25</v>
      </c>
      <c r="D194" s="634">
        <f>'[23]road inventory 2018'!C193</f>
        <v>3.25</v>
      </c>
      <c r="E194" s="15">
        <f>'inventory2022 (FINAL)'!F267</f>
        <v>2.0139999999999998</v>
      </c>
      <c r="F194" s="15">
        <f>'inventory2022 (FINAL)'!G267</f>
        <v>0</v>
      </c>
      <c r="G194" s="15">
        <f>'inventory2022 (FINAL)'!H267</f>
        <v>0</v>
      </c>
      <c r="H194" s="15">
        <f>'inventory2022 (FINAL)'!I267</f>
        <v>1.8420000000000001</v>
      </c>
      <c r="I194" s="620">
        <v>0</v>
      </c>
      <c r="J194" s="621" t="s">
        <v>12</v>
      </c>
      <c r="K194" s="622" t="s">
        <v>477</v>
      </c>
      <c r="L194" s="665"/>
      <c r="M194" s="623"/>
      <c r="N194" s="666"/>
    </row>
    <row r="195" spans="1:14" s="16" customFormat="1" ht="18" customHeight="1" x14ac:dyDescent="0.35">
      <c r="A195" s="589">
        <v>216</v>
      </c>
      <c r="B195" s="24" t="s">
        <v>87</v>
      </c>
      <c r="C195" s="15">
        <f>'inventory2022 (FINAL)'!E268</f>
        <v>6.1</v>
      </c>
      <c r="D195" s="590">
        <f>'[23]road inventory 2018'!C194</f>
        <v>6.1</v>
      </c>
      <c r="E195" s="15">
        <f>'inventory2022 (FINAL)'!F268</f>
        <v>0</v>
      </c>
      <c r="F195" s="15">
        <f>'inventory2022 (FINAL)'!G268</f>
        <v>0</v>
      </c>
      <c r="G195" s="15">
        <f>'inventory2022 (FINAL)'!H268</f>
        <v>0</v>
      </c>
      <c r="H195" s="15">
        <f>'inventory2022 (FINAL)'!I268</f>
        <v>6.319</v>
      </c>
      <c r="I195" s="15">
        <v>0</v>
      </c>
      <c r="J195" s="106" t="s">
        <v>12</v>
      </c>
      <c r="K195" s="591" t="s">
        <v>478</v>
      </c>
      <c r="L195" s="24"/>
      <c r="M195" s="593"/>
      <c r="N195" s="598"/>
    </row>
    <row r="196" spans="1:14" s="16" customFormat="1" ht="18" customHeight="1" x14ac:dyDescent="0.35">
      <c r="A196" s="589">
        <v>133</v>
      </c>
      <c r="B196" s="24" t="s">
        <v>90</v>
      </c>
      <c r="C196" s="15">
        <f>'inventory2022 (FINAL)'!E269</f>
        <v>4.4000000000000004</v>
      </c>
      <c r="D196" s="590">
        <f>'[23]road inventory 2018'!C195</f>
        <v>4.4000000000000004</v>
      </c>
      <c r="E196" s="15">
        <f>'inventory2022 (FINAL)'!F269</f>
        <v>0</v>
      </c>
      <c r="F196" s="15">
        <f>'inventory2022 (FINAL)'!G269</f>
        <v>0</v>
      </c>
      <c r="G196" s="15">
        <f>'inventory2022 (FINAL)'!H269</f>
        <v>0</v>
      </c>
      <c r="H196" s="15">
        <f>'inventory2022 (FINAL)'!I269</f>
        <v>5.2159999999999993</v>
      </c>
      <c r="I196" s="15">
        <v>0</v>
      </c>
      <c r="J196" s="106" t="s">
        <v>12</v>
      </c>
      <c r="K196" s="591" t="s">
        <v>478</v>
      </c>
      <c r="L196" s="24"/>
      <c r="M196" s="593"/>
      <c r="N196" s="598"/>
    </row>
    <row r="197" spans="1:14" s="667" customFormat="1" ht="18" customHeight="1" x14ac:dyDescent="0.35">
      <c r="A197" s="618">
        <v>123</v>
      </c>
      <c r="B197" s="619" t="s">
        <v>91</v>
      </c>
      <c r="C197" s="15">
        <f>'inventory2022 (FINAL)'!E270</f>
        <v>17</v>
      </c>
      <c r="D197" s="634">
        <f>'[23]road inventory 2018'!C196</f>
        <v>17</v>
      </c>
      <c r="E197" s="15">
        <f>'inventory2022 (FINAL)'!F270</f>
        <v>9.9120000000000008</v>
      </c>
      <c r="F197" s="15">
        <f>'inventory2022 (FINAL)'!G270</f>
        <v>0</v>
      </c>
      <c r="G197" s="15">
        <f>'inventory2022 (FINAL)'!H270</f>
        <v>0</v>
      </c>
      <c r="H197" s="15">
        <f>'inventory2022 (FINAL)'!I270</f>
        <v>7.5419999999999998</v>
      </c>
      <c r="I197" s="620">
        <v>0</v>
      </c>
      <c r="J197" s="621" t="s">
        <v>12</v>
      </c>
      <c r="K197" s="622" t="s">
        <v>475</v>
      </c>
      <c r="L197" s="619"/>
      <c r="M197" s="623"/>
      <c r="N197" s="666"/>
    </row>
    <row r="198" spans="1:14" ht="18" customHeight="1" x14ac:dyDescent="0.35">
      <c r="A198" s="596">
        <v>134</v>
      </c>
      <c r="B198" s="45" t="s">
        <v>284</v>
      </c>
      <c r="C198" s="15">
        <f>'inventory2022 (FINAL)'!E271</f>
        <v>8.3000000000000007</v>
      </c>
      <c r="D198" s="590">
        <f>'[23]road inventory 2018'!C197</f>
        <v>8.3000000000000007</v>
      </c>
      <c r="E198" s="15">
        <f>'inventory2022 (FINAL)'!F271</f>
        <v>0</v>
      </c>
      <c r="F198" s="15">
        <f>'inventory2022 (FINAL)'!G271</f>
        <v>0</v>
      </c>
      <c r="G198" s="15">
        <f>'inventory2022 (FINAL)'!H271</f>
        <v>0</v>
      </c>
      <c r="H198" s="15">
        <f>'inventory2022 (FINAL)'!I271</f>
        <v>8.4459999999999997</v>
      </c>
      <c r="I198" s="10">
        <v>0</v>
      </c>
      <c r="J198" s="103" t="s">
        <v>317</v>
      </c>
      <c r="K198" s="597"/>
      <c r="L198" s="28"/>
    </row>
    <row r="199" spans="1:14" ht="18" customHeight="1" x14ac:dyDescent="0.35">
      <c r="A199" s="635"/>
      <c r="B199" s="654"/>
      <c r="C199" s="41">
        <f t="shared" ref="C199:I199" si="8">SUM(C182:C198)</f>
        <v>129.38000000000002</v>
      </c>
      <c r="D199" s="41">
        <f t="shared" si="8"/>
        <v>129.38000000000002</v>
      </c>
      <c r="E199" s="41">
        <f t="shared" si="8"/>
        <v>37.722000000000001</v>
      </c>
      <c r="F199" s="41">
        <f t="shared" si="8"/>
        <v>0</v>
      </c>
      <c r="G199" s="41">
        <f t="shared" si="8"/>
        <v>0</v>
      </c>
      <c r="H199" s="41">
        <f t="shared" si="8"/>
        <v>91.448999999999984</v>
      </c>
      <c r="I199" s="41">
        <f t="shared" si="8"/>
        <v>0</v>
      </c>
      <c r="J199" s="109"/>
      <c r="K199" s="605"/>
      <c r="L199" s="28"/>
    </row>
    <row r="200" spans="1:14" ht="18" customHeight="1" thickBot="1" x14ac:dyDescent="0.4">
      <c r="A200" s="53" t="s">
        <v>341</v>
      </c>
      <c r="B200" s="34"/>
      <c r="C200" s="31">
        <f>E200+H200</f>
        <v>129.17099999999999</v>
      </c>
      <c r="D200" s="630"/>
      <c r="E200" s="31">
        <f>SUM(E182:E198)</f>
        <v>37.722000000000001</v>
      </c>
      <c r="F200" s="31">
        <f>SUM(F182:F198)</f>
        <v>0</v>
      </c>
      <c r="G200" s="31">
        <f>SUM(G182:G198)</f>
        <v>0</v>
      </c>
      <c r="H200" s="31">
        <f>SUM(H182:H198)</f>
        <v>91.448999999999984</v>
      </c>
      <c r="I200" s="31">
        <f>SUM(I182:I198)</f>
        <v>0</v>
      </c>
      <c r="J200" s="608"/>
      <c r="K200" s="609"/>
      <c r="L200" s="653"/>
      <c r="M200" s="21"/>
    </row>
    <row r="201" spans="1:14" ht="18" customHeight="1" thickBot="1" x14ac:dyDescent="0.4">
      <c r="L201" s="28"/>
    </row>
    <row r="202" spans="1:14" s="1" customFormat="1" x14ac:dyDescent="0.35">
      <c r="A202" s="1217" t="s">
        <v>479</v>
      </c>
      <c r="B202" s="1218"/>
      <c r="C202" s="1218"/>
      <c r="D202" s="1218"/>
      <c r="E202" s="1218"/>
      <c r="F202" s="1218"/>
      <c r="G202" s="1218"/>
      <c r="H202" s="1218"/>
      <c r="I202" s="1218"/>
      <c r="J202" s="1218"/>
      <c r="K202" s="1218"/>
      <c r="L202" s="668"/>
      <c r="M202" s="584"/>
      <c r="N202" s="581"/>
    </row>
    <row r="203" spans="1:14" s="1" customFormat="1" ht="16" thickBot="1" x14ac:dyDescent="0.4">
      <c r="A203" s="585"/>
      <c r="B203" s="2"/>
      <c r="C203" s="5"/>
      <c r="D203" s="586"/>
      <c r="E203" s="5"/>
      <c r="F203" s="5"/>
      <c r="G203" s="5"/>
      <c r="H203" s="5"/>
      <c r="I203" s="5"/>
      <c r="J203" s="3"/>
      <c r="K203" s="21"/>
      <c r="L203" s="653"/>
      <c r="M203" s="21"/>
      <c r="N203" s="581"/>
    </row>
    <row r="204" spans="1:14" s="1" customFormat="1" ht="21" customHeight="1" x14ac:dyDescent="0.35">
      <c r="A204" s="1206" t="s">
        <v>302</v>
      </c>
      <c r="B204" s="1208" t="s">
        <v>28</v>
      </c>
      <c r="C204" s="1210" t="s">
        <v>343</v>
      </c>
      <c r="D204" s="613"/>
      <c r="E204" s="1212" t="s">
        <v>305</v>
      </c>
      <c r="F204" s="1212"/>
      <c r="G204" s="1212"/>
      <c r="H204" s="1212"/>
      <c r="I204" s="1212"/>
      <c r="J204" s="1208" t="s">
        <v>29</v>
      </c>
      <c r="K204" s="1213" t="s">
        <v>306</v>
      </c>
      <c r="L204" s="1215" t="s">
        <v>307</v>
      </c>
      <c r="M204" s="588"/>
      <c r="N204" s="581"/>
    </row>
    <row r="205" spans="1:14" s="1" customFormat="1" ht="21" customHeight="1" thickBot="1" x14ac:dyDescent="0.4">
      <c r="A205" s="1207"/>
      <c r="B205" s="1209"/>
      <c r="C205" s="1211"/>
      <c r="D205" s="614"/>
      <c r="E205" s="7" t="s">
        <v>308</v>
      </c>
      <c r="F205" s="7" t="s">
        <v>309</v>
      </c>
      <c r="G205" s="7" t="s">
        <v>310</v>
      </c>
      <c r="H205" s="7" t="s">
        <v>311</v>
      </c>
      <c r="I205" s="7" t="s">
        <v>312</v>
      </c>
      <c r="J205" s="1209"/>
      <c r="K205" s="1214"/>
      <c r="L205" s="1216"/>
      <c r="M205" s="588"/>
      <c r="N205" s="581"/>
    </row>
    <row r="206" spans="1:14" s="16" customFormat="1" ht="18" customHeight="1" x14ac:dyDescent="0.35">
      <c r="A206" s="589">
        <v>136</v>
      </c>
      <c r="B206" s="24" t="s">
        <v>93</v>
      </c>
      <c r="C206" s="15">
        <f>'inventory2022 (FINAL)'!E275</f>
        <v>11.3</v>
      </c>
      <c r="D206" s="590">
        <f>'[23]road inventory 2018'!C204</f>
        <v>11.3</v>
      </c>
      <c r="E206" s="15">
        <f>'inventory2022 (FINAL)'!F275</f>
        <v>10.11</v>
      </c>
      <c r="F206" s="15">
        <f>'inventory2022 (FINAL)'!G275</f>
        <v>0</v>
      </c>
      <c r="G206" s="15">
        <f>'inventory2022 (FINAL)'!H275</f>
        <v>0</v>
      </c>
      <c r="H206" s="15">
        <f>'inventory2022 (FINAL)'!I275</f>
        <v>1.3509999999999991</v>
      </c>
      <c r="I206" s="15">
        <v>0</v>
      </c>
      <c r="J206" s="24" t="s">
        <v>10</v>
      </c>
      <c r="K206" s="591" t="s">
        <v>480</v>
      </c>
      <c r="L206" s="24"/>
      <c r="M206" s="593"/>
      <c r="N206" s="598"/>
    </row>
    <row r="207" spans="1:14" s="16" customFormat="1" ht="18" customHeight="1" x14ac:dyDescent="0.35">
      <c r="A207" s="589">
        <v>137</v>
      </c>
      <c r="B207" s="24" t="s">
        <v>95</v>
      </c>
      <c r="C207" s="15">
        <f>'inventory2022 (FINAL)'!E276</f>
        <v>12.5</v>
      </c>
      <c r="D207" s="590">
        <f>'[23]road inventory 2018'!C205</f>
        <v>12.5</v>
      </c>
      <c r="E207" s="15">
        <f>'inventory2022 (FINAL)'!F276</f>
        <v>9.9</v>
      </c>
      <c r="F207" s="15">
        <f>'inventory2022 (FINAL)'!G276</f>
        <v>0</v>
      </c>
      <c r="G207" s="15">
        <f>'inventory2022 (FINAL)'!H276</f>
        <v>0</v>
      </c>
      <c r="H207" s="15">
        <f>'inventory2022 (FINAL)'!I276</f>
        <v>4.6989999999999981</v>
      </c>
      <c r="I207" s="15">
        <v>0</v>
      </c>
      <c r="J207" s="24" t="s">
        <v>10</v>
      </c>
      <c r="K207" s="591" t="s">
        <v>481</v>
      </c>
      <c r="L207" s="24"/>
      <c r="M207" s="593"/>
      <c r="N207" s="598"/>
    </row>
    <row r="208" spans="1:14" ht="18" customHeight="1" x14ac:dyDescent="0.35">
      <c r="A208" s="596">
        <v>119</v>
      </c>
      <c r="B208" s="28" t="s">
        <v>97</v>
      </c>
      <c r="C208" s="15">
        <f>'inventory2022 (FINAL)'!E277</f>
        <v>5.5</v>
      </c>
      <c r="D208" s="590">
        <f>'[23]road inventory 2018'!C206</f>
        <v>5.5</v>
      </c>
      <c r="E208" s="15">
        <f>'inventory2022 (FINAL)'!F277</f>
        <v>0</v>
      </c>
      <c r="F208" s="15">
        <f>'inventory2022 (FINAL)'!G277</f>
        <v>0</v>
      </c>
      <c r="G208" s="15">
        <f>'inventory2022 (FINAL)'!H277</f>
        <v>0</v>
      </c>
      <c r="H208" s="15">
        <f>'inventory2022 (FINAL)'!I277</f>
        <v>5.5349999999999993</v>
      </c>
      <c r="I208" s="10">
        <v>0</v>
      </c>
      <c r="J208" s="28" t="s">
        <v>33</v>
      </c>
      <c r="K208" s="597" t="s">
        <v>482</v>
      </c>
      <c r="L208" s="28"/>
    </row>
    <row r="209" spans="1:15" s="16" customFormat="1" x14ac:dyDescent="0.35">
      <c r="A209" s="589">
        <v>120</v>
      </c>
      <c r="B209" s="24" t="s">
        <v>99</v>
      </c>
      <c r="C209" s="15">
        <f>'inventory2022 (FINAL)'!E278</f>
        <v>10.75</v>
      </c>
      <c r="D209" s="590">
        <f>'[23]road inventory 2018'!C207</f>
        <v>10.75</v>
      </c>
      <c r="E209" s="15">
        <f>'inventory2022 (FINAL)'!F278</f>
        <v>10.984</v>
      </c>
      <c r="F209" s="15">
        <f>'inventory2022 (FINAL)'!G278</f>
        <v>0</v>
      </c>
      <c r="G209" s="15">
        <f>'inventory2022 (FINAL)'!H278</f>
        <v>0</v>
      </c>
      <c r="H209" s="15">
        <f>'inventory2022 (FINAL)'!I278</f>
        <v>0</v>
      </c>
      <c r="I209" s="15">
        <v>0</v>
      </c>
      <c r="J209" s="24" t="s">
        <v>10</v>
      </c>
      <c r="K209" s="591" t="s">
        <v>483</v>
      </c>
      <c r="L209" s="24"/>
      <c r="M209" s="593"/>
      <c r="N209" s="598"/>
    </row>
    <row r="210" spans="1:15" s="16" customFormat="1" ht="31" x14ac:dyDescent="0.35">
      <c r="A210" s="589">
        <v>140</v>
      </c>
      <c r="B210" s="24" t="s">
        <v>101</v>
      </c>
      <c r="C210" s="15">
        <f>'inventory2022 (FINAL)'!E279</f>
        <v>19.52</v>
      </c>
      <c r="D210" s="590">
        <f>'[23]road inventory 2018'!C208</f>
        <v>19.52</v>
      </c>
      <c r="E210" s="15">
        <f>'inventory2022 (FINAL)'!F279</f>
        <v>1.2909999999999999</v>
      </c>
      <c r="F210" s="15">
        <f>'inventory2022 (FINAL)'!G279</f>
        <v>0</v>
      </c>
      <c r="G210" s="15">
        <f>'inventory2022 (FINAL)'!H279</f>
        <v>0</v>
      </c>
      <c r="H210" s="15">
        <f>'inventory2022 (FINAL)'!I279</f>
        <v>18.792999999999999</v>
      </c>
      <c r="I210" s="15">
        <v>0</v>
      </c>
      <c r="J210" s="24" t="s">
        <v>12</v>
      </c>
      <c r="K210" s="591"/>
      <c r="L210" s="24"/>
      <c r="M210" s="593"/>
      <c r="N210" s="598"/>
    </row>
    <row r="211" spans="1:15" ht="31" x14ac:dyDescent="0.35">
      <c r="A211" s="596">
        <v>138</v>
      </c>
      <c r="B211" s="28" t="s">
        <v>103</v>
      </c>
      <c r="C211" s="15">
        <f>'inventory2022 (FINAL)'!E280</f>
        <v>5.0999999999999996</v>
      </c>
      <c r="D211" s="590">
        <f>'[23]road inventory 2018'!C209</f>
        <v>5.0999999999999996</v>
      </c>
      <c r="E211" s="15">
        <f>'inventory2022 (FINAL)'!F280</f>
        <v>0</v>
      </c>
      <c r="F211" s="15">
        <f>'inventory2022 (FINAL)'!G280</f>
        <v>0</v>
      </c>
      <c r="G211" s="15">
        <f>'inventory2022 (FINAL)'!H280</f>
        <v>0</v>
      </c>
      <c r="H211" s="15">
        <f>'inventory2022 (FINAL)'!I280</f>
        <v>5.6609999999999996</v>
      </c>
      <c r="I211" s="10">
        <v>0</v>
      </c>
      <c r="J211" s="103" t="s">
        <v>33</v>
      </c>
      <c r="K211" s="597" t="s">
        <v>484</v>
      </c>
      <c r="L211" s="28"/>
    </row>
    <row r="212" spans="1:15" ht="31" x14ac:dyDescent="0.35">
      <c r="A212" s="596">
        <v>124</v>
      </c>
      <c r="B212" s="28" t="s">
        <v>485</v>
      </c>
      <c r="C212" s="15">
        <f>'inventory2022 (FINAL)'!E281</f>
        <v>17</v>
      </c>
      <c r="D212" s="590">
        <f>'[23]road inventory 2018'!C210</f>
        <v>17</v>
      </c>
      <c r="E212" s="15">
        <f>'inventory2022 (FINAL)'!F281</f>
        <v>3.6110000000000002</v>
      </c>
      <c r="F212" s="15">
        <f>'inventory2022 (FINAL)'!G281</f>
        <v>0</v>
      </c>
      <c r="G212" s="15">
        <f>'inventory2022 (FINAL)'!H281</f>
        <v>0</v>
      </c>
      <c r="H212" s="15">
        <f>'inventory2022 (FINAL)'!I281</f>
        <v>13.440999999999999</v>
      </c>
      <c r="I212" s="10">
        <v>0</v>
      </c>
      <c r="J212" s="103" t="s">
        <v>12</v>
      </c>
      <c r="K212" s="597"/>
      <c r="L212" s="28"/>
    </row>
    <row r="213" spans="1:15" s="16" customFormat="1" ht="18" customHeight="1" x14ac:dyDescent="0.35">
      <c r="A213" s="589">
        <v>141</v>
      </c>
      <c r="B213" s="24" t="s">
        <v>486</v>
      </c>
      <c r="C213" s="15">
        <f>'inventory2022 (FINAL)'!E282</f>
        <v>6</v>
      </c>
      <c r="D213" s="590">
        <f>'[23]road inventory 2018'!C211</f>
        <v>6</v>
      </c>
      <c r="E213" s="15">
        <f>'inventory2022 (FINAL)'!F282</f>
        <v>0</v>
      </c>
      <c r="F213" s="15">
        <f>'inventory2022 (FINAL)'!G282</f>
        <v>0</v>
      </c>
      <c r="G213" s="15">
        <f>'inventory2022 (FINAL)'!H282</f>
        <v>0</v>
      </c>
      <c r="H213" s="15">
        <f>'inventory2022 (FINAL)'!I282</f>
        <v>1.925</v>
      </c>
      <c r="I213" s="15">
        <v>0</v>
      </c>
      <c r="J213" s="106" t="s">
        <v>12</v>
      </c>
      <c r="K213" s="591" t="s">
        <v>487</v>
      </c>
      <c r="L213" s="24"/>
      <c r="M213" s="593"/>
      <c r="N213" s="598"/>
    </row>
    <row r="214" spans="1:15" s="16" customFormat="1" ht="18" customHeight="1" x14ac:dyDescent="0.35">
      <c r="A214" s="626"/>
      <c r="B214" s="60"/>
      <c r="C214" s="61">
        <f>SUM(C206:C213)</f>
        <v>87.669999999999987</v>
      </c>
      <c r="D214" s="61">
        <f t="shared" ref="D214:I214" si="9">SUM(D206:D213)</f>
        <v>87.669999999999987</v>
      </c>
      <c r="E214" s="61">
        <f t="shared" si="9"/>
        <v>35.895999999999994</v>
      </c>
      <c r="F214" s="61">
        <f t="shared" si="9"/>
        <v>0</v>
      </c>
      <c r="G214" s="61">
        <f t="shared" si="9"/>
        <v>0</v>
      </c>
      <c r="H214" s="61">
        <f t="shared" si="9"/>
        <v>51.404999999999987</v>
      </c>
      <c r="I214" s="61">
        <f t="shared" si="9"/>
        <v>0</v>
      </c>
      <c r="J214" s="628"/>
      <c r="K214" s="629"/>
      <c r="L214" s="24"/>
      <c r="M214" s="593"/>
      <c r="N214" s="598"/>
    </row>
    <row r="215" spans="1:15" ht="18" customHeight="1" thickBot="1" x14ac:dyDescent="0.4">
      <c r="A215" s="53" t="s">
        <v>341</v>
      </c>
      <c r="B215" s="34"/>
      <c r="C215" s="31">
        <f>SUM(C206:C213)</f>
        <v>87.669999999999987</v>
      </c>
      <c r="D215" s="630"/>
      <c r="E215" s="31">
        <f>SUM(E206:E213)</f>
        <v>35.895999999999994</v>
      </c>
      <c r="F215" s="31">
        <f>SUM(F206:F213)</f>
        <v>0</v>
      </c>
      <c r="G215" s="31">
        <f>SUM(G206:G213)</f>
        <v>0</v>
      </c>
      <c r="H215" s="31">
        <f>SUM(H206:H213)</f>
        <v>51.404999999999987</v>
      </c>
      <c r="I215" s="31">
        <f>SUM(I206:I213)</f>
        <v>0</v>
      </c>
      <c r="J215" s="608"/>
      <c r="K215" s="609"/>
      <c r="L215" s="653"/>
      <c r="M215" s="21"/>
    </row>
    <row r="216" spans="1:15" ht="18" customHeight="1" thickBot="1" x14ac:dyDescent="0.4">
      <c r="L216" s="28"/>
    </row>
    <row r="217" spans="1:15" s="1" customFormat="1" x14ac:dyDescent="0.35">
      <c r="A217" s="1217" t="s">
        <v>488</v>
      </c>
      <c r="B217" s="1218"/>
      <c r="C217" s="1218"/>
      <c r="D217" s="1218"/>
      <c r="E217" s="1218"/>
      <c r="F217" s="1218"/>
      <c r="G217" s="1218"/>
      <c r="H217" s="1218"/>
      <c r="I217" s="1218"/>
      <c r="J217" s="1218"/>
      <c r="K217" s="1218"/>
      <c r="L217" s="668"/>
      <c r="M217" s="584"/>
      <c r="N217" s="581"/>
    </row>
    <row r="218" spans="1:15" s="1" customFormat="1" ht="16" thickBot="1" x14ac:dyDescent="0.4">
      <c r="A218" s="585"/>
      <c r="B218" s="2"/>
      <c r="C218" s="5"/>
      <c r="D218" s="586"/>
      <c r="E218" s="5"/>
      <c r="F218" s="5"/>
      <c r="G218" s="5"/>
      <c r="H218" s="5"/>
      <c r="I218" s="5"/>
      <c r="J218" s="3"/>
      <c r="K218" s="21"/>
      <c r="L218" s="653"/>
      <c r="M218" s="21"/>
      <c r="N218" s="581"/>
    </row>
    <row r="219" spans="1:15" s="1" customFormat="1" ht="21" customHeight="1" x14ac:dyDescent="0.35">
      <c r="A219" s="1206" t="s">
        <v>302</v>
      </c>
      <c r="B219" s="1208" t="s">
        <v>28</v>
      </c>
      <c r="C219" s="1210" t="s">
        <v>343</v>
      </c>
      <c r="D219" s="613"/>
      <c r="E219" s="1212" t="s">
        <v>305</v>
      </c>
      <c r="F219" s="1212"/>
      <c r="G219" s="1212"/>
      <c r="H219" s="1212"/>
      <c r="I219" s="1212"/>
      <c r="J219" s="1208" t="s">
        <v>29</v>
      </c>
      <c r="K219" s="1213" t="s">
        <v>306</v>
      </c>
      <c r="L219" s="1215" t="str">
        <f>L204</f>
        <v>REMARKS</v>
      </c>
      <c r="M219" s="588"/>
      <c r="N219" s="581"/>
    </row>
    <row r="220" spans="1:15" s="1" customFormat="1" ht="21" customHeight="1" thickBot="1" x14ac:dyDescent="0.4">
      <c r="A220" s="1207"/>
      <c r="B220" s="1209"/>
      <c r="C220" s="1211"/>
      <c r="D220" s="614"/>
      <c r="E220" s="7" t="s">
        <v>308</v>
      </c>
      <c r="F220" s="7" t="s">
        <v>309</v>
      </c>
      <c r="G220" s="7" t="s">
        <v>310</v>
      </c>
      <c r="H220" s="7" t="s">
        <v>311</v>
      </c>
      <c r="I220" s="7" t="s">
        <v>312</v>
      </c>
      <c r="J220" s="1209"/>
      <c r="K220" s="1214"/>
      <c r="L220" s="1216"/>
      <c r="M220" s="588"/>
      <c r="N220" s="581"/>
    </row>
    <row r="221" spans="1:15" s="16" customFormat="1" ht="31" x14ac:dyDescent="0.35">
      <c r="A221" s="589">
        <v>142</v>
      </c>
      <c r="B221" s="24" t="s">
        <v>286</v>
      </c>
      <c r="C221" s="15">
        <f>'inventory2022 (FINAL)'!E286</f>
        <v>19.299999999999997</v>
      </c>
      <c r="D221" s="590">
        <f>'[23]road inventory 2018'!C218</f>
        <v>19.299999999999997</v>
      </c>
      <c r="E221" s="15">
        <f>'inventory2022 (FINAL)'!F286</f>
        <v>3</v>
      </c>
      <c r="F221" s="15">
        <f>'inventory2022 (FINAL)'!G286</f>
        <v>0</v>
      </c>
      <c r="G221" s="15">
        <f>'inventory2022 (FINAL)'!H286</f>
        <v>0</v>
      </c>
      <c r="H221" s="15">
        <f>'inventory2022 (FINAL)'!I286</f>
        <v>16.3</v>
      </c>
      <c r="I221" s="15">
        <v>0</v>
      </c>
      <c r="J221" s="106" t="s">
        <v>12</v>
      </c>
      <c r="K221" s="591" t="s">
        <v>489</v>
      </c>
      <c r="L221" s="24"/>
      <c r="M221" s="593"/>
      <c r="N221" s="598"/>
    </row>
    <row r="222" spans="1:15" ht="31" x14ac:dyDescent="0.35">
      <c r="A222" s="596">
        <v>143</v>
      </c>
      <c r="B222" s="28" t="s">
        <v>287</v>
      </c>
      <c r="C222" s="15">
        <f>'inventory2022 (FINAL)'!E287</f>
        <v>8.7999999999999989</v>
      </c>
      <c r="D222" s="590">
        <f>'[23]road inventory 2018'!C219</f>
        <v>8.7999999999999989</v>
      </c>
      <c r="E222" s="15">
        <f>'inventory2022 (FINAL)'!F287</f>
        <v>0.2</v>
      </c>
      <c r="F222" s="15">
        <f>'inventory2022 (FINAL)'!G287</f>
        <v>0</v>
      </c>
      <c r="G222" s="15">
        <f>'inventory2022 (FINAL)'!H287</f>
        <v>0</v>
      </c>
      <c r="H222" s="15">
        <f>'inventory2022 (FINAL)'!I287</f>
        <v>8.6</v>
      </c>
      <c r="I222" s="10">
        <v>0</v>
      </c>
      <c r="J222" s="103" t="s">
        <v>12</v>
      </c>
      <c r="K222" s="597" t="s">
        <v>490</v>
      </c>
      <c r="L222" s="28"/>
      <c r="O222" s="3">
        <f>3750*4</f>
        <v>15000</v>
      </c>
    </row>
    <row r="223" spans="1:15" s="16" customFormat="1" ht="31" x14ac:dyDescent="0.35">
      <c r="A223" s="589">
        <v>144</v>
      </c>
      <c r="B223" s="24" t="s">
        <v>288</v>
      </c>
      <c r="C223" s="15">
        <f>'inventory2022 (FINAL)'!E288</f>
        <v>7.8999999999999995</v>
      </c>
      <c r="D223" s="590">
        <f>'[23]road inventory 2018'!C220</f>
        <v>7.8999999999999995</v>
      </c>
      <c r="E223" s="15">
        <f>'inventory2022 (FINAL)'!F288</f>
        <v>1.75</v>
      </c>
      <c r="F223" s="15">
        <f>'inventory2022 (FINAL)'!G288</f>
        <v>0</v>
      </c>
      <c r="G223" s="15">
        <f>'inventory2022 (FINAL)'!H288</f>
        <v>0</v>
      </c>
      <c r="H223" s="15">
        <f>'inventory2022 (FINAL)'!I288</f>
        <v>6.15</v>
      </c>
      <c r="I223" s="15">
        <v>0</v>
      </c>
      <c r="J223" s="106" t="s">
        <v>12</v>
      </c>
      <c r="K223" s="591" t="s">
        <v>491</v>
      </c>
      <c r="L223" s="24"/>
      <c r="M223" s="593"/>
      <c r="N223" s="598"/>
    </row>
    <row r="224" spans="1:15" s="667" customFormat="1" x14ac:dyDescent="0.35">
      <c r="A224" s="618">
        <v>121</v>
      </c>
      <c r="B224" s="619" t="s">
        <v>104</v>
      </c>
      <c r="C224" s="15">
        <f>'inventory2022 (FINAL)'!E289</f>
        <v>23.2</v>
      </c>
      <c r="D224" s="634">
        <f>'[23]road inventory 2018'!C221</f>
        <v>23.2</v>
      </c>
      <c r="E224" s="15">
        <f>'inventory2022 (FINAL)'!F289</f>
        <v>3.6030000000000002</v>
      </c>
      <c r="F224" s="15">
        <f>'inventory2022 (FINAL)'!G289</f>
        <v>0</v>
      </c>
      <c r="G224" s="15">
        <f>'inventory2022 (FINAL)'!H289</f>
        <v>1.72</v>
      </c>
      <c r="H224" s="15">
        <f>'inventory2022 (FINAL)'!I289</f>
        <v>17.876999999999999</v>
      </c>
      <c r="I224" s="620">
        <v>0</v>
      </c>
      <c r="J224" s="621" t="s">
        <v>12</v>
      </c>
      <c r="K224" s="622" t="s">
        <v>492</v>
      </c>
      <c r="L224" s="619"/>
      <c r="M224" s="623"/>
      <c r="N224" s="666"/>
    </row>
    <row r="225" spans="1:14" ht="18" customHeight="1" x14ac:dyDescent="0.35">
      <c r="A225" s="596">
        <v>145</v>
      </c>
      <c r="B225" s="28" t="s">
        <v>109</v>
      </c>
      <c r="C225" s="15">
        <f>'inventory2022 (FINAL)'!E290</f>
        <v>3.3</v>
      </c>
      <c r="D225" s="590">
        <f>'[23]road inventory 2018'!C222</f>
        <v>3.3</v>
      </c>
      <c r="E225" s="15">
        <f>'inventory2022 (FINAL)'!F290</f>
        <v>0</v>
      </c>
      <c r="F225" s="15">
        <f>'inventory2022 (FINAL)'!G290</f>
        <v>0</v>
      </c>
      <c r="G225" s="15">
        <f>'inventory2022 (FINAL)'!H290</f>
        <v>0</v>
      </c>
      <c r="H225" s="15">
        <f>'inventory2022 (FINAL)'!I290</f>
        <v>3.3</v>
      </c>
      <c r="I225" s="10">
        <v>0</v>
      </c>
      <c r="J225" s="103" t="s">
        <v>41</v>
      </c>
      <c r="K225" s="597"/>
      <c r="L225" s="28"/>
    </row>
    <row r="226" spans="1:14" s="667" customFormat="1" ht="18" customHeight="1" x14ac:dyDescent="0.35">
      <c r="A226" s="618">
        <v>126</v>
      </c>
      <c r="B226" s="619" t="s">
        <v>110</v>
      </c>
      <c r="C226" s="15">
        <f>'inventory2022 (FINAL)'!E291</f>
        <v>9.6</v>
      </c>
      <c r="D226" s="634">
        <f>'[23]road inventory 2018'!C223</f>
        <v>9.6</v>
      </c>
      <c r="E226" s="15">
        <f>'inventory2022 (FINAL)'!F291</f>
        <v>9.6</v>
      </c>
      <c r="F226" s="15">
        <f>'inventory2022 (FINAL)'!G291</f>
        <v>0</v>
      </c>
      <c r="G226" s="15">
        <f>'inventory2022 (FINAL)'!H291</f>
        <v>0</v>
      </c>
      <c r="H226" s="15">
        <f>'inventory2022 (FINAL)'!I291</f>
        <v>0</v>
      </c>
      <c r="I226" s="620">
        <v>0</v>
      </c>
      <c r="J226" s="621" t="s">
        <v>836</v>
      </c>
      <c r="K226" s="622" t="s">
        <v>493</v>
      </c>
      <c r="L226" s="619"/>
      <c r="M226" s="623"/>
      <c r="N226" s="666"/>
    </row>
    <row r="227" spans="1:14" s="16" customFormat="1" ht="31" x14ac:dyDescent="0.35">
      <c r="A227" s="589">
        <v>146</v>
      </c>
      <c r="B227" s="24" t="s">
        <v>115</v>
      </c>
      <c r="C227" s="15">
        <f>'inventory2022 (FINAL)'!E292</f>
        <v>8.3000000000000007</v>
      </c>
      <c r="D227" s="590">
        <f>'[23]road inventory 2018'!C224</f>
        <v>8.3000000000000007</v>
      </c>
      <c r="E227" s="15">
        <f>'inventory2022 (FINAL)'!F292</f>
        <v>0</v>
      </c>
      <c r="F227" s="15">
        <f>'inventory2022 (FINAL)'!G292</f>
        <v>0</v>
      </c>
      <c r="G227" s="15">
        <f>'inventory2022 (FINAL)'!H292</f>
        <v>0</v>
      </c>
      <c r="H227" s="15">
        <f>'inventory2022 (FINAL)'!I292</f>
        <v>8.3000000000000007</v>
      </c>
      <c r="I227" s="15">
        <v>0</v>
      </c>
      <c r="J227" s="106" t="s">
        <v>12</v>
      </c>
      <c r="K227" s="591"/>
      <c r="L227" s="24"/>
      <c r="M227" s="593"/>
      <c r="N227" s="598"/>
    </row>
    <row r="228" spans="1:14" s="16" customFormat="1" ht="18" customHeight="1" x14ac:dyDescent="0.35">
      <c r="A228" s="589">
        <v>147</v>
      </c>
      <c r="B228" s="24" t="s">
        <v>289</v>
      </c>
      <c r="C228" s="15">
        <f>'inventory2022 (FINAL)'!E293</f>
        <v>4.2</v>
      </c>
      <c r="D228" s="590">
        <f>'[23]road inventory 2018'!C225</f>
        <v>4.2</v>
      </c>
      <c r="E228" s="15">
        <f>'inventory2022 (FINAL)'!F293</f>
        <v>0.2</v>
      </c>
      <c r="F228" s="15">
        <f>'inventory2022 (FINAL)'!G293</f>
        <v>0</v>
      </c>
      <c r="G228" s="15">
        <f>'inventory2022 (FINAL)'!H293</f>
        <v>0</v>
      </c>
      <c r="H228" s="15">
        <f>'inventory2022 (FINAL)'!I293</f>
        <v>4</v>
      </c>
      <c r="I228" s="15">
        <v>0</v>
      </c>
      <c r="J228" s="106" t="s">
        <v>10</v>
      </c>
      <c r="K228" s="591"/>
      <c r="L228" s="24"/>
      <c r="M228" s="593"/>
      <c r="N228" s="598"/>
    </row>
    <row r="229" spans="1:14" s="16" customFormat="1" ht="18" customHeight="1" x14ac:dyDescent="0.35">
      <c r="A229" s="626"/>
      <c r="B229" s="60"/>
      <c r="C229" s="61">
        <f>SUM(C221:C228)</f>
        <v>84.59999999999998</v>
      </c>
      <c r="D229" s="61">
        <f t="shared" ref="D229:I229" si="10">SUM(D221:D228)</f>
        <v>84.59999999999998</v>
      </c>
      <c r="E229" s="61">
        <f t="shared" si="10"/>
        <v>18.352999999999998</v>
      </c>
      <c r="F229" s="61">
        <f t="shared" si="10"/>
        <v>0</v>
      </c>
      <c r="G229" s="61">
        <f t="shared" si="10"/>
        <v>1.72</v>
      </c>
      <c r="H229" s="61">
        <f t="shared" si="10"/>
        <v>64.526999999999987</v>
      </c>
      <c r="I229" s="61">
        <f t="shared" si="10"/>
        <v>0</v>
      </c>
      <c r="J229" s="628"/>
      <c r="K229" s="629"/>
      <c r="L229" s="24"/>
      <c r="M229" s="593"/>
      <c r="N229" s="598"/>
    </row>
    <row r="230" spans="1:14" ht="18" customHeight="1" thickBot="1" x14ac:dyDescent="0.4">
      <c r="A230" s="53" t="s">
        <v>341</v>
      </c>
      <c r="B230" s="34"/>
      <c r="C230" s="31">
        <f>SUM(C221:C228)</f>
        <v>84.59999999999998</v>
      </c>
      <c r="D230" s="630"/>
      <c r="E230" s="31">
        <f>SUM(E221:E228)</f>
        <v>18.352999999999998</v>
      </c>
      <c r="F230" s="31">
        <f>SUM(F221:F228)</f>
        <v>0</v>
      </c>
      <c r="G230" s="31">
        <f>SUM(G221:G228)</f>
        <v>1.72</v>
      </c>
      <c r="H230" s="31">
        <f>SUM(H221:H228)</f>
        <v>64.526999999999987</v>
      </c>
      <c r="I230" s="31">
        <f>SUM(I221:I228)</f>
        <v>0</v>
      </c>
      <c r="J230" s="608"/>
      <c r="K230" s="609"/>
      <c r="L230" s="653"/>
      <c r="M230" s="21"/>
    </row>
    <row r="231" spans="1:14" ht="18" customHeight="1" thickBot="1" x14ac:dyDescent="0.4">
      <c r="L231" s="28"/>
    </row>
    <row r="232" spans="1:14" s="1" customFormat="1" x14ac:dyDescent="0.35">
      <c r="A232" s="1217" t="s">
        <v>494</v>
      </c>
      <c r="B232" s="1218"/>
      <c r="C232" s="1218"/>
      <c r="D232" s="1218"/>
      <c r="E232" s="1218"/>
      <c r="F232" s="1218"/>
      <c r="G232" s="1218"/>
      <c r="H232" s="1218"/>
      <c r="I232" s="1218"/>
      <c r="J232" s="1218"/>
      <c r="K232" s="1218"/>
      <c r="L232" s="668"/>
      <c r="M232" s="584"/>
      <c r="N232" s="581"/>
    </row>
    <row r="233" spans="1:14" s="1" customFormat="1" ht="16" thickBot="1" x14ac:dyDescent="0.4">
      <c r="A233" s="585"/>
      <c r="B233" s="2"/>
      <c r="C233" s="5"/>
      <c r="D233" s="586"/>
      <c r="E233" s="5"/>
      <c r="F233" s="5"/>
      <c r="G233" s="5"/>
      <c r="H233" s="5"/>
      <c r="I233" s="5"/>
      <c r="J233" s="3"/>
      <c r="K233" s="21"/>
      <c r="L233" s="653"/>
      <c r="M233" s="21"/>
      <c r="N233" s="581"/>
    </row>
    <row r="234" spans="1:14" s="1" customFormat="1" ht="21" customHeight="1" x14ac:dyDescent="0.35">
      <c r="A234" s="1206" t="s">
        <v>302</v>
      </c>
      <c r="B234" s="1208" t="s">
        <v>28</v>
      </c>
      <c r="C234" s="1210" t="s">
        <v>343</v>
      </c>
      <c r="D234" s="613"/>
      <c r="E234" s="1212" t="s">
        <v>305</v>
      </c>
      <c r="F234" s="1212"/>
      <c r="G234" s="1212"/>
      <c r="H234" s="1212"/>
      <c r="I234" s="1212"/>
      <c r="J234" s="1208" t="s">
        <v>29</v>
      </c>
      <c r="K234" s="1213" t="s">
        <v>306</v>
      </c>
      <c r="L234" s="1215" t="str">
        <f>L219</f>
        <v>REMARKS</v>
      </c>
      <c r="M234" s="588"/>
      <c r="N234" s="581"/>
    </row>
    <row r="235" spans="1:14" s="1" customFormat="1" ht="21" customHeight="1" thickBot="1" x14ac:dyDescent="0.4">
      <c r="A235" s="1207"/>
      <c r="B235" s="1209"/>
      <c r="C235" s="1211"/>
      <c r="D235" s="614"/>
      <c r="E235" s="7" t="s">
        <v>308</v>
      </c>
      <c r="F235" s="7" t="s">
        <v>309</v>
      </c>
      <c r="G235" s="7" t="s">
        <v>310</v>
      </c>
      <c r="H235" s="7" t="s">
        <v>311</v>
      </c>
      <c r="I235" s="7" t="s">
        <v>312</v>
      </c>
      <c r="J235" s="1209"/>
      <c r="K235" s="1214"/>
      <c r="L235" s="1216"/>
      <c r="M235" s="588"/>
      <c r="N235" s="581"/>
    </row>
    <row r="236" spans="1:14" ht="18" customHeight="1" x14ac:dyDescent="0.35">
      <c r="A236" s="596">
        <v>148</v>
      </c>
      <c r="B236" s="28" t="s">
        <v>290</v>
      </c>
      <c r="C236" s="10">
        <f>'inventory2022 (FINAL)'!E233</f>
        <v>3</v>
      </c>
      <c r="D236" s="615">
        <f>'[23]road inventory 2018'!C232</f>
        <v>3</v>
      </c>
      <c r="E236" s="10">
        <f>'inventory2022 (FINAL)'!F233</f>
        <v>0.32500000000000001</v>
      </c>
      <c r="F236" s="10">
        <f>'inventory2022 (FINAL)'!G233</f>
        <v>0</v>
      </c>
      <c r="G236" s="10">
        <f>'inventory2022 (FINAL)'!H233</f>
        <v>0</v>
      </c>
      <c r="H236" s="10">
        <f>'inventory2022 (FINAL)'!I233</f>
        <v>2.7510000000000003</v>
      </c>
      <c r="I236" s="10">
        <v>0</v>
      </c>
      <c r="J236" s="103" t="s">
        <v>41</v>
      </c>
      <c r="K236" s="597" t="s">
        <v>495</v>
      </c>
      <c r="L236" s="28"/>
    </row>
    <row r="237" spans="1:14" s="16" customFormat="1" x14ac:dyDescent="0.35">
      <c r="A237" s="589">
        <v>149</v>
      </c>
      <c r="B237" s="24" t="s">
        <v>496</v>
      </c>
      <c r="C237" s="10">
        <f>'inventory2022 (FINAL)'!E234</f>
        <v>5</v>
      </c>
      <c r="D237" s="615">
        <f>'[23]road inventory 2018'!C233</f>
        <v>5</v>
      </c>
      <c r="E237" s="10">
        <f>'inventory2022 (FINAL)'!F234</f>
        <v>3.55</v>
      </c>
      <c r="F237" s="10">
        <f>'inventory2022 (FINAL)'!G234</f>
        <v>0</v>
      </c>
      <c r="G237" s="10">
        <f>'inventory2022 (FINAL)'!H234</f>
        <v>0</v>
      </c>
      <c r="H237" s="10">
        <f>'inventory2022 (FINAL)'!I234</f>
        <v>1.5060000000000011</v>
      </c>
      <c r="I237" s="15">
        <v>0</v>
      </c>
      <c r="J237" s="106" t="s">
        <v>12</v>
      </c>
      <c r="K237" s="591" t="s">
        <v>497</v>
      </c>
      <c r="L237" s="24"/>
      <c r="M237" s="593"/>
      <c r="N237" s="598"/>
    </row>
    <row r="238" spans="1:14" ht="18" customHeight="1" x14ac:dyDescent="0.35">
      <c r="A238" s="596">
        <v>150</v>
      </c>
      <c r="B238" s="28" t="s">
        <v>116</v>
      </c>
      <c r="C238" s="10">
        <f>'inventory2022 (FINAL)'!E235</f>
        <v>11</v>
      </c>
      <c r="D238" s="615">
        <f>'[23]road inventory 2018'!C234</f>
        <v>11</v>
      </c>
      <c r="E238" s="10">
        <f>'inventory2022 (FINAL)'!F235</f>
        <v>7.01</v>
      </c>
      <c r="F238" s="10">
        <f>'inventory2022 (FINAL)'!G235</f>
        <v>0</v>
      </c>
      <c r="G238" s="10">
        <f>'inventory2022 (FINAL)'!H235</f>
        <v>0</v>
      </c>
      <c r="H238" s="10">
        <f>'inventory2022 (FINAL)'!I235</f>
        <v>4.1989999999999998</v>
      </c>
      <c r="I238" s="10">
        <v>0</v>
      </c>
      <c r="J238" s="103" t="s">
        <v>33</v>
      </c>
      <c r="K238" s="597" t="s">
        <v>498</v>
      </c>
      <c r="L238" s="28"/>
    </row>
    <row r="239" spans="1:14" s="16" customFormat="1" ht="18" customHeight="1" x14ac:dyDescent="0.35">
      <c r="A239" s="589">
        <v>151</v>
      </c>
      <c r="B239" s="24" t="s">
        <v>499</v>
      </c>
      <c r="C239" s="10">
        <f>'inventory2022 (FINAL)'!E236</f>
        <v>4</v>
      </c>
      <c r="D239" s="615">
        <f>'[23]road inventory 2018'!C235</f>
        <v>4</v>
      </c>
      <c r="E239" s="10">
        <f>'inventory2022 (FINAL)'!F236</f>
        <v>1.85</v>
      </c>
      <c r="F239" s="10">
        <f>'inventory2022 (FINAL)'!G236</f>
        <v>0</v>
      </c>
      <c r="G239" s="10">
        <f>'inventory2022 (FINAL)'!H236</f>
        <v>0</v>
      </c>
      <c r="H239" s="10">
        <f>'inventory2022 (FINAL)'!I236</f>
        <v>2.2170000000000001</v>
      </c>
      <c r="I239" s="15">
        <v>0</v>
      </c>
      <c r="J239" s="106" t="s">
        <v>12</v>
      </c>
      <c r="K239" s="591" t="s">
        <v>500</v>
      </c>
      <c r="L239" s="24"/>
      <c r="M239" s="593"/>
      <c r="N239" s="598"/>
    </row>
    <row r="240" spans="1:14" ht="18" customHeight="1" x14ac:dyDescent="0.35">
      <c r="A240" s="596">
        <v>152</v>
      </c>
      <c r="B240" s="28" t="s">
        <v>120</v>
      </c>
      <c r="C240" s="10">
        <f>'inventory2022 (FINAL)'!E237</f>
        <v>4.5999999999999996</v>
      </c>
      <c r="D240" s="615">
        <f>'[23]road inventory 2018'!C236</f>
        <v>4.5999999999999996</v>
      </c>
      <c r="E240" s="10">
        <f>'inventory2022 (FINAL)'!F237</f>
        <v>0.3</v>
      </c>
      <c r="F240" s="10">
        <f>'inventory2022 (FINAL)'!G237</f>
        <v>0</v>
      </c>
      <c r="G240" s="10">
        <f>'inventory2022 (FINAL)'!H237</f>
        <v>0</v>
      </c>
      <c r="H240" s="10">
        <f>'inventory2022 (FINAL)'!I237</f>
        <v>4.4160000000000004</v>
      </c>
      <c r="I240" s="10">
        <v>0</v>
      </c>
      <c r="J240" s="103" t="s">
        <v>33</v>
      </c>
      <c r="K240" s="597"/>
      <c r="L240" s="28"/>
    </row>
    <row r="241" spans="1:14" ht="18" customHeight="1" x14ac:dyDescent="0.35">
      <c r="A241" s="635"/>
      <c r="B241" s="40"/>
      <c r="C241" s="41">
        <f>SUM(C236:C240)</f>
        <v>27.6</v>
      </c>
      <c r="D241" s="41">
        <f t="shared" ref="D241:I241" si="11">SUM(D236:D240)</f>
        <v>27.6</v>
      </c>
      <c r="E241" s="41">
        <f t="shared" si="11"/>
        <v>13.035</v>
      </c>
      <c r="F241" s="41">
        <f t="shared" si="11"/>
        <v>0</v>
      </c>
      <c r="G241" s="41">
        <f t="shared" si="11"/>
        <v>0</v>
      </c>
      <c r="H241" s="41">
        <f t="shared" si="11"/>
        <v>15.089000000000002</v>
      </c>
      <c r="I241" s="41">
        <f t="shared" si="11"/>
        <v>0</v>
      </c>
      <c r="J241" s="109"/>
      <c r="K241" s="605"/>
      <c r="L241" s="28"/>
    </row>
    <row r="242" spans="1:14" ht="18" customHeight="1" thickBot="1" x14ac:dyDescent="0.4">
      <c r="A242" s="53" t="s">
        <v>341</v>
      </c>
      <c r="B242" s="34"/>
      <c r="C242" s="31">
        <f>SUM(C236:C240)</f>
        <v>27.6</v>
      </c>
      <c r="D242" s="630"/>
      <c r="E242" s="31">
        <f>SUM(E236:E240)</f>
        <v>13.035</v>
      </c>
      <c r="F242" s="31">
        <f>SUM(F236:F240)</f>
        <v>0</v>
      </c>
      <c r="G242" s="31">
        <f>SUM(G236:G240)</f>
        <v>0</v>
      </c>
      <c r="H242" s="31">
        <f>SUM(H236:H240)</f>
        <v>15.089000000000002</v>
      </c>
      <c r="I242" s="31">
        <f>SUM(I236:I240)</f>
        <v>0</v>
      </c>
      <c r="J242" s="608"/>
      <c r="K242" s="609"/>
      <c r="L242" s="653"/>
      <c r="M242" s="21"/>
    </row>
    <row r="243" spans="1:14" ht="18" customHeight="1" thickBot="1" x14ac:dyDescent="0.4">
      <c r="L243" s="28"/>
    </row>
    <row r="244" spans="1:14" s="1" customFormat="1" x14ac:dyDescent="0.35">
      <c r="A244" s="1217" t="s">
        <v>501</v>
      </c>
      <c r="B244" s="1218"/>
      <c r="C244" s="1218"/>
      <c r="D244" s="1218"/>
      <c r="E244" s="1218"/>
      <c r="F244" s="1218"/>
      <c r="G244" s="1218"/>
      <c r="H244" s="1218"/>
      <c r="I244" s="1218"/>
      <c r="J244" s="1218"/>
      <c r="K244" s="1218"/>
      <c r="L244" s="668"/>
      <c r="M244" s="584"/>
      <c r="N244" s="581"/>
    </row>
    <row r="245" spans="1:14" s="1" customFormat="1" ht="16" thickBot="1" x14ac:dyDescent="0.4">
      <c r="A245" s="585"/>
      <c r="B245" s="2"/>
      <c r="C245" s="5"/>
      <c r="D245" s="586"/>
      <c r="E245" s="5"/>
      <c r="F245" s="5"/>
      <c r="G245" s="5"/>
      <c r="H245" s="5"/>
      <c r="I245" s="5"/>
      <c r="J245" s="3"/>
      <c r="K245" s="21"/>
      <c r="L245" s="653"/>
      <c r="M245" s="21"/>
      <c r="N245" s="581"/>
    </row>
    <row r="246" spans="1:14" s="1" customFormat="1" ht="21" customHeight="1" x14ac:dyDescent="0.35">
      <c r="A246" s="1206" t="s">
        <v>302</v>
      </c>
      <c r="B246" s="1208" t="s">
        <v>28</v>
      </c>
      <c r="C246" s="1210" t="s">
        <v>343</v>
      </c>
      <c r="D246" s="613"/>
      <c r="E246" s="1212" t="s">
        <v>305</v>
      </c>
      <c r="F246" s="1212"/>
      <c r="G246" s="1212"/>
      <c r="H246" s="1212"/>
      <c r="I246" s="1212"/>
      <c r="J246" s="1208" t="s">
        <v>29</v>
      </c>
      <c r="K246" s="1213" t="s">
        <v>306</v>
      </c>
      <c r="L246" s="1215" t="str">
        <f>L234</f>
        <v>REMARKS</v>
      </c>
      <c r="M246" s="588"/>
      <c r="N246" s="581"/>
    </row>
    <row r="247" spans="1:14" s="1" customFormat="1" ht="21" customHeight="1" thickBot="1" x14ac:dyDescent="0.4">
      <c r="A247" s="1207"/>
      <c r="B247" s="1209"/>
      <c r="C247" s="1211"/>
      <c r="D247" s="614"/>
      <c r="E247" s="7" t="s">
        <v>308</v>
      </c>
      <c r="F247" s="7" t="s">
        <v>309</v>
      </c>
      <c r="G247" s="7" t="s">
        <v>310</v>
      </c>
      <c r="H247" s="7" t="s">
        <v>311</v>
      </c>
      <c r="I247" s="7" t="s">
        <v>312</v>
      </c>
      <c r="J247" s="1209"/>
      <c r="K247" s="1214"/>
      <c r="L247" s="1216"/>
      <c r="M247" s="588"/>
      <c r="N247" s="581"/>
    </row>
    <row r="248" spans="1:14" s="677" customFormat="1" ht="18" customHeight="1" x14ac:dyDescent="0.35">
      <c r="A248" s="669">
        <v>153</v>
      </c>
      <c r="B248" s="107" t="s">
        <v>121</v>
      </c>
      <c r="C248" s="670">
        <f>'inventory2022 (FINAL)'!E216</f>
        <v>11</v>
      </c>
      <c r="D248" s="671">
        <f>'[23]road inventory 2018'!C243</f>
        <v>11</v>
      </c>
      <c r="E248" s="670">
        <f>'inventory2022 (FINAL)'!F216</f>
        <v>4.8800000000000008</v>
      </c>
      <c r="F248" s="670">
        <f>'inventory2022 (FINAL)'!G216</f>
        <v>0</v>
      </c>
      <c r="G248" s="670">
        <f>'inventory2022 (FINAL)'!H216</f>
        <v>0</v>
      </c>
      <c r="H248" s="672">
        <f>'inventory2022 (FINAL)'!I216</f>
        <v>6.5769999999999982</v>
      </c>
      <c r="I248" s="670">
        <v>0</v>
      </c>
      <c r="J248" s="673" t="str">
        <f>[24]CARRIAGEWAY!$Z$361</f>
        <v>FAIR</v>
      </c>
      <c r="K248" s="674" t="s">
        <v>502</v>
      </c>
      <c r="L248" s="107"/>
      <c r="M248" s="675"/>
      <c r="N248" s="676"/>
    </row>
    <row r="249" spans="1:14" s="16" customFormat="1" ht="18" customHeight="1" x14ac:dyDescent="0.35">
      <c r="A249" s="589">
        <v>125</v>
      </c>
      <c r="B249" s="24" t="s">
        <v>125</v>
      </c>
      <c r="C249" s="670">
        <f>'inventory2022 (FINAL)'!E217</f>
        <v>2.9</v>
      </c>
      <c r="D249" s="671">
        <f>'[23]road inventory 2018'!C244</f>
        <v>2.9</v>
      </c>
      <c r="E249" s="670">
        <f>'inventory2022 (FINAL)'!F217</f>
        <v>0</v>
      </c>
      <c r="F249" s="670">
        <f>'inventory2022 (FINAL)'!G217</f>
        <v>0</v>
      </c>
      <c r="G249" s="670">
        <f>'inventory2022 (FINAL)'!H217</f>
        <v>0</v>
      </c>
      <c r="H249" s="672">
        <f>'inventory2022 (FINAL)'!I217</f>
        <v>2.9</v>
      </c>
      <c r="I249" s="15">
        <v>0</v>
      </c>
      <c r="J249" s="106" t="s">
        <v>12</v>
      </c>
      <c r="K249" s="591" t="s">
        <v>502</v>
      </c>
      <c r="L249" s="24"/>
      <c r="M249" s="593"/>
      <c r="N249" s="598"/>
    </row>
    <row r="250" spans="1:14" s="16" customFormat="1" ht="18" customHeight="1" x14ac:dyDescent="0.35">
      <c r="A250" s="589">
        <v>154</v>
      </c>
      <c r="B250" s="24" t="s">
        <v>127</v>
      </c>
      <c r="C250" s="670">
        <f>'inventory2022 (FINAL)'!E218</f>
        <v>7</v>
      </c>
      <c r="D250" s="671">
        <f>'[23]road inventory 2018'!C245</f>
        <v>7</v>
      </c>
      <c r="E250" s="670">
        <f>'inventory2022 (FINAL)'!F218</f>
        <v>0.27400000000000002</v>
      </c>
      <c r="F250" s="670">
        <f>'inventory2022 (FINAL)'!G218</f>
        <v>0</v>
      </c>
      <c r="G250" s="670">
        <f>'inventory2022 (FINAL)'!H218</f>
        <v>0</v>
      </c>
      <c r="H250" s="672">
        <f>'inventory2022 (FINAL)'!I218</f>
        <v>6.742</v>
      </c>
      <c r="I250" s="15">
        <v>0</v>
      </c>
      <c r="J250" s="106" t="s">
        <v>12</v>
      </c>
      <c r="K250" s="591" t="s">
        <v>503</v>
      </c>
      <c r="L250" s="24"/>
      <c r="M250" s="593"/>
      <c r="N250" s="598"/>
    </row>
    <row r="251" spans="1:14" s="16" customFormat="1" x14ac:dyDescent="0.35">
      <c r="A251" s="589">
        <v>127</v>
      </c>
      <c r="B251" s="24" t="s">
        <v>504</v>
      </c>
      <c r="C251" s="670">
        <f>'inventory2022 (FINAL)'!E219</f>
        <v>2.7</v>
      </c>
      <c r="D251" s="590">
        <f>'[23]road inventory 2018'!C249</f>
        <v>2.7</v>
      </c>
      <c r="E251" s="670">
        <f>'inventory2022 (FINAL)'!F219</f>
        <v>1.5590000000000002</v>
      </c>
      <c r="F251" s="670">
        <f>'inventory2022 (FINAL)'!G219</f>
        <v>0</v>
      </c>
      <c r="G251" s="670">
        <f>'inventory2022 (FINAL)'!H219</f>
        <v>0</v>
      </c>
      <c r="H251" s="672">
        <f>'inventory2022 (FINAL)'!I219</f>
        <v>1.5409999999999999</v>
      </c>
      <c r="I251" s="15">
        <v>0</v>
      </c>
      <c r="J251" s="106" t="s">
        <v>12</v>
      </c>
      <c r="K251" s="591" t="s">
        <v>505</v>
      </c>
      <c r="L251" s="24"/>
      <c r="M251" s="593"/>
      <c r="N251" s="598" t="s">
        <v>506</v>
      </c>
    </row>
    <row r="252" spans="1:14" x14ac:dyDescent="0.35">
      <c r="A252" s="596">
        <v>128</v>
      </c>
      <c r="B252" s="28" t="s">
        <v>507</v>
      </c>
      <c r="C252" s="670">
        <f>'inventory2022 (FINAL)'!E220</f>
        <v>2.3000000000000003</v>
      </c>
      <c r="D252" s="590">
        <f>'[23]road inventory 2018'!C250</f>
        <v>2.3000000000000003</v>
      </c>
      <c r="E252" s="670">
        <f>'inventory2022 (FINAL)'!F220</f>
        <v>2.1819999999999999</v>
      </c>
      <c r="F252" s="670">
        <f>'inventory2022 (FINAL)'!G220</f>
        <v>0</v>
      </c>
      <c r="G252" s="670">
        <f>'inventory2022 (FINAL)'!H220</f>
        <v>0</v>
      </c>
      <c r="H252" s="672">
        <f>'inventory2022 (FINAL)'!I220</f>
        <v>0.14100000000000001</v>
      </c>
      <c r="I252" s="10">
        <v>0</v>
      </c>
      <c r="J252" s="103" t="s">
        <v>10</v>
      </c>
      <c r="K252" s="597" t="s">
        <v>508</v>
      </c>
      <c r="L252" s="28"/>
    </row>
    <row r="253" spans="1:14" ht="31" x14ac:dyDescent="0.35">
      <c r="A253" s="596">
        <v>155</v>
      </c>
      <c r="B253" s="28" t="s">
        <v>509</v>
      </c>
      <c r="C253" s="670">
        <f>'inventory2022 (FINAL)'!E221</f>
        <v>3.7</v>
      </c>
      <c r="D253" s="590">
        <f>'[23]road inventory 2018'!C251</f>
        <v>3.7</v>
      </c>
      <c r="E253" s="670">
        <f>'inventory2022 (FINAL)'!F221</f>
        <v>1.99</v>
      </c>
      <c r="F253" s="670">
        <f>'inventory2022 (FINAL)'!G221</f>
        <v>0</v>
      </c>
      <c r="G253" s="670">
        <f>'inventory2022 (FINAL)'!H221</f>
        <v>0</v>
      </c>
      <c r="H253" s="672">
        <f>'inventory2022 (FINAL)'!I221</f>
        <v>1.8070000000000002</v>
      </c>
      <c r="I253" s="10">
        <v>0</v>
      </c>
      <c r="J253" s="103" t="s">
        <v>41</v>
      </c>
      <c r="K253" s="597" t="s">
        <v>510</v>
      </c>
      <c r="L253" s="28"/>
    </row>
    <row r="254" spans="1:14" ht="18" customHeight="1" x14ac:dyDescent="0.35">
      <c r="A254" s="596">
        <v>129</v>
      </c>
      <c r="B254" s="28" t="s">
        <v>512</v>
      </c>
      <c r="C254" s="670">
        <f>'inventory2022 (FINAL)'!E222</f>
        <v>2.7</v>
      </c>
      <c r="D254" s="590">
        <f>'[23]road inventory 2018'!C252</f>
        <v>2.7</v>
      </c>
      <c r="E254" s="670">
        <f>'inventory2022 (FINAL)'!F222</f>
        <v>0</v>
      </c>
      <c r="F254" s="670">
        <f>'inventory2022 (FINAL)'!G222</f>
        <v>0</v>
      </c>
      <c r="G254" s="670">
        <f>'inventory2022 (FINAL)'!H222</f>
        <v>0</v>
      </c>
      <c r="H254" s="672">
        <f>'inventory2022 (FINAL)'!I222</f>
        <v>2.7849999999999997</v>
      </c>
      <c r="I254" s="10">
        <v>0</v>
      </c>
      <c r="J254" s="103" t="s">
        <v>33</v>
      </c>
      <c r="K254" s="597" t="s">
        <v>513</v>
      </c>
      <c r="L254" s="28"/>
    </row>
    <row r="255" spans="1:14" s="667" customFormat="1" ht="18" customHeight="1" x14ac:dyDescent="0.35">
      <c r="A255" s="618">
        <v>156</v>
      </c>
      <c r="B255" s="619" t="s">
        <v>130</v>
      </c>
      <c r="C255" s="670">
        <f>'inventory2022 (FINAL)'!E223</f>
        <v>20</v>
      </c>
      <c r="D255" s="634">
        <f>'[23]road inventory 2018'!C253</f>
        <v>20</v>
      </c>
      <c r="E255" s="670">
        <f>'inventory2022 (FINAL)'!F223</f>
        <v>8.2050000000000001</v>
      </c>
      <c r="F255" s="670">
        <f>'inventory2022 (FINAL)'!G223</f>
        <v>0</v>
      </c>
      <c r="G255" s="670">
        <f>'inventory2022 (FINAL)'!H223</f>
        <v>0</v>
      </c>
      <c r="H255" s="672">
        <f>'inventory2022 (FINAL)'!I223</f>
        <v>12.244999999999999</v>
      </c>
      <c r="I255" s="620">
        <v>0</v>
      </c>
      <c r="J255" s="621" t="s">
        <v>10</v>
      </c>
      <c r="K255" s="622" t="s">
        <v>514</v>
      </c>
      <c r="L255" s="619"/>
      <c r="M255" s="623"/>
      <c r="N255" s="666"/>
    </row>
    <row r="256" spans="1:14" ht="18" customHeight="1" x14ac:dyDescent="0.35">
      <c r="A256" s="596">
        <v>157</v>
      </c>
      <c r="B256" s="28" t="s">
        <v>515</v>
      </c>
      <c r="C256" s="670">
        <f>'inventory2022 (FINAL)'!E224</f>
        <v>8.6999999999999993</v>
      </c>
      <c r="D256" s="10">
        <f>'[23]road inventory 2018'!C254</f>
        <v>8.6999999999999993</v>
      </c>
      <c r="E256" s="670">
        <f>'inventory2022 (FINAL)'!F224</f>
        <v>0</v>
      </c>
      <c r="F256" s="670">
        <f>'inventory2022 (FINAL)'!G224</f>
        <v>0</v>
      </c>
      <c r="G256" s="670">
        <f>'inventory2022 (FINAL)'!H224</f>
        <v>0</v>
      </c>
      <c r="H256" s="672">
        <f>'inventory2022 (FINAL)'!I224</f>
        <v>0</v>
      </c>
      <c r="I256" s="10">
        <v>0</v>
      </c>
      <c r="J256" s="103" t="s">
        <v>12</v>
      </c>
      <c r="K256" s="597"/>
      <c r="L256" s="28" t="s">
        <v>837</v>
      </c>
      <c r="N256" s="1233" t="s">
        <v>516</v>
      </c>
    </row>
    <row r="257" spans="1:16" s="667" customFormat="1" ht="18" customHeight="1" x14ac:dyDescent="0.35">
      <c r="A257" s="618">
        <v>158</v>
      </c>
      <c r="B257" s="619" t="s">
        <v>517</v>
      </c>
      <c r="C257" s="670">
        <f>'inventory2022 (FINAL)'!E225</f>
        <v>7.1999999999999993</v>
      </c>
      <c r="D257" s="620">
        <f>'[23]road inventory 2018'!C255</f>
        <v>7.1999999999999993</v>
      </c>
      <c r="E257" s="670">
        <f>'inventory2022 (FINAL)'!F225</f>
        <v>0</v>
      </c>
      <c r="F257" s="670">
        <f>'inventory2022 (FINAL)'!G225</f>
        <v>0</v>
      </c>
      <c r="G257" s="670">
        <f>'inventory2022 (FINAL)'!H225</f>
        <v>0</v>
      </c>
      <c r="H257" s="672">
        <f>'inventory2022 (FINAL)'!I225</f>
        <v>0</v>
      </c>
      <c r="I257" s="620">
        <v>0</v>
      </c>
      <c r="J257" s="621" t="s">
        <v>206</v>
      </c>
      <c r="K257" s="622"/>
      <c r="L257" s="619" t="s">
        <v>837</v>
      </c>
      <c r="M257" s="623"/>
      <c r="N257" s="1233"/>
    </row>
    <row r="258" spans="1:16" ht="18" customHeight="1" x14ac:dyDescent="0.35">
      <c r="A258" s="596">
        <v>159</v>
      </c>
      <c r="B258" s="28" t="s">
        <v>518</v>
      </c>
      <c r="C258" s="670">
        <f>'inventory2022 (FINAL)'!E226</f>
        <v>4.8</v>
      </c>
      <c r="D258" s="10">
        <f>'[23]road inventory 2018'!C256</f>
        <v>4.8</v>
      </c>
      <c r="E258" s="670">
        <f>'inventory2022 (FINAL)'!F226</f>
        <v>0</v>
      </c>
      <c r="F258" s="670">
        <f>'inventory2022 (FINAL)'!G226</f>
        <v>0</v>
      </c>
      <c r="G258" s="670">
        <f>'inventory2022 (FINAL)'!H226</f>
        <v>0</v>
      </c>
      <c r="H258" s="672">
        <f>'inventory2022 (FINAL)'!I226</f>
        <v>0</v>
      </c>
      <c r="I258" s="10">
        <v>0</v>
      </c>
      <c r="J258" s="103" t="s">
        <v>33</v>
      </c>
      <c r="K258" s="597"/>
      <c r="L258" s="28" t="s">
        <v>837</v>
      </c>
      <c r="N258" s="1233"/>
    </row>
    <row r="259" spans="1:16" ht="18" customHeight="1" x14ac:dyDescent="0.35">
      <c r="A259" s="596">
        <v>130</v>
      </c>
      <c r="B259" s="28" t="s">
        <v>519</v>
      </c>
      <c r="C259" s="670">
        <f>'inventory2022 (FINAL)'!E227</f>
        <v>6</v>
      </c>
      <c r="D259" s="10">
        <f>'[23]road inventory 2018'!C257</f>
        <v>6</v>
      </c>
      <c r="E259" s="670">
        <f>'inventory2022 (FINAL)'!F227</f>
        <v>2.2000000000000002</v>
      </c>
      <c r="F259" s="670">
        <f>'inventory2022 (FINAL)'!G227</f>
        <v>0</v>
      </c>
      <c r="G259" s="670">
        <f>'inventory2022 (FINAL)'!H227</f>
        <v>0</v>
      </c>
      <c r="H259" s="672">
        <f>'inventory2022 (FINAL)'!I227</f>
        <v>8.3500000000000014</v>
      </c>
      <c r="I259" s="10">
        <v>0</v>
      </c>
      <c r="J259" s="103" t="str">
        <f>[25]CARRIAGEWAY!$Z$361</f>
        <v>POOR</v>
      </c>
      <c r="K259" s="597" t="s">
        <v>520</v>
      </c>
      <c r="L259" s="28" t="s">
        <v>833</v>
      </c>
      <c r="M259" s="680"/>
      <c r="N259" s="681" t="s">
        <v>521</v>
      </c>
      <c r="O259" s="682" t="s">
        <v>522</v>
      </c>
      <c r="P259" s="683"/>
    </row>
    <row r="260" spans="1:16" s="16" customFormat="1" ht="18" customHeight="1" x14ac:dyDescent="0.35">
      <c r="A260" s="589">
        <v>131</v>
      </c>
      <c r="B260" s="24" t="s">
        <v>523</v>
      </c>
      <c r="C260" s="670">
        <f>'inventory2022 (FINAL)'!E228</f>
        <v>5.2</v>
      </c>
      <c r="D260" s="590">
        <f>'[23]road inventory 2018'!C258</f>
        <v>5.2</v>
      </c>
      <c r="E260" s="670">
        <f>'inventory2022 (FINAL)'!F228</f>
        <v>4.8499999999999996</v>
      </c>
      <c r="F260" s="670">
        <f>'inventory2022 (FINAL)'!G228</f>
        <v>0</v>
      </c>
      <c r="G260" s="670">
        <f>'inventory2022 (FINAL)'!H228</f>
        <v>0</v>
      </c>
      <c r="H260" s="672">
        <f>'inventory2022 (FINAL)'!I228</f>
        <v>0.48099999999999987</v>
      </c>
      <c r="I260" s="15">
        <v>0</v>
      </c>
      <c r="J260" s="106" t="s">
        <v>12</v>
      </c>
      <c r="K260" s="591"/>
      <c r="L260" s="24"/>
      <c r="M260" s="593"/>
      <c r="N260" s="598"/>
    </row>
    <row r="261" spans="1:16" s="16" customFormat="1" ht="18" customHeight="1" x14ac:dyDescent="0.35">
      <c r="A261" s="589">
        <v>135</v>
      </c>
      <c r="B261" s="24" t="s">
        <v>139</v>
      </c>
      <c r="C261" s="670">
        <f>'inventory2022 (FINAL)'!E229</f>
        <v>4.4000000000000004</v>
      </c>
      <c r="D261" s="590">
        <f>'[23]road inventory 2018'!C259</f>
        <v>4.4000000000000004</v>
      </c>
      <c r="E261" s="670">
        <f>'inventory2022 (FINAL)'!F229</f>
        <v>0</v>
      </c>
      <c r="F261" s="670">
        <f>'inventory2022 (FINAL)'!G229</f>
        <v>0</v>
      </c>
      <c r="G261" s="670">
        <f>'inventory2022 (FINAL)'!H229</f>
        <v>0</v>
      </c>
      <c r="H261" s="672">
        <f>'inventory2022 (FINAL)'!I229</f>
        <v>4.4809999999999999</v>
      </c>
      <c r="I261" s="15">
        <v>0</v>
      </c>
      <c r="J261" s="106" t="s">
        <v>12</v>
      </c>
      <c r="K261" s="591" t="s">
        <v>525</v>
      </c>
      <c r="L261" s="24"/>
      <c r="M261" s="593"/>
      <c r="N261" s="598"/>
    </row>
    <row r="262" spans="1:16" s="16" customFormat="1" ht="18" customHeight="1" x14ac:dyDescent="0.35">
      <c r="A262" s="626"/>
      <c r="B262" s="60"/>
      <c r="C262" s="61">
        <f t="shared" ref="C262:I262" si="12">SUM(C248:C261)</f>
        <v>88.600000000000009</v>
      </c>
      <c r="D262" s="61">
        <f t="shared" si="12"/>
        <v>88.600000000000009</v>
      </c>
      <c r="E262" s="61">
        <f t="shared" si="12"/>
        <v>26.14</v>
      </c>
      <c r="F262" s="61">
        <f t="shared" si="12"/>
        <v>0</v>
      </c>
      <c r="G262" s="61">
        <f t="shared" si="12"/>
        <v>0</v>
      </c>
      <c r="H262" s="61">
        <f t="shared" si="12"/>
        <v>48.05</v>
      </c>
      <c r="I262" s="61">
        <f t="shared" si="12"/>
        <v>0</v>
      </c>
      <c r="J262" s="628"/>
      <c r="K262" s="629"/>
      <c r="L262" s="24"/>
      <c r="M262" s="593"/>
      <c r="N262" s="598"/>
    </row>
    <row r="263" spans="1:16" ht="18" customHeight="1" thickBot="1" x14ac:dyDescent="0.4">
      <c r="A263" s="53" t="s">
        <v>341</v>
      </c>
      <c r="B263" s="34"/>
      <c r="C263" s="31">
        <f>SUM(E263:I263)</f>
        <v>74.19</v>
      </c>
      <c r="D263" s="630"/>
      <c r="E263" s="31">
        <f>SUM(E248:E261)</f>
        <v>26.14</v>
      </c>
      <c r="F263" s="31">
        <f>SUM(F248:F261)</f>
        <v>0</v>
      </c>
      <c r="G263" s="31">
        <f>SUM(G248:G261)</f>
        <v>0</v>
      </c>
      <c r="H263" s="31">
        <f>SUM(H248:H261)</f>
        <v>48.05</v>
      </c>
      <c r="I263" s="31">
        <f>SUM(I248:I261)</f>
        <v>0</v>
      </c>
      <c r="J263" s="608"/>
      <c r="K263" s="609"/>
      <c r="L263" s="653"/>
      <c r="M263" s="21"/>
    </row>
    <row r="264" spans="1:16" ht="18" customHeight="1" thickBot="1" x14ac:dyDescent="0.4">
      <c r="L264" s="40"/>
    </row>
    <row r="265" spans="1:16" s="1" customFormat="1" x14ac:dyDescent="0.35">
      <c r="A265" s="1217" t="s">
        <v>526</v>
      </c>
      <c r="B265" s="1218"/>
      <c r="C265" s="1218"/>
      <c r="D265" s="1218"/>
      <c r="E265" s="1218"/>
      <c r="F265" s="1218"/>
      <c r="G265" s="1218"/>
      <c r="H265" s="1218"/>
      <c r="I265" s="1218"/>
      <c r="J265" s="1218"/>
      <c r="K265" s="1218"/>
      <c r="L265" s="1219"/>
      <c r="M265" s="584"/>
      <c r="N265" s="581"/>
    </row>
    <row r="266" spans="1:16" s="1" customFormat="1" ht="16" thickBot="1" x14ac:dyDescent="0.4">
      <c r="A266" s="585"/>
      <c r="B266" s="2"/>
      <c r="C266" s="5"/>
      <c r="D266" s="586"/>
      <c r="E266" s="5"/>
      <c r="F266" s="5"/>
      <c r="G266" s="5"/>
      <c r="H266" s="5"/>
      <c r="I266" s="5"/>
      <c r="J266" s="3"/>
      <c r="K266" s="21"/>
      <c r="L266" s="18"/>
      <c r="M266" s="21"/>
      <c r="N266" s="581"/>
    </row>
    <row r="267" spans="1:16" s="1" customFormat="1" ht="21" customHeight="1" x14ac:dyDescent="0.35">
      <c r="A267" s="1206" t="s">
        <v>302</v>
      </c>
      <c r="B267" s="1208" t="s">
        <v>28</v>
      </c>
      <c r="C267" s="1210" t="s">
        <v>343</v>
      </c>
      <c r="D267" s="613"/>
      <c r="E267" s="1212" t="s">
        <v>305</v>
      </c>
      <c r="F267" s="1212"/>
      <c r="G267" s="1212"/>
      <c r="H267" s="1212"/>
      <c r="I267" s="1212"/>
      <c r="J267" s="1208" t="s">
        <v>29</v>
      </c>
      <c r="K267" s="1213" t="s">
        <v>306</v>
      </c>
      <c r="L267" s="1220" t="s">
        <v>307</v>
      </c>
      <c r="M267" s="588"/>
      <c r="N267" s="581"/>
    </row>
    <row r="268" spans="1:16" s="1" customFormat="1" ht="21" customHeight="1" thickBot="1" x14ac:dyDescent="0.4">
      <c r="A268" s="1207"/>
      <c r="B268" s="1209"/>
      <c r="C268" s="1211"/>
      <c r="D268" s="614"/>
      <c r="E268" s="7" t="s">
        <v>308</v>
      </c>
      <c r="F268" s="7" t="s">
        <v>309</v>
      </c>
      <c r="G268" s="7" t="s">
        <v>310</v>
      </c>
      <c r="H268" s="7" t="s">
        <v>311</v>
      </c>
      <c r="I268" s="7" t="s">
        <v>312</v>
      </c>
      <c r="J268" s="1209"/>
      <c r="K268" s="1214"/>
      <c r="L268" s="1221"/>
      <c r="M268" s="588"/>
      <c r="N268" s="581"/>
    </row>
    <row r="269" spans="1:16" s="16" customFormat="1" ht="18" customHeight="1" x14ac:dyDescent="0.35">
      <c r="A269" s="589">
        <v>160</v>
      </c>
      <c r="B269" s="24" t="s">
        <v>527</v>
      </c>
      <c r="C269" s="15">
        <f t="shared" ref="C269:C279" si="13">SUM(E269:I269)</f>
        <v>28</v>
      </c>
      <c r="D269" s="590">
        <f>'[23]road inventory 2018'!C266</f>
        <v>28</v>
      </c>
      <c r="E269" s="15">
        <v>11.72</v>
      </c>
      <c r="F269" s="15">
        <v>0</v>
      </c>
      <c r="G269" s="15">
        <v>0</v>
      </c>
      <c r="H269" s="15">
        <v>16.28</v>
      </c>
      <c r="I269" s="15">
        <v>0</v>
      </c>
      <c r="J269" s="106" t="s">
        <v>33</v>
      </c>
      <c r="K269" s="591" t="s">
        <v>528</v>
      </c>
      <c r="L269" s="592"/>
      <c r="M269" s="593"/>
      <c r="N269" s="598"/>
    </row>
    <row r="270" spans="1:16" s="16" customFormat="1" ht="18" customHeight="1" x14ac:dyDescent="0.35">
      <c r="A270" s="589">
        <v>161</v>
      </c>
      <c r="B270" s="24" t="s">
        <v>529</v>
      </c>
      <c r="C270" s="15">
        <f t="shared" si="13"/>
        <v>1.8</v>
      </c>
      <c r="D270" s="590">
        <f>'[23]road inventory 2018'!C267</f>
        <v>1.8</v>
      </c>
      <c r="E270" s="15">
        <v>1.8</v>
      </c>
      <c r="F270" s="15">
        <v>0</v>
      </c>
      <c r="G270" s="15">
        <v>0</v>
      </c>
      <c r="H270" s="15">
        <v>0</v>
      </c>
      <c r="I270" s="15">
        <v>0</v>
      </c>
      <c r="J270" s="106" t="s">
        <v>12</v>
      </c>
      <c r="K270" s="591" t="s">
        <v>528</v>
      </c>
      <c r="L270" s="24"/>
      <c r="M270" s="593"/>
      <c r="N270" s="598"/>
    </row>
    <row r="271" spans="1:16" s="16" customFormat="1" ht="18" customHeight="1" x14ac:dyDescent="0.35">
      <c r="A271" s="589">
        <v>162</v>
      </c>
      <c r="B271" s="24" t="s">
        <v>530</v>
      </c>
      <c r="C271" s="15">
        <f t="shared" si="13"/>
        <v>1.9</v>
      </c>
      <c r="D271" s="590">
        <f>'[23]road inventory 2018'!C268</f>
        <v>1.9</v>
      </c>
      <c r="E271" s="15">
        <v>0</v>
      </c>
      <c r="F271" s="15">
        <v>0</v>
      </c>
      <c r="G271" s="15">
        <v>0</v>
      </c>
      <c r="H271" s="15">
        <v>1.9</v>
      </c>
      <c r="I271" s="15">
        <v>0</v>
      </c>
      <c r="J271" s="106" t="s">
        <v>33</v>
      </c>
      <c r="K271" s="591" t="s">
        <v>531</v>
      </c>
      <c r="L271" s="24"/>
      <c r="M271" s="593"/>
      <c r="N271" s="598"/>
    </row>
    <row r="272" spans="1:16" ht="18" customHeight="1" x14ac:dyDescent="0.35">
      <c r="A272" s="596">
        <v>163</v>
      </c>
      <c r="B272" s="28" t="s">
        <v>532</v>
      </c>
      <c r="C272" s="15">
        <f t="shared" si="13"/>
        <v>9</v>
      </c>
      <c r="D272" s="590">
        <f>'[23]road inventory 2018'!C269</f>
        <v>9</v>
      </c>
      <c r="E272" s="10">
        <v>0.65</v>
      </c>
      <c r="F272" s="10">
        <v>0</v>
      </c>
      <c r="G272" s="10">
        <v>0</v>
      </c>
      <c r="H272" s="10">
        <v>8.35</v>
      </c>
      <c r="I272" s="10">
        <v>0</v>
      </c>
      <c r="J272" s="103" t="s">
        <v>33</v>
      </c>
      <c r="K272" s="597" t="s">
        <v>533</v>
      </c>
      <c r="L272" s="28"/>
    </row>
    <row r="273" spans="1:14" s="16" customFormat="1" ht="18" customHeight="1" x14ac:dyDescent="0.35">
      <c r="A273" s="589">
        <v>164</v>
      </c>
      <c r="B273" s="24" t="s">
        <v>534</v>
      </c>
      <c r="C273" s="15">
        <f t="shared" si="13"/>
        <v>2.2000000000000002</v>
      </c>
      <c r="D273" s="590">
        <f>'[23]road inventory 2018'!C270</f>
        <v>2.2000000000000002</v>
      </c>
      <c r="E273" s="15">
        <v>0</v>
      </c>
      <c r="F273" s="15">
        <v>0</v>
      </c>
      <c r="G273" s="15">
        <v>0</v>
      </c>
      <c r="H273" s="15">
        <v>2.2000000000000002</v>
      </c>
      <c r="I273" s="15">
        <v>0</v>
      </c>
      <c r="J273" s="106" t="s">
        <v>33</v>
      </c>
      <c r="K273" s="591" t="s">
        <v>535</v>
      </c>
      <c r="L273" s="24"/>
      <c r="M273" s="593"/>
      <c r="N273" s="598"/>
    </row>
    <row r="274" spans="1:14" ht="18" customHeight="1" x14ac:dyDescent="0.35">
      <c r="A274" s="596">
        <v>165</v>
      </c>
      <c r="B274" s="28" t="s">
        <v>536</v>
      </c>
      <c r="C274" s="15">
        <f t="shared" si="13"/>
        <v>3.5</v>
      </c>
      <c r="D274" s="590">
        <f>'[23]road inventory 2018'!C271</f>
        <v>3.5</v>
      </c>
      <c r="E274" s="10">
        <v>0</v>
      </c>
      <c r="F274" s="10">
        <v>0</v>
      </c>
      <c r="G274" s="10">
        <v>0</v>
      </c>
      <c r="H274" s="10">
        <v>3.5</v>
      </c>
      <c r="I274" s="10">
        <v>0</v>
      </c>
      <c r="J274" s="103" t="s">
        <v>33</v>
      </c>
      <c r="K274" s="597" t="s">
        <v>537</v>
      </c>
      <c r="L274" s="28"/>
    </row>
    <row r="275" spans="1:14" s="16" customFormat="1" ht="18" customHeight="1" x14ac:dyDescent="0.35">
      <c r="A275" s="589">
        <v>166</v>
      </c>
      <c r="B275" s="24" t="s">
        <v>538</v>
      </c>
      <c r="C275" s="15">
        <f t="shared" si="13"/>
        <v>2.8</v>
      </c>
      <c r="D275" s="590">
        <f>'[23]road inventory 2018'!C272</f>
        <v>2.8</v>
      </c>
      <c r="E275" s="15">
        <v>0</v>
      </c>
      <c r="F275" s="15">
        <v>0</v>
      </c>
      <c r="G275" s="15">
        <v>0</v>
      </c>
      <c r="H275" s="15">
        <v>2.8</v>
      </c>
      <c r="I275" s="15">
        <v>0</v>
      </c>
      <c r="J275" s="106" t="s">
        <v>12</v>
      </c>
      <c r="K275" s="591" t="s">
        <v>539</v>
      </c>
      <c r="L275" s="24"/>
      <c r="M275" s="593"/>
      <c r="N275" s="598"/>
    </row>
    <row r="276" spans="1:14" ht="18" customHeight="1" x14ac:dyDescent="0.35">
      <c r="A276" s="596">
        <v>167</v>
      </c>
      <c r="B276" s="28" t="s">
        <v>540</v>
      </c>
      <c r="C276" s="15">
        <f t="shared" si="13"/>
        <v>5.5</v>
      </c>
      <c r="D276" s="590">
        <f>'[23]road inventory 2018'!C273</f>
        <v>5.5</v>
      </c>
      <c r="E276" s="10">
        <v>0</v>
      </c>
      <c r="F276" s="10">
        <v>0</v>
      </c>
      <c r="G276" s="10">
        <v>0</v>
      </c>
      <c r="H276" s="10">
        <v>5.5</v>
      </c>
      <c r="I276" s="10">
        <v>0</v>
      </c>
      <c r="J276" s="103" t="s">
        <v>12</v>
      </c>
      <c r="K276" s="597" t="s">
        <v>541</v>
      </c>
      <c r="L276" s="28"/>
    </row>
    <row r="277" spans="1:14" ht="18" customHeight="1" x14ac:dyDescent="0.35">
      <c r="A277" s="596">
        <v>168</v>
      </c>
      <c r="B277" s="28" t="s">
        <v>542</v>
      </c>
      <c r="C277" s="15">
        <f t="shared" si="13"/>
        <v>2.8</v>
      </c>
      <c r="D277" s="590">
        <f>'[23]road inventory 2018'!C274</f>
        <v>2.8</v>
      </c>
      <c r="E277" s="10">
        <v>0</v>
      </c>
      <c r="F277" s="10">
        <v>0</v>
      </c>
      <c r="G277" s="10">
        <v>0</v>
      </c>
      <c r="H277" s="10">
        <v>2.8</v>
      </c>
      <c r="I277" s="10">
        <v>0</v>
      </c>
      <c r="J277" s="103" t="s">
        <v>33</v>
      </c>
      <c r="K277" s="597" t="s">
        <v>543</v>
      </c>
      <c r="L277" s="28"/>
    </row>
    <row r="278" spans="1:14" ht="18" customHeight="1" x14ac:dyDescent="0.35">
      <c r="A278" s="596">
        <v>170</v>
      </c>
      <c r="B278" s="28" t="s">
        <v>544</v>
      </c>
      <c r="C278" s="15">
        <f t="shared" si="13"/>
        <v>1.3</v>
      </c>
      <c r="D278" s="590">
        <f>'[23]road inventory 2018'!C275</f>
        <v>1.3</v>
      </c>
      <c r="E278" s="10">
        <v>0</v>
      </c>
      <c r="F278" s="10">
        <v>0</v>
      </c>
      <c r="G278" s="10">
        <v>0</v>
      </c>
      <c r="H278" s="10">
        <v>1.3</v>
      </c>
      <c r="I278" s="10">
        <v>0</v>
      </c>
      <c r="J278" s="103" t="s">
        <v>33</v>
      </c>
      <c r="K278" s="597" t="s">
        <v>533</v>
      </c>
      <c r="L278" s="28"/>
    </row>
    <row r="279" spans="1:14" ht="18" customHeight="1" x14ac:dyDescent="0.35">
      <c r="A279" s="596">
        <v>169</v>
      </c>
      <c r="B279" s="28" t="s">
        <v>545</v>
      </c>
      <c r="C279" s="15">
        <f t="shared" si="13"/>
        <v>3.2</v>
      </c>
      <c r="D279" s="590">
        <f>'[23]road inventory 2018'!C276</f>
        <v>3.2</v>
      </c>
      <c r="E279" s="10">
        <v>0</v>
      </c>
      <c r="F279" s="10">
        <v>0</v>
      </c>
      <c r="G279" s="10">
        <v>0</v>
      </c>
      <c r="H279" s="10">
        <v>3.2</v>
      </c>
      <c r="I279" s="10">
        <v>0</v>
      </c>
      <c r="J279" s="103" t="s">
        <v>41</v>
      </c>
      <c r="K279" s="597" t="s">
        <v>546</v>
      </c>
      <c r="L279" s="28"/>
    </row>
    <row r="280" spans="1:14" ht="18" customHeight="1" x14ac:dyDescent="0.35">
      <c r="A280" s="635"/>
      <c r="B280" s="40"/>
      <c r="C280" s="41">
        <f>SUM(C269:C279)</f>
        <v>62</v>
      </c>
      <c r="D280" s="41">
        <f t="shared" ref="D280:I280" si="14">SUM(D269:D279)</f>
        <v>62</v>
      </c>
      <c r="E280" s="41">
        <f t="shared" si="14"/>
        <v>14.170000000000002</v>
      </c>
      <c r="F280" s="41">
        <f t="shared" si="14"/>
        <v>0</v>
      </c>
      <c r="G280" s="41">
        <f t="shared" si="14"/>
        <v>0</v>
      </c>
      <c r="H280" s="41">
        <f t="shared" si="14"/>
        <v>47.83</v>
      </c>
      <c r="I280" s="41">
        <f t="shared" si="14"/>
        <v>0</v>
      </c>
      <c r="J280" s="109"/>
      <c r="K280" s="605"/>
      <c r="L280" s="28"/>
    </row>
    <row r="281" spans="1:14" ht="18" customHeight="1" thickBot="1" x14ac:dyDescent="0.4">
      <c r="A281" s="53" t="s">
        <v>341</v>
      </c>
      <c r="B281" s="34"/>
      <c r="C281" s="31">
        <f>SUM(E281:I281)</f>
        <v>62</v>
      </c>
      <c r="D281" s="630"/>
      <c r="E281" s="31">
        <f>SUM(E269:E279)</f>
        <v>14.170000000000002</v>
      </c>
      <c r="F281" s="31">
        <f>SUM(F269:F279)</f>
        <v>0</v>
      </c>
      <c r="G281" s="31">
        <f>SUM(G269:G279)</f>
        <v>0</v>
      </c>
      <c r="H281" s="31">
        <f>SUM(H269:H279)</f>
        <v>47.83</v>
      </c>
      <c r="I281" s="31">
        <f>SUM(I269:I279)</f>
        <v>0</v>
      </c>
      <c r="J281" s="608"/>
      <c r="K281" s="609"/>
      <c r="L281" s="653"/>
      <c r="M281" s="21"/>
    </row>
    <row r="282" spans="1:14" ht="18" customHeight="1" thickBot="1" x14ac:dyDescent="0.4">
      <c r="L282" s="40"/>
    </row>
    <row r="283" spans="1:14" s="1" customFormat="1" x14ac:dyDescent="0.35">
      <c r="A283" s="1217" t="s">
        <v>547</v>
      </c>
      <c r="B283" s="1218"/>
      <c r="C283" s="1218"/>
      <c r="D283" s="1218"/>
      <c r="E283" s="1218"/>
      <c r="F283" s="1218"/>
      <c r="G283" s="1218"/>
      <c r="H283" s="1218"/>
      <c r="I283" s="1218"/>
      <c r="J283" s="1218"/>
      <c r="K283" s="1218"/>
      <c r="L283" s="684"/>
      <c r="M283" s="584"/>
      <c r="N283" s="581"/>
    </row>
    <row r="284" spans="1:14" s="1" customFormat="1" ht="16" thickBot="1" x14ac:dyDescent="0.4">
      <c r="A284" s="585"/>
      <c r="B284" s="2"/>
      <c r="C284" s="5"/>
      <c r="D284" s="586"/>
      <c r="E284" s="5"/>
      <c r="F284" s="5"/>
      <c r="G284" s="5"/>
      <c r="H284" s="5"/>
      <c r="I284" s="5"/>
      <c r="J284" s="3"/>
      <c r="K284" s="21"/>
      <c r="L284" s="97"/>
      <c r="M284" s="21"/>
      <c r="N284" s="581"/>
    </row>
    <row r="285" spans="1:14" s="1" customFormat="1" ht="21" customHeight="1" x14ac:dyDescent="0.35">
      <c r="A285" s="1206" t="s">
        <v>302</v>
      </c>
      <c r="B285" s="1208" t="s">
        <v>28</v>
      </c>
      <c r="C285" s="1210" t="s">
        <v>343</v>
      </c>
      <c r="D285" s="613"/>
      <c r="E285" s="1212" t="s">
        <v>305</v>
      </c>
      <c r="F285" s="1212"/>
      <c r="G285" s="1212"/>
      <c r="H285" s="1212"/>
      <c r="I285" s="1212"/>
      <c r="J285" s="1208" t="s">
        <v>29</v>
      </c>
      <c r="K285" s="1213" t="s">
        <v>306</v>
      </c>
      <c r="L285" s="1222" t="s">
        <v>307</v>
      </c>
      <c r="M285" s="588"/>
      <c r="N285" s="581"/>
    </row>
    <row r="286" spans="1:14" s="1" customFormat="1" ht="21" customHeight="1" thickBot="1" x14ac:dyDescent="0.4">
      <c r="A286" s="1207"/>
      <c r="B286" s="1209"/>
      <c r="C286" s="1211"/>
      <c r="D286" s="614"/>
      <c r="E286" s="7" t="s">
        <v>308</v>
      </c>
      <c r="F286" s="7" t="s">
        <v>309</v>
      </c>
      <c r="G286" s="7" t="s">
        <v>310</v>
      </c>
      <c r="H286" s="7" t="s">
        <v>311</v>
      </c>
      <c r="I286" s="7" t="s">
        <v>312</v>
      </c>
      <c r="J286" s="1209"/>
      <c r="K286" s="1214"/>
      <c r="L286" s="1223"/>
      <c r="M286" s="588"/>
      <c r="N286" s="581"/>
    </row>
    <row r="287" spans="1:14" ht="28.5" customHeight="1" x14ac:dyDescent="0.35">
      <c r="A287" s="596">
        <v>196</v>
      </c>
      <c r="B287" s="28" t="s">
        <v>548</v>
      </c>
      <c r="C287" s="10">
        <f t="shared" ref="C287:C294" si="15">SUM(E287:I287)</f>
        <v>12.69</v>
      </c>
      <c r="D287" s="10">
        <f>'[23]road inventory 2018'!C283</f>
        <v>12.700000000000001</v>
      </c>
      <c r="E287" s="10">
        <v>8.1999999999999993</v>
      </c>
      <c r="F287" s="10">
        <v>0</v>
      </c>
      <c r="G287" s="10">
        <v>0</v>
      </c>
      <c r="H287" s="10">
        <v>4.49</v>
      </c>
      <c r="I287" s="10">
        <v>0</v>
      </c>
      <c r="J287" s="103" t="s">
        <v>12</v>
      </c>
      <c r="K287" s="597" t="s">
        <v>549</v>
      </c>
      <c r="L287" s="112" t="s">
        <v>838</v>
      </c>
    </row>
    <row r="288" spans="1:14" s="16" customFormat="1" ht="18" customHeight="1" x14ac:dyDescent="0.35">
      <c r="A288" s="589">
        <v>197</v>
      </c>
      <c r="B288" s="24" t="s">
        <v>550</v>
      </c>
      <c r="C288" s="10">
        <f t="shared" si="15"/>
        <v>4.9400000000000004</v>
      </c>
      <c r="D288" s="590">
        <f>'[23]road inventory 2018'!C284</f>
        <v>6.6</v>
      </c>
      <c r="E288" s="15">
        <v>4.9400000000000004</v>
      </c>
      <c r="F288" s="15">
        <v>0</v>
      </c>
      <c r="G288" s="15">
        <v>0</v>
      </c>
      <c r="H288" s="15">
        <v>0</v>
      </c>
      <c r="I288" s="15">
        <v>0</v>
      </c>
      <c r="J288" s="106" t="s">
        <v>12</v>
      </c>
      <c r="K288" s="591" t="s">
        <v>551</v>
      </c>
      <c r="L288" s="24"/>
      <c r="M288" s="593"/>
      <c r="N288" s="598"/>
    </row>
    <row r="289" spans="1:14" ht="18" customHeight="1" x14ac:dyDescent="0.35">
      <c r="A289" s="596">
        <v>199</v>
      </c>
      <c r="B289" s="28" t="s">
        <v>552</v>
      </c>
      <c r="C289" s="10">
        <f t="shared" si="15"/>
        <v>4.13</v>
      </c>
      <c r="D289" s="590">
        <f>'[23]road inventory 2018'!C285</f>
        <v>5</v>
      </c>
      <c r="E289" s="10">
        <v>0</v>
      </c>
      <c r="F289" s="10">
        <v>0</v>
      </c>
      <c r="G289" s="10">
        <v>0</v>
      </c>
      <c r="H289" s="10">
        <v>4.13</v>
      </c>
      <c r="I289" s="10">
        <v>0</v>
      </c>
      <c r="J289" s="103" t="s">
        <v>33</v>
      </c>
      <c r="K289" s="597" t="s">
        <v>553</v>
      </c>
      <c r="L289" s="28"/>
    </row>
    <row r="290" spans="1:14" s="16" customFormat="1" ht="18" customHeight="1" x14ac:dyDescent="0.35">
      <c r="A290" s="589">
        <v>200</v>
      </c>
      <c r="B290" s="24" t="s">
        <v>291</v>
      </c>
      <c r="C290" s="10">
        <f t="shared" si="15"/>
        <v>1.1000000000000001</v>
      </c>
      <c r="D290" s="590">
        <f>'[23]road inventory 2018'!C286</f>
        <v>1.1000000000000001</v>
      </c>
      <c r="E290" s="15">
        <v>1.1000000000000001</v>
      </c>
      <c r="F290" s="15">
        <v>0</v>
      </c>
      <c r="G290" s="15">
        <v>0</v>
      </c>
      <c r="H290" s="15">
        <v>0</v>
      </c>
      <c r="I290" s="15">
        <v>0</v>
      </c>
      <c r="J290" s="106" t="s">
        <v>10</v>
      </c>
      <c r="K290" s="591" t="s">
        <v>554</v>
      </c>
      <c r="L290" s="24"/>
      <c r="M290" s="593"/>
      <c r="N290" s="598"/>
    </row>
    <row r="291" spans="1:14" ht="18" customHeight="1" x14ac:dyDescent="0.35">
      <c r="A291" s="596">
        <v>201</v>
      </c>
      <c r="B291" s="28" t="s">
        <v>555</v>
      </c>
      <c r="C291" s="10">
        <f t="shared" si="15"/>
        <v>4.97</v>
      </c>
      <c r="D291" s="590">
        <f>'[23]road inventory 2018'!C287</f>
        <v>5.2</v>
      </c>
      <c r="E291" s="10">
        <v>4.97</v>
      </c>
      <c r="F291" s="10">
        <v>0</v>
      </c>
      <c r="G291" s="10">
        <v>0</v>
      </c>
      <c r="H291" s="10">
        <v>0</v>
      </c>
      <c r="I291" s="10">
        <v>0</v>
      </c>
      <c r="J291" s="103" t="s">
        <v>12</v>
      </c>
      <c r="K291" s="597" t="s">
        <v>556</v>
      </c>
      <c r="L291" s="28"/>
    </row>
    <row r="292" spans="1:14" s="667" customFormat="1" ht="31" x14ac:dyDescent="0.35">
      <c r="A292" s="618">
        <v>202</v>
      </c>
      <c r="B292" s="619" t="s">
        <v>557</v>
      </c>
      <c r="C292" s="620">
        <f t="shared" si="15"/>
        <v>5.3</v>
      </c>
      <c r="D292" s="620">
        <f>'[23]road inventory 2018'!C288</f>
        <v>5.3000000000000007</v>
      </c>
      <c r="E292" s="620">
        <v>2.4</v>
      </c>
      <c r="F292" s="620">
        <v>0</v>
      </c>
      <c r="G292" s="620">
        <v>0</v>
      </c>
      <c r="H292" s="620">
        <v>2.9</v>
      </c>
      <c r="I292" s="620">
        <v>0</v>
      </c>
      <c r="J292" s="621" t="s">
        <v>12</v>
      </c>
      <c r="K292" s="622" t="s">
        <v>556</v>
      </c>
      <c r="L292" s="619" t="str">
        <f>L287</f>
        <v>FOR VERIFICATION</v>
      </c>
      <c r="M292" s="623"/>
      <c r="N292" s="666"/>
    </row>
    <row r="293" spans="1:14" s="16" customFormat="1" ht="18" customHeight="1" x14ac:dyDescent="0.35">
      <c r="A293" s="589">
        <v>203</v>
      </c>
      <c r="B293" s="24" t="s">
        <v>558</v>
      </c>
      <c r="C293" s="10">
        <f t="shared" si="15"/>
        <v>4</v>
      </c>
      <c r="D293" s="590">
        <f>'[23]road inventory 2018'!C289</f>
        <v>3.8</v>
      </c>
      <c r="E293" s="15">
        <v>2.5499999999999998</v>
      </c>
      <c r="F293" s="15">
        <v>1.45</v>
      </c>
      <c r="G293" s="15">
        <v>0</v>
      </c>
      <c r="H293" s="15">
        <v>0</v>
      </c>
      <c r="I293" s="15">
        <v>0</v>
      </c>
      <c r="J293" s="106" t="s">
        <v>839</v>
      </c>
      <c r="K293" s="591" t="s">
        <v>559</v>
      </c>
      <c r="L293" s="24"/>
      <c r="M293" s="593"/>
      <c r="N293" s="598"/>
    </row>
    <row r="294" spans="1:14" ht="18" customHeight="1" x14ac:dyDescent="0.35">
      <c r="A294" s="596">
        <v>228</v>
      </c>
      <c r="B294" s="28" t="s">
        <v>141</v>
      </c>
      <c r="C294" s="10">
        <f t="shared" si="15"/>
        <v>8.11</v>
      </c>
      <c r="D294" s="590">
        <f>'[23]road inventory 2018'!C290</f>
        <v>9.3000000000000007</v>
      </c>
      <c r="E294" s="10">
        <v>8</v>
      </c>
      <c r="F294" s="10">
        <v>0</v>
      </c>
      <c r="G294" s="10">
        <v>0.11</v>
      </c>
      <c r="H294" s="10">
        <v>0</v>
      </c>
      <c r="I294" s="10">
        <v>0</v>
      </c>
      <c r="J294" s="103" t="s">
        <v>33</v>
      </c>
      <c r="K294" s="597"/>
      <c r="L294" s="28"/>
    </row>
    <row r="295" spans="1:14" ht="18" customHeight="1" x14ac:dyDescent="0.35">
      <c r="A295" s="596"/>
      <c r="B295" s="28"/>
      <c r="C295" s="10">
        <f>SUM(C287:C294)</f>
        <v>45.239999999999995</v>
      </c>
      <c r="D295" s="10">
        <f t="shared" ref="D295:I295" si="16">SUM(D287:D294)</f>
        <v>49</v>
      </c>
      <c r="E295" s="10">
        <f t="shared" si="16"/>
        <v>32.159999999999997</v>
      </c>
      <c r="F295" s="10">
        <f t="shared" si="16"/>
        <v>1.45</v>
      </c>
      <c r="G295" s="10">
        <f t="shared" si="16"/>
        <v>0.11</v>
      </c>
      <c r="H295" s="10">
        <f t="shared" si="16"/>
        <v>11.520000000000001</v>
      </c>
      <c r="I295" s="10">
        <f t="shared" si="16"/>
        <v>0</v>
      </c>
      <c r="J295" s="103"/>
      <c r="K295" s="597"/>
      <c r="L295" s="28"/>
    </row>
    <row r="296" spans="1:14" ht="18" customHeight="1" thickBot="1" x14ac:dyDescent="0.4">
      <c r="A296" s="53" t="s">
        <v>341</v>
      </c>
      <c r="B296" s="34"/>
      <c r="C296" s="31">
        <f>SUM(E296:I296)</f>
        <v>45.24</v>
      </c>
      <c r="D296" s="630"/>
      <c r="E296" s="31">
        <f>SUM(E287:E294)</f>
        <v>32.159999999999997</v>
      </c>
      <c r="F296" s="31">
        <f>SUM(F287:F294)</f>
        <v>1.45</v>
      </c>
      <c r="G296" s="31">
        <f>SUM(G287:G294)</f>
        <v>0.11</v>
      </c>
      <c r="H296" s="31">
        <f>SUM(H287:H294)</f>
        <v>11.520000000000001</v>
      </c>
      <c r="I296" s="31">
        <f>SUM(I287:I294)</f>
        <v>0</v>
      </c>
      <c r="J296" s="608"/>
      <c r="K296" s="609"/>
      <c r="L296" s="653"/>
      <c r="M296" s="21"/>
      <c r="N296" s="685">
        <f>SUM(E296:I296)</f>
        <v>45.24</v>
      </c>
    </row>
    <row r="297" spans="1:14" x14ac:dyDescent="0.35">
      <c r="L297" s="28"/>
    </row>
    <row r="298" spans="1:14" s="1" customFormat="1" x14ac:dyDescent="0.35">
      <c r="A298" s="1203" t="s">
        <v>560</v>
      </c>
      <c r="B298" s="1204"/>
      <c r="C298" s="1204"/>
      <c r="D298" s="1204"/>
      <c r="E298" s="1204"/>
      <c r="F298" s="1204"/>
      <c r="G298" s="1204"/>
      <c r="H298" s="1204"/>
      <c r="I298" s="1204"/>
      <c r="J298" s="1204"/>
      <c r="K298" s="1204"/>
      <c r="L298" s="1205"/>
      <c r="M298" s="584"/>
      <c r="N298" s="581"/>
    </row>
    <row r="299" spans="1:14" s="1" customFormat="1" ht="16" thickBot="1" x14ac:dyDescent="0.4">
      <c r="A299" s="585"/>
      <c r="B299" s="2"/>
      <c r="C299" s="5"/>
      <c r="D299" s="586"/>
      <c r="E299" s="5"/>
      <c r="F299" s="5"/>
      <c r="G299" s="5"/>
      <c r="H299" s="5"/>
      <c r="I299" s="5"/>
      <c r="J299" s="3"/>
      <c r="K299" s="21"/>
      <c r="L299" s="653"/>
      <c r="M299" s="21"/>
      <c r="N299" s="581"/>
    </row>
    <row r="300" spans="1:14" s="1" customFormat="1" ht="21" customHeight="1" x14ac:dyDescent="0.35">
      <c r="A300" s="1206" t="s">
        <v>302</v>
      </c>
      <c r="B300" s="1208" t="s">
        <v>28</v>
      </c>
      <c r="C300" s="1210" t="s">
        <v>343</v>
      </c>
      <c r="D300" s="613"/>
      <c r="E300" s="1212" t="s">
        <v>305</v>
      </c>
      <c r="F300" s="1212"/>
      <c r="G300" s="1212"/>
      <c r="H300" s="1212"/>
      <c r="I300" s="1212"/>
      <c r="J300" s="1208" t="s">
        <v>29</v>
      </c>
      <c r="K300" s="1213" t="s">
        <v>306</v>
      </c>
      <c r="L300" s="1215" t="str">
        <f>L285</f>
        <v>REMARKS</v>
      </c>
      <c r="M300" s="588"/>
      <c r="N300" s="581"/>
    </row>
    <row r="301" spans="1:14" s="1" customFormat="1" ht="21" customHeight="1" thickBot="1" x14ac:dyDescent="0.4">
      <c r="A301" s="1207"/>
      <c r="B301" s="1209"/>
      <c r="C301" s="1211"/>
      <c r="D301" s="614"/>
      <c r="E301" s="7" t="s">
        <v>308</v>
      </c>
      <c r="F301" s="7" t="s">
        <v>309</v>
      </c>
      <c r="G301" s="7" t="s">
        <v>310</v>
      </c>
      <c r="H301" s="7" t="s">
        <v>311</v>
      </c>
      <c r="I301" s="7" t="s">
        <v>312</v>
      </c>
      <c r="J301" s="1209"/>
      <c r="K301" s="1214"/>
      <c r="L301" s="1216"/>
      <c r="M301" s="588"/>
      <c r="N301" s="581"/>
    </row>
    <row r="302" spans="1:14" ht="18" customHeight="1" x14ac:dyDescent="0.35">
      <c r="A302" s="596">
        <v>204</v>
      </c>
      <c r="B302" s="28" t="s">
        <v>561</v>
      </c>
      <c r="C302" s="10">
        <f t="shared" ref="C302:C312" si="17">SUM(E302:I302)</f>
        <v>15.87</v>
      </c>
      <c r="D302" s="10">
        <f>'[23]road inventory 2018'!C298</f>
        <v>15.87</v>
      </c>
      <c r="E302" s="10">
        <v>6.92</v>
      </c>
      <c r="F302" s="10">
        <v>2.5499999999999998</v>
      </c>
      <c r="G302" s="10">
        <v>0</v>
      </c>
      <c r="H302" s="10">
        <v>6.4</v>
      </c>
      <c r="I302" s="10">
        <v>0</v>
      </c>
      <c r="J302" s="103" t="s">
        <v>33</v>
      </c>
      <c r="K302" s="597" t="s">
        <v>562</v>
      </c>
      <c r="L302" s="28" t="str">
        <f>L292</f>
        <v>FOR VERIFICATION</v>
      </c>
    </row>
    <row r="303" spans="1:14" s="16" customFormat="1" ht="18" customHeight="1" x14ac:dyDescent="0.35">
      <c r="A303" s="589">
        <v>205</v>
      </c>
      <c r="B303" s="24" t="s">
        <v>563</v>
      </c>
      <c r="C303" s="10">
        <f t="shared" si="17"/>
        <v>0.37</v>
      </c>
      <c r="D303" s="615">
        <f>'[23]road inventory 2018'!C299</f>
        <v>0.37</v>
      </c>
      <c r="E303" s="15">
        <v>0.37</v>
      </c>
      <c r="F303" s="15">
        <v>0</v>
      </c>
      <c r="G303" s="15">
        <v>0</v>
      </c>
      <c r="H303" s="15">
        <v>0</v>
      </c>
      <c r="I303" s="15">
        <v>0</v>
      </c>
      <c r="J303" s="106" t="s">
        <v>10</v>
      </c>
      <c r="K303" s="591" t="s">
        <v>564</v>
      </c>
      <c r="L303" s="24"/>
      <c r="M303" s="593"/>
      <c r="N303" s="598"/>
    </row>
    <row r="304" spans="1:14" s="16" customFormat="1" ht="31" x14ac:dyDescent="0.35">
      <c r="A304" s="589">
        <v>213</v>
      </c>
      <c r="B304" s="24" t="s">
        <v>293</v>
      </c>
      <c r="C304" s="10">
        <f t="shared" si="17"/>
        <v>2.8499999999999996</v>
      </c>
      <c r="D304" s="615">
        <f>'[23]road inventory 2018'!C300</f>
        <v>1.8599999999999999</v>
      </c>
      <c r="E304" s="15">
        <v>2.11</v>
      </c>
      <c r="F304" s="15">
        <v>0.74</v>
      </c>
      <c r="G304" s="15">
        <v>0</v>
      </c>
      <c r="H304" s="15">
        <v>0</v>
      </c>
      <c r="I304" s="15">
        <v>0</v>
      </c>
      <c r="J304" s="106" t="s">
        <v>10</v>
      </c>
      <c r="K304" s="591" t="s">
        <v>565</v>
      </c>
      <c r="L304" s="24"/>
      <c r="M304" s="593"/>
      <c r="N304" s="598"/>
    </row>
    <row r="305" spans="1:14" ht="18" customHeight="1" x14ac:dyDescent="0.35">
      <c r="A305" s="596">
        <v>206</v>
      </c>
      <c r="B305" s="28" t="s">
        <v>295</v>
      </c>
      <c r="C305" s="10">
        <f t="shared" si="17"/>
        <v>1.94</v>
      </c>
      <c r="D305" s="615">
        <f>'[23]road inventory 2018'!C301</f>
        <v>2</v>
      </c>
      <c r="E305" s="10">
        <v>1.94</v>
      </c>
      <c r="F305" s="10">
        <v>0</v>
      </c>
      <c r="G305" s="10">
        <v>0</v>
      </c>
      <c r="H305" s="10">
        <v>0</v>
      </c>
      <c r="I305" s="10">
        <v>0</v>
      </c>
      <c r="J305" s="103" t="s">
        <v>10</v>
      </c>
      <c r="K305" s="597" t="s">
        <v>566</v>
      </c>
      <c r="L305" s="28"/>
    </row>
    <row r="306" spans="1:14" ht="31" x14ac:dyDescent="0.35">
      <c r="A306" s="596">
        <v>207</v>
      </c>
      <c r="B306" s="28" t="s">
        <v>292</v>
      </c>
      <c r="C306" s="10">
        <f t="shared" si="17"/>
        <v>2.0099999999999998</v>
      </c>
      <c r="D306" s="615">
        <f>'[23]road inventory 2018'!C302</f>
        <v>3.38</v>
      </c>
      <c r="E306" s="10">
        <v>0</v>
      </c>
      <c r="F306" s="10">
        <v>0</v>
      </c>
      <c r="G306" s="10">
        <v>0</v>
      </c>
      <c r="H306" s="10">
        <v>0</v>
      </c>
      <c r="I306" s="10">
        <v>2.0099999999999998</v>
      </c>
      <c r="J306" s="103" t="s">
        <v>10</v>
      </c>
      <c r="K306" s="597" t="s">
        <v>567</v>
      </c>
      <c r="L306" s="28"/>
    </row>
    <row r="307" spans="1:14" ht="18" customHeight="1" thickBot="1" x14ac:dyDescent="0.4">
      <c r="A307" s="686">
        <v>229</v>
      </c>
      <c r="B307" s="687" t="s">
        <v>568</v>
      </c>
      <c r="C307" s="10">
        <f t="shared" si="17"/>
        <v>0.1</v>
      </c>
      <c r="D307" s="10">
        <f>'[23]road inventory 2018'!C303</f>
        <v>0.1</v>
      </c>
      <c r="E307" s="688">
        <v>0.1</v>
      </c>
      <c r="F307" s="688">
        <v>0</v>
      </c>
      <c r="G307" s="688">
        <v>0</v>
      </c>
      <c r="H307" s="688">
        <v>0</v>
      </c>
      <c r="I307" s="688">
        <v>0</v>
      </c>
      <c r="J307" s="643" t="s">
        <v>33</v>
      </c>
      <c r="K307" s="644" t="s">
        <v>569</v>
      </c>
      <c r="L307" s="28" t="str">
        <f>L292</f>
        <v>FOR VERIFICATION</v>
      </c>
    </row>
    <row r="308" spans="1:14" ht="31" x14ac:dyDescent="0.35">
      <c r="A308" s="596">
        <v>215</v>
      </c>
      <c r="B308" s="28" t="s">
        <v>570</v>
      </c>
      <c r="C308" s="10">
        <f t="shared" si="17"/>
        <v>3.8</v>
      </c>
      <c r="D308" s="10">
        <f>'[23]road inventory 2018'!C307</f>
        <v>3.8</v>
      </c>
      <c r="E308" s="10">
        <v>0</v>
      </c>
      <c r="F308" s="10">
        <v>0</v>
      </c>
      <c r="G308" s="10">
        <v>0</v>
      </c>
      <c r="H308" s="10">
        <v>3.8</v>
      </c>
      <c r="I308" s="10">
        <v>0</v>
      </c>
      <c r="J308" s="103" t="s">
        <v>33</v>
      </c>
      <c r="K308" s="597" t="s">
        <v>571</v>
      </c>
      <c r="L308" s="28" t="str">
        <f>L302</f>
        <v>FOR VERIFICATION</v>
      </c>
    </row>
    <row r="309" spans="1:14" ht="18" customHeight="1" x14ac:dyDescent="0.35">
      <c r="A309" s="596">
        <v>208</v>
      </c>
      <c r="B309" s="28" t="s">
        <v>572</v>
      </c>
      <c r="C309" s="10">
        <f t="shared" si="17"/>
        <v>4.3</v>
      </c>
      <c r="D309" s="10">
        <f>'[23]road inventory 2018'!C308</f>
        <v>4.3</v>
      </c>
      <c r="E309" s="10">
        <v>0</v>
      </c>
      <c r="F309" s="10">
        <v>0</v>
      </c>
      <c r="G309" s="10">
        <v>0</v>
      </c>
      <c r="H309" s="10">
        <v>4.3</v>
      </c>
      <c r="I309" s="10">
        <v>0</v>
      </c>
      <c r="J309" s="103" t="s">
        <v>33</v>
      </c>
      <c r="K309" s="597" t="s">
        <v>573</v>
      </c>
      <c r="L309" s="28" t="str">
        <f>L302</f>
        <v>FOR VERIFICATION</v>
      </c>
    </row>
    <row r="310" spans="1:14" ht="18" customHeight="1" x14ac:dyDescent="0.35">
      <c r="A310" s="596">
        <v>209</v>
      </c>
      <c r="B310" s="28" t="s">
        <v>294</v>
      </c>
      <c r="C310" s="10">
        <f t="shared" si="17"/>
        <v>1.92</v>
      </c>
      <c r="D310" s="10">
        <f>'[23]road inventory 2018'!C309</f>
        <v>2.6</v>
      </c>
      <c r="E310" s="10">
        <v>1.92</v>
      </c>
      <c r="F310" s="10">
        <v>0</v>
      </c>
      <c r="G310" s="10">
        <v>0</v>
      </c>
      <c r="H310" s="10">
        <v>0</v>
      </c>
      <c r="I310" s="10">
        <v>0</v>
      </c>
      <c r="J310" s="103" t="s">
        <v>33</v>
      </c>
      <c r="K310" s="597" t="s">
        <v>574</v>
      </c>
      <c r="L310" s="28"/>
    </row>
    <row r="311" spans="1:14" ht="18" customHeight="1" x14ac:dyDescent="0.35">
      <c r="A311" s="596">
        <v>210</v>
      </c>
      <c r="B311" s="28" t="s">
        <v>575</v>
      </c>
      <c r="C311" s="10">
        <f t="shared" si="17"/>
        <v>0.8</v>
      </c>
      <c r="D311" s="10">
        <f>'[23]road inventory 2018'!C310</f>
        <v>0.8</v>
      </c>
      <c r="E311" s="10">
        <v>0.8</v>
      </c>
      <c r="F311" s="10">
        <v>0</v>
      </c>
      <c r="G311" s="10">
        <v>0</v>
      </c>
      <c r="H311" s="10">
        <v>0</v>
      </c>
      <c r="I311" s="10">
        <v>0</v>
      </c>
      <c r="J311" s="103" t="s">
        <v>12</v>
      </c>
      <c r="K311" s="597" t="s">
        <v>576</v>
      </c>
      <c r="L311" s="28" t="str">
        <f>L302</f>
        <v>FOR VERIFICATION</v>
      </c>
    </row>
    <row r="312" spans="1:14" ht="18" customHeight="1" x14ac:dyDescent="0.35">
      <c r="A312" s="596">
        <v>211</v>
      </c>
      <c r="B312" s="28" t="s">
        <v>577</v>
      </c>
      <c r="C312" s="10">
        <f t="shared" si="17"/>
        <v>0.85</v>
      </c>
      <c r="D312" s="10">
        <f>'[23]road inventory 2018'!C311</f>
        <v>0.7</v>
      </c>
      <c r="E312" s="10">
        <v>0.85</v>
      </c>
      <c r="F312" s="10">
        <v>0</v>
      </c>
      <c r="G312" s="10">
        <v>0</v>
      </c>
      <c r="H312" s="10">
        <v>0</v>
      </c>
      <c r="I312" s="10">
        <v>0</v>
      </c>
      <c r="J312" s="103" t="s">
        <v>10</v>
      </c>
      <c r="K312" s="597" t="s">
        <v>578</v>
      </c>
      <c r="L312" s="28"/>
    </row>
    <row r="313" spans="1:14" s="16" customFormat="1" ht="18" customHeight="1" x14ac:dyDescent="0.35">
      <c r="A313" s="626"/>
      <c r="B313" s="60"/>
      <c r="C313" s="61">
        <f t="shared" ref="C313:I313" si="18">SUM(C302:C312)</f>
        <v>34.81</v>
      </c>
      <c r="D313" s="61">
        <f t="shared" si="18"/>
        <v>35.78</v>
      </c>
      <c r="E313" s="61">
        <f t="shared" si="18"/>
        <v>15.01</v>
      </c>
      <c r="F313" s="61">
        <f t="shared" si="18"/>
        <v>3.29</v>
      </c>
      <c r="G313" s="61">
        <f t="shared" si="18"/>
        <v>0</v>
      </c>
      <c r="H313" s="61">
        <f t="shared" si="18"/>
        <v>14.5</v>
      </c>
      <c r="I313" s="61">
        <f t="shared" si="18"/>
        <v>2.0099999999999998</v>
      </c>
      <c r="J313" s="628"/>
      <c r="K313" s="629"/>
      <c r="L313" s="24"/>
      <c r="M313" s="593"/>
      <c r="N313" s="598"/>
    </row>
    <row r="314" spans="1:14" ht="18" customHeight="1" thickBot="1" x14ac:dyDescent="0.4">
      <c r="A314" s="53" t="s">
        <v>341</v>
      </c>
      <c r="B314" s="34"/>
      <c r="C314" s="31">
        <f>SUM(E314:I314)</f>
        <v>34.809999999999995</v>
      </c>
      <c r="D314" s="630"/>
      <c r="E314" s="31">
        <f>SUM(E302:E312)</f>
        <v>15.01</v>
      </c>
      <c r="F314" s="31">
        <f>SUM(F302:F312)</f>
        <v>3.29</v>
      </c>
      <c r="G314" s="31">
        <f>SUM(G302:G312)</f>
        <v>0</v>
      </c>
      <c r="H314" s="31">
        <f>SUM(H302:H312)</f>
        <v>14.5</v>
      </c>
      <c r="I314" s="31">
        <f>SUM(I302:I312)</f>
        <v>2.0099999999999998</v>
      </c>
      <c r="J314" s="608"/>
      <c r="K314" s="609"/>
      <c r="L314" s="653"/>
      <c r="M314" s="21"/>
      <c r="N314" s="685">
        <f>SUM(E314:I314)</f>
        <v>34.809999999999995</v>
      </c>
    </row>
    <row r="315" spans="1:14" ht="18" customHeight="1" x14ac:dyDescent="0.35">
      <c r="L315" s="28"/>
    </row>
    <row r="316" spans="1:14" s="1" customFormat="1" x14ac:dyDescent="0.35">
      <c r="A316" s="1203" t="s">
        <v>579</v>
      </c>
      <c r="B316" s="1204"/>
      <c r="C316" s="1204"/>
      <c r="D316" s="1204"/>
      <c r="E316" s="1204"/>
      <c r="F316" s="1204"/>
      <c r="G316" s="1204"/>
      <c r="H316" s="1204"/>
      <c r="I316" s="1204"/>
      <c r="J316" s="1204"/>
      <c r="K316" s="1204"/>
      <c r="L316" s="1205"/>
      <c r="M316" s="584"/>
      <c r="N316" s="581"/>
    </row>
    <row r="317" spans="1:14" s="1" customFormat="1" ht="16" thickBot="1" x14ac:dyDescent="0.4">
      <c r="A317" s="585"/>
      <c r="B317" s="2"/>
      <c r="C317" s="5"/>
      <c r="D317" s="586"/>
      <c r="E317" s="5"/>
      <c r="F317" s="5"/>
      <c r="G317" s="5"/>
      <c r="H317" s="5"/>
      <c r="I317" s="5"/>
      <c r="J317" s="3"/>
      <c r="K317" s="21"/>
      <c r="L317" s="653"/>
      <c r="M317" s="21"/>
      <c r="N317" s="581"/>
    </row>
    <row r="318" spans="1:14" s="1" customFormat="1" x14ac:dyDescent="0.35">
      <c r="A318" s="1206" t="s">
        <v>302</v>
      </c>
      <c r="B318" s="1208" t="s">
        <v>28</v>
      </c>
      <c r="C318" s="1210" t="s">
        <v>343</v>
      </c>
      <c r="D318" s="613"/>
      <c r="E318" s="1212" t="s">
        <v>305</v>
      </c>
      <c r="F318" s="1212"/>
      <c r="G318" s="1212"/>
      <c r="H318" s="1212"/>
      <c r="I318" s="1212"/>
      <c r="J318" s="1208" t="s">
        <v>29</v>
      </c>
      <c r="K318" s="1213" t="s">
        <v>306</v>
      </c>
      <c r="L318" s="1215" t="str">
        <f>L300</f>
        <v>REMARKS</v>
      </c>
      <c r="M318" s="588"/>
      <c r="N318" s="581"/>
    </row>
    <row r="319" spans="1:14" s="1" customFormat="1" ht="21" customHeight="1" thickBot="1" x14ac:dyDescent="0.4">
      <c r="A319" s="1207"/>
      <c r="B319" s="1209"/>
      <c r="C319" s="1211"/>
      <c r="D319" s="614"/>
      <c r="E319" s="7" t="s">
        <v>308</v>
      </c>
      <c r="F319" s="7" t="s">
        <v>309</v>
      </c>
      <c r="G319" s="7" t="s">
        <v>310</v>
      </c>
      <c r="H319" s="7" t="s">
        <v>311</v>
      </c>
      <c r="I319" s="7" t="s">
        <v>312</v>
      </c>
      <c r="J319" s="1209"/>
      <c r="K319" s="1214"/>
      <c r="L319" s="1216"/>
      <c r="M319" s="588"/>
      <c r="N319" s="581"/>
    </row>
    <row r="320" spans="1:14" ht="18" customHeight="1" x14ac:dyDescent="0.35">
      <c r="A320" s="596">
        <v>214</v>
      </c>
      <c r="B320" s="28" t="s">
        <v>580</v>
      </c>
      <c r="C320" s="10">
        <f>SUM(E320:I320)</f>
        <v>4.5</v>
      </c>
      <c r="D320" s="10">
        <f>'[23]road inventory 2018'!C318</f>
        <v>4.5</v>
      </c>
      <c r="E320" s="633">
        <v>0.7</v>
      </c>
      <c r="F320" s="633">
        <v>0</v>
      </c>
      <c r="G320" s="633">
        <v>0</v>
      </c>
      <c r="H320" s="10">
        <v>3.8</v>
      </c>
      <c r="I320" s="10">
        <v>0</v>
      </c>
      <c r="J320" s="103" t="s">
        <v>12</v>
      </c>
      <c r="K320" s="597" t="s">
        <v>581</v>
      </c>
      <c r="L320" s="28" t="str">
        <f>L330</f>
        <v>FOR VERIFICATION</v>
      </c>
    </row>
    <row r="321" spans="1:19" ht="18" customHeight="1" x14ac:dyDescent="0.35">
      <c r="A321" s="596">
        <v>212</v>
      </c>
      <c r="B321" s="28" t="s">
        <v>582</v>
      </c>
      <c r="C321" s="10">
        <f>SUM(E321:I321)</f>
        <v>2.75</v>
      </c>
      <c r="D321" s="10">
        <f>'[23]road inventory 2018'!C319</f>
        <v>2.75</v>
      </c>
      <c r="E321" s="633">
        <v>2.6</v>
      </c>
      <c r="F321" s="633">
        <v>0</v>
      </c>
      <c r="G321" s="633">
        <v>0</v>
      </c>
      <c r="H321" s="10">
        <v>0.15</v>
      </c>
      <c r="I321" s="10">
        <v>0</v>
      </c>
      <c r="J321" s="103" t="s">
        <v>12</v>
      </c>
      <c r="K321" s="597" t="s">
        <v>528</v>
      </c>
      <c r="L321" s="28" t="str">
        <f>L320</f>
        <v>FOR VERIFICATION</v>
      </c>
    </row>
    <row r="322" spans="1:19" s="16" customFormat="1" ht="18" customHeight="1" x14ac:dyDescent="0.35">
      <c r="A322" s="626"/>
      <c r="B322" s="60"/>
      <c r="C322" s="61">
        <f>SUM(C320:C321)</f>
        <v>7.25</v>
      </c>
      <c r="D322" s="61">
        <f t="shared" ref="D322:I322" si="19">SUM(D320:D321)</f>
        <v>7.25</v>
      </c>
      <c r="E322" s="61">
        <f t="shared" si="19"/>
        <v>3.3</v>
      </c>
      <c r="F322" s="61">
        <f t="shared" si="19"/>
        <v>0</v>
      </c>
      <c r="G322" s="61">
        <f t="shared" si="19"/>
        <v>0</v>
      </c>
      <c r="H322" s="61">
        <f t="shared" si="19"/>
        <v>3.9499999999999997</v>
      </c>
      <c r="I322" s="61">
        <f t="shared" si="19"/>
        <v>0</v>
      </c>
      <c r="J322" s="628"/>
      <c r="K322" s="629"/>
      <c r="L322" s="24"/>
      <c r="M322" s="593"/>
      <c r="N322" s="598"/>
    </row>
    <row r="323" spans="1:19" ht="18" customHeight="1" thickBot="1" x14ac:dyDescent="0.4">
      <c r="A323" s="53" t="s">
        <v>341</v>
      </c>
      <c r="B323" s="69"/>
      <c r="C323" s="31">
        <f>SUM(E323:I323)</f>
        <v>7.25</v>
      </c>
      <c r="D323" s="630"/>
      <c r="E323" s="31">
        <f>SUM(E320:E321)</f>
        <v>3.3</v>
      </c>
      <c r="F323" s="31">
        <f>SUM(F320:F321)</f>
        <v>0</v>
      </c>
      <c r="G323" s="31">
        <f>SUM(G320:G321)</f>
        <v>0</v>
      </c>
      <c r="H323" s="31">
        <f>SUM(H320:H321)</f>
        <v>3.9499999999999997</v>
      </c>
      <c r="I323" s="31">
        <f>SUM(I320:I321)</f>
        <v>0</v>
      </c>
      <c r="J323" s="608"/>
      <c r="K323" s="609"/>
      <c r="L323" s="653"/>
      <c r="M323" s="21"/>
    </row>
    <row r="324" spans="1:19" ht="18" customHeight="1" x14ac:dyDescent="0.35">
      <c r="L324" s="28"/>
    </row>
    <row r="325" spans="1:19" s="1" customFormat="1" x14ac:dyDescent="0.35">
      <c r="A325" s="1203" t="s">
        <v>583</v>
      </c>
      <c r="B325" s="1204"/>
      <c r="C325" s="1204"/>
      <c r="D325" s="1204"/>
      <c r="E325" s="1204"/>
      <c r="F325" s="1204"/>
      <c r="G325" s="1204"/>
      <c r="H325" s="1204"/>
      <c r="I325" s="1204"/>
      <c r="J325" s="1204"/>
      <c r="K325" s="1204"/>
      <c r="L325" s="1205"/>
      <c r="M325" s="584"/>
      <c r="N325" s="581"/>
    </row>
    <row r="326" spans="1:19" s="1" customFormat="1" ht="16" thickBot="1" x14ac:dyDescent="0.4">
      <c r="A326" s="585"/>
      <c r="B326" s="2"/>
      <c r="C326" s="5"/>
      <c r="D326" s="586"/>
      <c r="E326" s="5"/>
      <c r="F326" s="5"/>
      <c r="G326" s="5"/>
      <c r="H326" s="5"/>
      <c r="I326" s="5"/>
      <c r="J326" s="3"/>
      <c r="K326" s="21"/>
      <c r="L326" s="653"/>
      <c r="M326" s="21"/>
      <c r="N326" s="581"/>
    </row>
    <row r="327" spans="1:19" s="1" customFormat="1" x14ac:dyDescent="0.35">
      <c r="A327" s="1206" t="s">
        <v>302</v>
      </c>
      <c r="B327" s="1208" t="s">
        <v>28</v>
      </c>
      <c r="C327" s="1210" t="s">
        <v>343</v>
      </c>
      <c r="D327" s="613"/>
      <c r="E327" s="1212" t="s">
        <v>305</v>
      </c>
      <c r="F327" s="1212"/>
      <c r="G327" s="1212"/>
      <c r="H327" s="1212"/>
      <c r="I327" s="1212"/>
      <c r="J327" s="1208" t="s">
        <v>29</v>
      </c>
      <c r="K327" s="1213" t="s">
        <v>306</v>
      </c>
      <c r="L327" s="1215" t="str">
        <f>L318</f>
        <v>REMARKS</v>
      </c>
      <c r="M327" s="588"/>
      <c r="N327" s="581"/>
    </row>
    <row r="328" spans="1:19" s="1" customFormat="1" ht="21" customHeight="1" thickBot="1" x14ac:dyDescent="0.4">
      <c r="A328" s="1207"/>
      <c r="B328" s="1209"/>
      <c r="C328" s="1211"/>
      <c r="D328" s="614"/>
      <c r="E328" s="7" t="s">
        <v>308</v>
      </c>
      <c r="F328" s="7" t="s">
        <v>309</v>
      </c>
      <c r="G328" s="7" t="s">
        <v>310</v>
      </c>
      <c r="H328" s="7" t="s">
        <v>311</v>
      </c>
      <c r="I328" s="7" t="s">
        <v>312</v>
      </c>
      <c r="J328" s="1209"/>
      <c r="K328" s="1214"/>
      <c r="L328" s="1216"/>
      <c r="M328" s="588"/>
      <c r="N328" s="581"/>
    </row>
    <row r="329" spans="1:19" s="697" customFormat="1" ht="18" customHeight="1" x14ac:dyDescent="0.35">
      <c r="A329" s="689">
        <v>173</v>
      </c>
      <c r="B329" s="690" t="s">
        <v>584</v>
      </c>
      <c r="C329" s="691">
        <f t="shared" ref="C329:C341" si="20">SUM(E329:I329)</f>
        <v>1.04</v>
      </c>
      <c r="D329" s="692">
        <f>'[23]road inventory 2018'!C326</f>
        <v>1.5</v>
      </c>
      <c r="E329" s="691">
        <v>1.04</v>
      </c>
      <c r="F329" s="691">
        <v>0</v>
      </c>
      <c r="G329" s="691">
        <v>0</v>
      </c>
      <c r="H329" s="691">
        <v>0</v>
      </c>
      <c r="I329" s="691">
        <v>0</v>
      </c>
      <c r="J329" s="693" t="s">
        <v>839</v>
      </c>
      <c r="K329" s="694"/>
      <c r="L329" s="690"/>
      <c r="M329" s="695"/>
      <c r="N329" s="696"/>
    </row>
    <row r="330" spans="1:19" ht="18" customHeight="1" x14ac:dyDescent="0.35">
      <c r="A330" s="596">
        <v>174</v>
      </c>
      <c r="B330" s="28" t="s">
        <v>585</v>
      </c>
      <c r="C330" s="691">
        <f t="shared" si="20"/>
        <v>0.2</v>
      </c>
      <c r="D330" s="10">
        <f>'[23]road inventory 2018'!C327</f>
        <v>0.2</v>
      </c>
      <c r="E330" s="10">
        <v>0.2</v>
      </c>
      <c r="F330" s="10">
        <v>0</v>
      </c>
      <c r="G330" s="10">
        <v>0</v>
      </c>
      <c r="H330" s="10">
        <v>0</v>
      </c>
      <c r="I330" s="10">
        <v>0</v>
      </c>
      <c r="J330" s="28" t="s">
        <v>33</v>
      </c>
      <c r="K330" s="597"/>
      <c r="L330" s="28" t="str">
        <f>L308</f>
        <v>FOR VERIFICATION</v>
      </c>
    </row>
    <row r="331" spans="1:19" s="697" customFormat="1" ht="18" customHeight="1" x14ac:dyDescent="0.35">
      <c r="A331" s="689">
        <v>175</v>
      </c>
      <c r="B331" s="690" t="s">
        <v>586</v>
      </c>
      <c r="C331" s="691">
        <f t="shared" si="20"/>
        <v>3.31</v>
      </c>
      <c r="D331" s="692">
        <f>'[23]road inventory 2018'!C328</f>
        <v>3.6</v>
      </c>
      <c r="E331" s="691">
        <v>3.31</v>
      </c>
      <c r="F331" s="691">
        <v>0</v>
      </c>
      <c r="G331" s="691">
        <v>0</v>
      </c>
      <c r="H331" s="691">
        <v>0</v>
      </c>
      <c r="I331" s="691">
        <v>0</v>
      </c>
      <c r="J331" s="690" t="s">
        <v>12</v>
      </c>
      <c r="K331" s="694"/>
      <c r="L331" s="690"/>
      <c r="M331" s="695"/>
      <c r="N331" s="696"/>
    </row>
    <row r="332" spans="1:19" s="697" customFormat="1" ht="18" customHeight="1" x14ac:dyDescent="0.35">
      <c r="A332" s="689">
        <v>176</v>
      </c>
      <c r="B332" s="690" t="s">
        <v>587</v>
      </c>
      <c r="C332" s="691">
        <f t="shared" si="20"/>
        <v>22.21</v>
      </c>
      <c r="D332" s="692">
        <f>'[23]road inventory 2018'!C329</f>
        <v>20.5</v>
      </c>
      <c r="E332" s="691">
        <v>5.21</v>
      </c>
      <c r="F332" s="691">
        <v>0</v>
      </c>
      <c r="G332" s="691">
        <v>0</v>
      </c>
      <c r="H332" s="691">
        <v>17</v>
      </c>
      <c r="I332" s="691">
        <v>0</v>
      </c>
      <c r="J332" s="690" t="s">
        <v>12</v>
      </c>
      <c r="K332" s="694"/>
      <c r="L332" s="690"/>
      <c r="M332" s="695"/>
      <c r="N332" s="696"/>
    </row>
    <row r="333" spans="1:19" s="697" customFormat="1" ht="18" customHeight="1" x14ac:dyDescent="0.35">
      <c r="A333" s="689">
        <v>177</v>
      </c>
      <c r="B333" s="690" t="s">
        <v>588</v>
      </c>
      <c r="C333" s="691">
        <f t="shared" si="20"/>
        <v>13.55</v>
      </c>
      <c r="D333" s="692">
        <f>'[23]road inventory 2018'!C330</f>
        <v>13.5</v>
      </c>
      <c r="E333" s="691">
        <v>13.55</v>
      </c>
      <c r="F333" s="691">
        <v>0</v>
      </c>
      <c r="G333" s="691">
        <v>0</v>
      </c>
      <c r="H333" s="691">
        <v>0</v>
      </c>
      <c r="I333" s="691">
        <v>0</v>
      </c>
      <c r="J333" s="693" t="s">
        <v>10</v>
      </c>
      <c r="K333" s="694"/>
      <c r="L333" s="690"/>
      <c r="M333" s="695"/>
      <c r="N333" s="696"/>
    </row>
    <row r="334" spans="1:19" s="697" customFormat="1" ht="18" customHeight="1" x14ac:dyDescent="0.35">
      <c r="A334" s="689">
        <v>172</v>
      </c>
      <c r="B334" s="690" t="s">
        <v>589</v>
      </c>
      <c r="C334" s="691">
        <f t="shared" si="20"/>
        <v>4.4399999999999995</v>
      </c>
      <c r="D334" s="692">
        <f>'[23]road inventory 2018'!C331</f>
        <v>5.7</v>
      </c>
      <c r="E334" s="691">
        <v>1.02</v>
      </c>
      <c r="F334" s="691">
        <v>0</v>
      </c>
      <c r="G334" s="691">
        <v>0</v>
      </c>
      <c r="H334" s="691">
        <v>0</v>
      </c>
      <c r="I334" s="691">
        <v>3.42</v>
      </c>
      <c r="J334" s="693" t="str">
        <f>J291</f>
        <v>Fair</v>
      </c>
      <c r="K334" s="694"/>
      <c r="L334" s="690"/>
      <c r="M334" s="695"/>
      <c r="N334" s="696"/>
      <c r="S334" s="698">
        <f>C375+D353+D354+D355+D356+D340+D337+D335+D330+D311+D309+D308+D307+D302+D292+D287</f>
        <v>114.55099999999999</v>
      </c>
    </row>
    <row r="335" spans="1:19" ht="31" x14ac:dyDescent="0.35">
      <c r="A335" s="596">
        <v>178</v>
      </c>
      <c r="B335" s="28" t="s">
        <v>296</v>
      </c>
      <c r="C335" s="691">
        <f t="shared" si="20"/>
        <v>25.54</v>
      </c>
      <c r="D335" s="10">
        <f>'[23]road inventory 2018'!C332</f>
        <v>25.54</v>
      </c>
      <c r="E335" s="10">
        <v>1.23</v>
      </c>
      <c r="F335" s="10">
        <v>0</v>
      </c>
      <c r="G335" s="10">
        <v>0</v>
      </c>
      <c r="H335" s="10">
        <v>24.31</v>
      </c>
      <c r="I335" s="10">
        <v>0</v>
      </c>
      <c r="J335" s="28" t="s">
        <v>33</v>
      </c>
      <c r="K335" s="597"/>
      <c r="L335" s="28" t="str">
        <f>L311</f>
        <v>FOR VERIFICATION</v>
      </c>
    </row>
    <row r="336" spans="1:19" ht="18" customHeight="1" x14ac:dyDescent="0.35">
      <c r="A336" s="596">
        <v>179</v>
      </c>
      <c r="B336" s="28" t="s">
        <v>590</v>
      </c>
      <c r="C336" s="691">
        <f t="shared" si="20"/>
        <v>9.4499999999999993</v>
      </c>
      <c r="D336" s="10">
        <f>'[23]road inventory 2018'!C333</f>
        <v>9.4</v>
      </c>
      <c r="E336" s="10">
        <v>0.43</v>
      </c>
      <c r="F336" s="10">
        <v>0</v>
      </c>
      <c r="G336" s="10">
        <v>0</v>
      </c>
      <c r="H336" s="10">
        <v>9.02</v>
      </c>
      <c r="I336" s="10">
        <v>0</v>
      </c>
      <c r="J336" s="103" t="s">
        <v>33</v>
      </c>
      <c r="K336" s="597"/>
      <c r="L336" s="28"/>
    </row>
    <row r="337" spans="1:14" ht="18" customHeight="1" x14ac:dyDescent="0.35">
      <c r="A337" s="596">
        <v>180</v>
      </c>
      <c r="B337" s="28" t="s">
        <v>591</v>
      </c>
      <c r="C337" s="691">
        <f t="shared" si="20"/>
        <v>2.42</v>
      </c>
      <c r="D337" s="10">
        <f>'[23]road inventory 2018'!C334</f>
        <v>2.42</v>
      </c>
      <c r="E337" s="10">
        <v>0</v>
      </c>
      <c r="F337" s="10">
        <v>0</v>
      </c>
      <c r="G337" s="10">
        <v>0</v>
      </c>
      <c r="H337" s="10">
        <v>2.42</v>
      </c>
      <c r="I337" s="10">
        <v>0</v>
      </c>
      <c r="J337" s="28" t="s">
        <v>12</v>
      </c>
      <c r="K337" s="597"/>
      <c r="L337" s="28" t="str">
        <f>L335</f>
        <v>FOR VERIFICATION</v>
      </c>
    </row>
    <row r="338" spans="1:14" ht="31" x14ac:dyDescent="0.35">
      <c r="A338" s="596">
        <v>181</v>
      </c>
      <c r="B338" s="28" t="s">
        <v>592</v>
      </c>
      <c r="C338" s="691">
        <f t="shared" si="20"/>
        <v>4.03</v>
      </c>
      <c r="D338" s="10">
        <f>'[23]road inventory 2018'!C335</f>
        <v>4.9000000000000004</v>
      </c>
      <c r="E338" s="10">
        <v>4.03</v>
      </c>
      <c r="F338" s="10">
        <v>0</v>
      </c>
      <c r="G338" s="10">
        <v>0</v>
      </c>
      <c r="H338" s="10">
        <v>0</v>
      </c>
      <c r="I338" s="10">
        <v>0</v>
      </c>
      <c r="J338" s="103" t="s">
        <v>10</v>
      </c>
      <c r="K338" s="597"/>
      <c r="L338" s="28"/>
    </row>
    <row r="339" spans="1:14" ht="31" x14ac:dyDescent="0.35">
      <c r="A339" s="596">
        <v>182</v>
      </c>
      <c r="B339" s="28" t="s">
        <v>593</v>
      </c>
      <c r="C339" s="691">
        <f t="shared" si="20"/>
        <v>16.57</v>
      </c>
      <c r="D339" s="10">
        <f>'[23]road inventory 2018'!C336</f>
        <v>16</v>
      </c>
      <c r="E339" s="10">
        <v>16.57</v>
      </c>
      <c r="F339" s="10">
        <v>0</v>
      </c>
      <c r="G339" s="10">
        <v>0</v>
      </c>
      <c r="H339" s="10">
        <v>0</v>
      </c>
      <c r="I339" s="10">
        <v>0</v>
      </c>
      <c r="J339" s="28" t="s">
        <v>10</v>
      </c>
      <c r="K339" s="597"/>
      <c r="L339" s="28"/>
    </row>
    <row r="340" spans="1:14" ht="18" customHeight="1" x14ac:dyDescent="0.35">
      <c r="A340" s="596">
        <v>183</v>
      </c>
      <c r="B340" s="28" t="s">
        <v>594</v>
      </c>
      <c r="C340" s="691">
        <f t="shared" si="20"/>
        <v>1.7</v>
      </c>
      <c r="D340" s="10">
        <f>'[23]road inventory 2018'!C337</f>
        <v>1.7</v>
      </c>
      <c r="E340" s="10">
        <v>0</v>
      </c>
      <c r="F340" s="10">
        <v>0</v>
      </c>
      <c r="G340" s="10">
        <v>0</v>
      </c>
      <c r="H340" s="10">
        <v>1.7</v>
      </c>
      <c r="I340" s="10">
        <v>0</v>
      </c>
      <c r="J340" s="28" t="s">
        <v>33</v>
      </c>
      <c r="K340" s="597"/>
      <c r="L340" s="28" t="str">
        <f>L337</f>
        <v>FOR VERIFICATION</v>
      </c>
    </row>
    <row r="341" spans="1:14" s="697" customFormat="1" ht="18" customHeight="1" x14ac:dyDescent="0.35">
      <c r="A341" s="689">
        <v>184</v>
      </c>
      <c r="B341" s="690" t="s">
        <v>595</v>
      </c>
      <c r="C341" s="691">
        <f t="shared" si="20"/>
        <v>12.03</v>
      </c>
      <c r="D341" s="692">
        <f>'[23]road inventory 2018'!C338</f>
        <v>12</v>
      </c>
      <c r="E341" s="691">
        <v>10.01</v>
      </c>
      <c r="F341" s="691">
        <v>0</v>
      </c>
      <c r="G341" s="691">
        <v>0</v>
      </c>
      <c r="H341" s="691">
        <v>2.02</v>
      </c>
      <c r="I341" s="691">
        <v>0</v>
      </c>
      <c r="J341" s="690" t="s">
        <v>10</v>
      </c>
      <c r="K341" s="694"/>
      <c r="L341" s="690"/>
      <c r="M341" s="695"/>
      <c r="N341" s="696"/>
    </row>
    <row r="342" spans="1:14" s="677" customFormat="1" ht="18" customHeight="1" x14ac:dyDescent="0.35">
      <c r="A342" s="699"/>
      <c r="B342" s="108"/>
      <c r="C342" s="700">
        <f>SUM(C329:C341)</f>
        <v>116.49</v>
      </c>
      <c r="D342" s="700">
        <f t="shared" ref="D342:I342" si="21">SUM(D329:D341)</f>
        <v>116.96000000000001</v>
      </c>
      <c r="E342" s="700">
        <f t="shared" si="21"/>
        <v>56.6</v>
      </c>
      <c r="F342" s="700">
        <f t="shared" si="21"/>
        <v>0</v>
      </c>
      <c r="G342" s="700">
        <f t="shared" si="21"/>
        <v>0</v>
      </c>
      <c r="H342" s="700">
        <f t="shared" si="21"/>
        <v>56.470000000000006</v>
      </c>
      <c r="I342" s="700">
        <f t="shared" si="21"/>
        <v>3.42</v>
      </c>
      <c r="J342" s="108"/>
      <c r="K342" s="701"/>
      <c r="L342" s="107"/>
      <c r="M342" s="675"/>
      <c r="N342" s="676"/>
    </row>
    <row r="343" spans="1:14" ht="18" customHeight="1" thickBot="1" x14ac:dyDescent="0.4">
      <c r="A343" s="53" t="s">
        <v>341</v>
      </c>
      <c r="B343" s="34"/>
      <c r="C343" s="31">
        <f>SUM(E343:I343)</f>
        <v>116.49000000000001</v>
      </c>
      <c r="D343" s="630"/>
      <c r="E343" s="31">
        <f>SUM(E329:E341)</f>
        <v>56.6</v>
      </c>
      <c r="F343" s="31">
        <f>SUM(F329:F341)</f>
        <v>0</v>
      </c>
      <c r="G343" s="31">
        <f>SUM(G329:G341)</f>
        <v>0</v>
      </c>
      <c r="H343" s="31">
        <f>SUM(H329:H341)</f>
        <v>56.470000000000006</v>
      </c>
      <c r="I343" s="31">
        <f>SUM(I329:I341)</f>
        <v>3.42</v>
      </c>
      <c r="J343" s="608"/>
      <c r="K343" s="609"/>
      <c r="L343" s="653"/>
      <c r="M343" s="21"/>
      <c r="N343" s="685">
        <f>SUM(E343:I343)</f>
        <v>116.49000000000001</v>
      </c>
    </row>
    <row r="344" spans="1:14" ht="18" customHeight="1" x14ac:dyDescent="0.35">
      <c r="L344" s="28"/>
    </row>
    <row r="345" spans="1:14" s="1" customFormat="1" x14ac:dyDescent="0.35">
      <c r="A345" s="1203" t="s">
        <v>596</v>
      </c>
      <c r="B345" s="1204"/>
      <c r="C345" s="1204"/>
      <c r="D345" s="1204"/>
      <c r="E345" s="1204"/>
      <c r="F345" s="1204"/>
      <c r="G345" s="1204"/>
      <c r="H345" s="1204"/>
      <c r="I345" s="1204"/>
      <c r="J345" s="1204"/>
      <c r="K345" s="1204"/>
      <c r="L345" s="1205"/>
      <c r="M345" s="584"/>
      <c r="N345" s="581"/>
    </row>
    <row r="346" spans="1:14" s="1" customFormat="1" ht="16" thickBot="1" x14ac:dyDescent="0.4">
      <c r="A346" s="585"/>
      <c r="B346" s="2"/>
      <c r="C346" s="5"/>
      <c r="D346" s="586"/>
      <c r="E346" s="5"/>
      <c r="F346" s="5"/>
      <c r="G346" s="5"/>
      <c r="H346" s="5"/>
      <c r="I346" s="5"/>
      <c r="J346" s="3"/>
      <c r="K346" s="21"/>
      <c r="L346" s="653"/>
      <c r="M346" s="21"/>
      <c r="N346" s="581"/>
    </row>
    <row r="347" spans="1:14" s="1" customFormat="1" x14ac:dyDescent="0.35">
      <c r="A347" s="1206" t="s">
        <v>302</v>
      </c>
      <c r="B347" s="1208" t="s">
        <v>28</v>
      </c>
      <c r="C347" s="1210" t="s">
        <v>343</v>
      </c>
      <c r="D347" s="613"/>
      <c r="E347" s="1212" t="s">
        <v>305</v>
      </c>
      <c r="F347" s="1212"/>
      <c r="G347" s="1212"/>
      <c r="H347" s="1212"/>
      <c r="I347" s="1212"/>
      <c r="J347" s="1208" t="s">
        <v>29</v>
      </c>
      <c r="K347" s="1213" t="s">
        <v>306</v>
      </c>
      <c r="L347" s="1215" t="str">
        <f>L327</f>
        <v>REMARKS</v>
      </c>
      <c r="M347" s="588"/>
      <c r="N347" s="581"/>
    </row>
    <row r="348" spans="1:14" s="1" customFormat="1" ht="21" customHeight="1" thickBot="1" x14ac:dyDescent="0.4">
      <c r="A348" s="1207"/>
      <c r="B348" s="1209"/>
      <c r="C348" s="1211"/>
      <c r="D348" s="614"/>
      <c r="E348" s="7" t="s">
        <v>308</v>
      </c>
      <c r="F348" s="7" t="s">
        <v>309</v>
      </c>
      <c r="G348" s="7" t="s">
        <v>310</v>
      </c>
      <c r="H348" s="7" t="s">
        <v>311</v>
      </c>
      <c r="I348" s="7" t="s">
        <v>312</v>
      </c>
      <c r="J348" s="1209"/>
      <c r="K348" s="1214"/>
      <c r="L348" s="1216"/>
      <c r="M348" s="588"/>
      <c r="N348" s="581"/>
    </row>
    <row r="349" spans="1:14" s="16" customFormat="1" ht="18" customHeight="1" x14ac:dyDescent="0.35">
      <c r="A349" s="589">
        <v>187</v>
      </c>
      <c r="B349" s="24" t="s">
        <v>597</v>
      </c>
      <c r="C349" s="15">
        <f t="shared" ref="C349:C356" si="22">SUM(E349:I349)</f>
        <v>0.44600000000000001</v>
      </c>
      <c r="D349" s="702">
        <f>'[23]road inventory 2018'!C345</f>
        <v>0.504</v>
      </c>
      <c r="E349" s="15">
        <v>0.44600000000000001</v>
      </c>
      <c r="F349" s="15">
        <v>0</v>
      </c>
      <c r="G349" s="15">
        <v>0</v>
      </c>
      <c r="H349" s="15">
        <v>0</v>
      </c>
      <c r="I349" s="15">
        <v>0</v>
      </c>
      <c r="J349" s="24" t="str">
        <f>J340</f>
        <v>Poor</v>
      </c>
      <c r="K349" s="591"/>
      <c r="L349" s="24"/>
      <c r="M349" s="593"/>
      <c r="N349" s="598"/>
    </row>
    <row r="350" spans="1:14" s="16" customFormat="1" ht="18" customHeight="1" x14ac:dyDescent="0.35">
      <c r="A350" s="589">
        <v>188</v>
      </c>
      <c r="B350" s="24" t="s">
        <v>598</v>
      </c>
      <c r="C350" s="15">
        <f t="shared" si="22"/>
        <v>0.158</v>
      </c>
      <c r="D350" s="702">
        <f>'[23]road inventory 2018'!C346</f>
        <v>0.158</v>
      </c>
      <c r="E350" s="15">
        <v>0.158</v>
      </c>
      <c r="F350" s="15">
        <v>0</v>
      </c>
      <c r="G350" s="15">
        <v>0</v>
      </c>
      <c r="H350" s="15">
        <v>0</v>
      </c>
      <c r="I350" s="15">
        <v>0</v>
      </c>
      <c r="J350" s="24" t="str">
        <f>J340</f>
        <v>Poor</v>
      </c>
      <c r="K350" s="591"/>
      <c r="L350" s="24"/>
      <c r="M350" s="593"/>
      <c r="N350" s="598"/>
    </row>
    <row r="351" spans="1:14" s="16" customFormat="1" ht="18" customHeight="1" x14ac:dyDescent="0.35">
      <c r="A351" s="589">
        <v>189</v>
      </c>
      <c r="B351" s="24" t="s">
        <v>599</v>
      </c>
      <c r="C351" s="15">
        <f t="shared" si="22"/>
        <v>0.998</v>
      </c>
      <c r="D351" s="702">
        <f>'[23]road inventory 2018'!C347</f>
        <v>0.74199999999999999</v>
      </c>
      <c r="E351" s="15">
        <v>0.998</v>
      </c>
      <c r="F351" s="15">
        <v>0</v>
      </c>
      <c r="G351" s="15">
        <v>0</v>
      </c>
      <c r="H351" s="15">
        <v>0</v>
      </c>
      <c r="I351" s="15">
        <v>0</v>
      </c>
      <c r="J351" s="24" t="s">
        <v>12</v>
      </c>
      <c r="K351" s="591"/>
      <c r="L351" s="24"/>
      <c r="M351" s="593"/>
      <c r="N351" s="598"/>
    </row>
    <row r="352" spans="1:14" s="677" customFormat="1" ht="31" x14ac:dyDescent="0.35">
      <c r="A352" s="669">
        <v>185</v>
      </c>
      <c r="B352" s="107" t="s">
        <v>840</v>
      </c>
      <c r="C352" s="15">
        <f t="shared" si="22"/>
        <v>12.03</v>
      </c>
      <c r="D352" s="702">
        <f>'[23]road inventory 2018'!C348</f>
        <v>10.9</v>
      </c>
      <c r="E352" s="670">
        <v>10.01</v>
      </c>
      <c r="F352" s="670">
        <v>0</v>
      </c>
      <c r="G352" s="670">
        <v>0</v>
      </c>
      <c r="H352" s="670">
        <v>2.02</v>
      </c>
      <c r="I352" s="670">
        <v>0</v>
      </c>
      <c r="J352" s="107" t="s">
        <v>10</v>
      </c>
      <c r="K352" s="674"/>
      <c r="L352" s="107"/>
      <c r="M352" s="675"/>
      <c r="N352" s="676"/>
    </row>
    <row r="353" spans="1:14" ht="18" customHeight="1" x14ac:dyDescent="0.35">
      <c r="A353" s="596">
        <v>186</v>
      </c>
      <c r="B353" s="28" t="s">
        <v>601</v>
      </c>
      <c r="C353" s="15">
        <f t="shared" si="22"/>
        <v>10.75</v>
      </c>
      <c r="D353" s="103">
        <f>'[23]road inventory 2018'!C349</f>
        <v>10.5</v>
      </c>
      <c r="E353" s="10">
        <v>0</v>
      </c>
      <c r="F353" s="10">
        <v>0</v>
      </c>
      <c r="G353" s="10">
        <v>0</v>
      </c>
      <c r="H353" s="10">
        <v>10.75</v>
      </c>
      <c r="I353" s="10">
        <v>0</v>
      </c>
      <c r="J353" s="28" t="s">
        <v>33</v>
      </c>
      <c r="K353" s="597"/>
      <c r="L353" s="28" t="str">
        <f>L340</f>
        <v>FOR VERIFICATION</v>
      </c>
    </row>
    <row r="354" spans="1:14" ht="18" customHeight="1" x14ac:dyDescent="0.35">
      <c r="A354" s="596">
        <v>190</v>
      </c>
      <c r="B354" s="28" t="s">
        <v>602</v>
      </c>
      <c r="C354" s="15">
        <f t="shared" si="22"/>
        <v>17.5</v>
      </c>
      <c r="D354" s="103">
        <f>'[23]road inventory 2018'!C350</f>
        <v>17.5</v>
      </c>
      <c r="E354" s="10">
        <v>0</v>
      </c>
      <c r="F354" s="10">
        <v>0</v>
      </c>
      <c r="G354" s="10">
        <v>0</v>
      </c>
      <c r="H354" s="10">
        <v>17.5</v>
      </c>
      <c r="I354" s="10">
        <v>0</v>
      </c>
      <c r="J354" s="28" t="s">
        <v>12</v>
      </c>
      <c r="K354" s="597"/>
      <c r="L354" s="28" t="str">
        <f>L353</f>
        <v>FOR VERIFICATION</v>
      </c>
    </row>
    <row r="355" spans="1:14" ht="18" customHeight="1" x14ac:dyDescent="0.35">
      <c r="A355" s="596">
        <v>191</v>
      </c>
      <c r="B355" s="28" t="s">
        <v>603</v>
      </c>
      <c r="C355" s="15">
        <f t="shared" si="22"/>
        <v>3.5</v>
      </c>
      <c r="D355" s="103">
        <f>'[23]road inventory 2018'!C351</f>
        <v>3.5</v>
      </c>
      <c r="E355" s="10">
        <v>0</v>
      </c>
      <c r="F355" s="10">
        <v>0</v>
      </c>
      <c r="G355" s="10">
        <v>0</v>
      </c>
      <c r="H355" s="10">
        <v>3.5</v>
      </c>
      <c r="I355" s="10">
        <v>0</v>
      </c>
      <c r="J355" s="28" t="s">
        <v>12</v>
      </c>
      <c r="K355" s="597"/>
      <c r="L355" s="28" t="str">
        <f>L354</f>
        <v>FOR VERIFICATION</v>
      </c>
    </row>
    <row r="356" spans="1:14" ht="18" customHeight="1" x14ac:dyDescent="0.35">
      <c r="A356" s="596">
        <v>230</v>
      </c>
      <c r="B356" s="28" t="s">
        <v>604</v>
      </c>
      <c r="C356" s="15">
        <f t="shared" si="22"/>
        <v>1.58</v>
      </c>
      <c r="D356" s="103">
        <f>'[23]road inventory 2018'!C352</f>
        <v>1.58</v>
      </c>
      <c r="E356" s="10">
        <v>0</v>
      </c>
      <c r="F356" s="10">
        <v>0</v>
      </c>
      <c r="G356" s="10">
        <v>0</v>
      </c>
      <c r="H356" s="10">
        <v>1.58</v>
      </c>
      <c r="I356" s="10">
        <v>0</v>
      </c>
      <c r="J356" s="28" t="s">
        <v>41</v>
      </c>
      <c r="K356" s="597"/>
      <c r="L356" s="28" t="str">
        <f>L354</f>
        <v>FOR VERIFICATION</v>
      </c>
    </row>
    <row r="357" spans="1:14" ht="18" customHeight="1" x14ac:dyDescent="0.35">
      <c r="A357" s="635"/>
      <c r="B357" s="40"/>
      <c r="C357" s="703">
        <f>SUM(C349:C356)</f>
        <v>46.961999999999996</v>
      </c>
      <c r="D357" s="703">
        <f t="shared" ref="D357:I357" si="23">SUM(D349:D356)</f>
        <v>45.384</v>
      </c>
      <c r="E357" s="703">
        <f t="shared" si="23"/>
        <v>11.612</v>
      </c>
      <c r="F357" s="703">
        <f t="shared" si="23"/>
        <v>0</v>
      </c>
      <c r="G357" s="703">
        <f t="shared" si="23"/>
        <v>0</v>
      </c>
      <c r="H357" s="703">
        <f t="shared" si="23"/>
        <v>35.349999999999994</v>
      </c>
      <c r="I357" s="703">
        <f t="shared" si="23"/>
        <v>0</v>
      </c>
      <c r="J357" s="40"/>
      <c r="K357" s="605"/>
      <c r="L357" s="28"/>
    </row>
    <row r="358" spans="1:14" ht="18" customHeight="1" thickBot="1" x14ac:dyDescent="0.4">
      <c r="A358" s="53" t="s">
        <v>341</v>
      </c>
      <c r="B358" s="34"/>
      <c r="C358" s="31">
        <f>SUM(E358:I358)</f>
        <v>46.961999999999996</v>
      </c>
      <c r="D358" s="630">
        <f t="shared" ref="D358:I358" si="24">SUM(D349:D356)</f>
        <v>45.384</v>
      </c>
      <c r="E358" s="31">
        <f t="shared" si="24"/>
        <v>11.612</v>
      </c>
      <c r="F358" s="31">
        <f t="shared" si="24"/>
        <v>0</v>
      </c>
      <c r="G358" s="31">
        <f t="shared" si="24"/>
        <v>0</v>
      </c>
      <c r="H358" s="31">
        <f t="shared" si="24"/>
        <v>35.349999999999994</v>
      </c>
      <c r="I358" s="31">
        <f t="shared" si="24"/>
        <v>0</v>
      </c>
      <c r="J358" s="608"/>
      <c r="K358" s="609"/>
      <c r="L358" s="653"/>
      <c r="M358" s="21"/>
      <c r="N358" s="685">
        <f>SUM(E358:I358)</f>
        <v>46.961999999999996</v>
      </c>
    </row>
    <row r="359" spans="1:14" ht="18" customHeight="1" x14ac:dyDescent="0.35">
      <c r="L359" s="28"/>
    </row>
    <row r="360" spans="1:14" s="1" customFormat="1" x14ac:dyDescent="0.35">
      <c r="A360" s="1203" t="s">
        <v>605</v>
      </c>
      <c r="B360" s="1204"/>
      <c r="C360" s="1204"/>
      <c r="D360" s="1204"/>
      <c r="E360" s="1204"/>
      <c r="F360" s="1204"/>
      <c r="G360" s="1204"/>
      <c r="H360" s="1204"/>
      <c r="I360" s="1204"/>
      <c r="J360" s="1204"/>
      <c r="K360" s="1204"/>
      <c r="L360" s="1205"/>
      <c r="M360" s="584"/>
      <c r="N360" s="581"/>
    </row>
    <row r="361" spans="1:14" s="1" customFormat="1" ht="16" thickBot="1" x14ac:dyDescent="0.4">
      <c r="A361" s="585"/>
      <c r="B361" s="2"/>
      <c r="C361" s="5"/>
      <c r="D361" s="586"/>
      <c r="E361" s="5"/>
      <c r="F361" s="5"/>
      <c r="G361" s="5"/>
      <c r="H361" s="5"/>
      <c r="I361" s="5"/>
      <c r="J361" s="3"/>
      <c r="K361" s="21"/>
      <c r="L361" s="653"/>
      <c r="M361" s="21"/>
      <c r="N361" s="581"/>
    </row>
    <row r="362" spans="1:14" s="1" customFormat="1" x14ac:dyDescent="0.35">
      <c r="A362" s="1206" t="s">
        <v>302</v>
      </c>
      <c r="B362" s="1208" t="s">
        <v>28</v>
      </c>
      <c r="C362" s="1210" t="s">
        <v>343</v>
      </c>
      <c r="D362" s="613"/>
      <c r="E362" s="1212" t="s">
        <v>305</v>
      </c>
      <c r="F362" s="1212"/>
      <c r="G362" s="1212"/>
      <c r="H362" s="1212"/>
      <c r="I362" s="1212"/>
      <c r="J362" s="1208" t="s">
        <v>29</v>
      </c>
      <c r="K362" s="1213" t="s">
        <v>306</v>
      </c>
      <c r="L362" s="1215" t="str">
        <f>L347</f>
        <v>REMARKS</v>
      </c>
      <c r="M362" s="588"/>
      <c r="N362" s="581"/>
    </row>
    <row r="363" spans="1:14" s="1" customFormat="1" ht="21" customHeight="1" thickBot="1" x14ac:dyDescent="0.4">
      <c r="A363" s="1207"/>
      <c r="B363" s="1209"/>
      <c r="C363" s="1211"/>
      <c r="D363" s="614"/>
      <c r="E363" s="7" t="s">
        <v>308</v>
      </c>
      <c r="F363" s="7" t="s">
        <v>309</v>
      </c>
      <c r="G363" s="7" t="s">
        <v>310</v>
      </c>
      <c r="H363" s="7" t="s">
        <v>311</v>
      </c>
      <c r="I363" s="7" t="s">
        <v>312</v>
      </c>
      <c r="J363" s="1209"/>
      <c r="K363" s="1214"/>
      <c r="L363" s="1216"/>
      <c r="M363" s="588"/>
      <c r="N363" s="581"/>
    </row>
    <row r="364" spans="1:14" s="667" customFormat="1" x14ac:dyDescent="0.35">
      <c r="A364" s="618">
        <v>192</v>
      </c>
      <c r="B364" s="619" t="s">
        <v>606</v>
      </c>
      <c r="C364" s="704">
        <f>SUM(E364:I364)</f>
        <v>13.02</v>
      </c>
      <c r="D364" s="705">
        <f>'[23]road inventory 2018'!C359</f>
        <v>17</v>
      </c>
      <c r="E364" s="620">
        <v>10.754</v>
      </c>
      <c r="F364" s="620">
        <v>0</v>
      </c>
      <c r="G364" s="620">
        <v>0</v>
      </c>
      <c r="H364" s="620">
        <v>2.266</v>
      </c>
      <c r="I364" s="620">
        <v>0</v>
      </c>
      <c r="J364" s="619" t="s">
        <v>12</v>
      </c>
      <c r="K364" s="622"/>
      <c r="L364" s="619"/>
      <c r="M364" s="623"/>
      <c r="N364" s="666"/>
    </row>
    <row r="365" spans="1:14" s="16" customFormat="1" ht="31" x14ac:dyDescent="0.35">
      <c r="A365" s="589">
        <v>193</v>
      </c>
      <c r="B365" s="24" t="s">
        <v>607</v>
      </c>
      <c r="C365" s="73">
        <f>SUM(E365:I365)</f>
        <v>1.53</v>
      </c>
      <c r="D365" s="706">
        <f>'[23]road inventory 2018'!C360</f>
        <v>1.8</v>
      </c>
      <c r="E365" s="15">
        <v>1.53</v>
      </c>
      <c r="F365" s="15">
        <v>0</v>
      </c>
      <c r="G365" s="15">
        <v>0</v>
      </c>
      <c r="H365" s="15">
        <v>0</v>
      </c>
      <c r="I365" s="15">
        <v>0</v>
      </c>
      <c r="J365" s="24" t="s">
        <v>12</v>
      </c>
      <c r="K365" s="591"/>
      <c r="L365" s="24"/>
      <c r="M365" s="593"/>
      <c r="N365" s="598"/>
    </row>
    <row r="366" spans="1:14" s="16" customFormat="1" ht="31.5" thickBot="1" x14ac:dyDescent="0.4">
      <c r="A366" s="649">
        <v>194</v>
      </c>
      <c r="B366" s="64" t="s">
        <v>608</v>
      </c>
      <c r="C366" s="73">
        <f>SUM(E366:I366)</f>
        <v>5.12</v>
      </c>
      <c r="D366" s="707">
        <f>'[23]road inventory 2018'!C361</f>
        <v>5.3</v>
      </c>
      <c r="E366" s="65">
        <v>4.12</v>
      </c>
      <c r="F366" s="65">
        <v>0</v>
      </c>
      <c r="G366" s="65">
        <v>0</v>
      </c>
      <c r="H366" s="65">
        <v>1</v>
      </c>
      <c r="I366" s="65">
        <v>0</v>
      </c>
      <c r="J366" s="64" t="s">
        <v>12</v>
      </c>
      <c r="K366" s="652"/>
      <c r="L366" s="24"/>
      <c r="M366" s="593"/>
      <c r="N366" s="598"/>
    </row>
    <row r="367" spans="1:14" s="16" customFormat="1" ht="31" x14ac:dyDescent="0.35">
      <c r="A367" s="589">
        <v>195</v>
      </c>
      <c r="B367" s="24" t="s">
        <v>609</v>
      </c>
      <c r="C367" s="73">
        <f>SUM(E367:I367)</f>
        <v>5.01</v>
      </c>
      <c r="D367" s="706">
        <f>'[23]road inventory 2018'!C365</f>
        <v>3.9000000000000004</v>
      </c>
      <c r="E367" s="15">
        <v>1.06</v>
      </c>
      <c r="F367" s="15">
        <v>0</v>
      </c>
      <c r="G367" s="15">
        <v>0</v>
      </c>
      <c r="H367" s="15">
        <v>3.95</v>
      </c>
      <c r="I367" s="15">
        <v>0</v>
      </c>
      <c r="J367" s="24" t="s">
        <v>12</v>
      </c>
      <c r="K367" s="591"/>
      <c r="L367" s="24"/>
      <c r="M367" s="593"/>
      <c r="N367" s="598"/>
    </row>
    <row r="368" spans="1:14" s="16" customFormat="1" x14ac:dyDescent="0.35">
      <c r="A368" s="626"/>
      <c r="B368" s="60"/>
      <c r="C368" s="75">
        <f t="shared" ref="C368:I368" si="25">SUM(C364:C367)</f>
        <v>24.68</v>
      </c>
      <c r="D368" s="75">
        <f t="shared" si="25"/>
        <v>28</v>
      </c>
      <c r="E368" s="75">
        <f t="shared" si="25"/>
        <v>17.463999999999999</v>
      </c>
      <c r="F368" s="75">
        <f t="shared" si="25"/>
        <v>0</v>
      </c>
      <c r="G368" s="75">
        <f t="shared" si="25"/>
        <v>0</v>
      </c>
      <c r="H368" s="75">
        <f t="shared" si="25"/>
        <v>7.2160000000000002</v>
      </c>
      <c r="I368" s="75">
        <f t="shared" si="25"/>
        <v>0</v>
      </c>
      <c r="J368" s="60"/>
      <c r="K368" s="629"/>
      <c r="L368" s="24"/>
      <c r="M368" s="593"/>
      <c r="N368" s="598"/>
    </row>
    <row r="369" spans="1:14" ht="18" customHeight="1" thickBot="1" x14ac:dyDescent="0.4">
      <c r="A369" s="53" t="s">
        <v>341</v>
      </c>
      <c r="B369" s="34"/>
      <c r="C369" s="31">
        <f>SUM(E369:I369)</f>
        <v>24.68</v>
      </c>
      <c r="D369" s="630">
        <f t="shared" ref="D369:I369" si="26">SUM(D364:D367)</f>
        <v>28</v>
      </c>
      <c r="E369" s="31">
        <f t="shared" si="26"/>
        <v>17.463999999999999</v>
      </c>
      <c r="F369" s="31">
        <f t="shared" si="26"/>
        <v>0</v>
      </c>
      <c r="G369" s="31">
        <f t="shared" si="26"/>
        <v>0</v>
      </c>
      <c r="H369" s="31">
        <f t="shared" si="26"/>
        <v>7.2160000000000002</v>
      </c>
      <c r="I369" s="31">
        <f t="shared" si="26"/>
        <v>0</v>
      </c>
      <c r="J369" s="608"/>
      <c r="K369" s="609"/>
      <c r="L369" s="653"/>
      <c r="M369" s="21"/>
    </row>
    <row r="370" spans="1:14" ht="18" customHeight="1" x14ac:dyDescent="0.35">
      <c r="A370" s="544"/>
      <c r="B370" s="35"/>
      <c r="C370" s="22"/>
      <c r="D370" s="610"/>
      <c r="E370" s="22"/>
      <c r="F370" s="22"/>
      <c r="G370" s="22"/>
      <c r="H370" s="22"/>
      <c r="I370" s="22"/>
      <c r="J370" s="1"/>
      <c r="K370" s="21"/>
      <c r="L370" s="653"/>
      <c r="M370" s="21"/>
      <c r="N370" s="685">
        <f>SUM(E369:I369)</f>
        <v>24.68</v>
      </c>
    </row>
    <row r="371" spans="1:14" s="1" customFormat="1" x14ac:dyDescent="0.35">
      <c r="A371" s="1203" t="s">
        <v>610</v>
      </c>
      <c r="B371" s="1204"/>
      <c r="C371" s="1204"/>
      <c r="D371" s="1204"/>
      <c r="E371" s="1204"/>
      <c r="F371" s="1204"/>
      <c r="G371" s="1204"/>
      <c r="H371" s="1204"/>
      <c r="I371" s="1204"/>
      <c r="J371" s="1204"/>
      <c r="K371" s="1204"/>
      <c r="L371" s="1205"/>
      <c r="M371" s="584"/>
      <c r="N371" s="581"/>
    </row>
    <row r="372" spans="1:14" s="1" customFormat="1" ht="16" thickBot="1" x14ac:dyDescent="0.4">
      <c r="A372" s="585"/>
      <c r="B372" s="2"/>
      <c r="C372" s="5"/>
      <c r="D372" s="586"/>
      <c r="E372" s="5"/>
      <c r="F372" s="5"/>
      <c r="G372" s="5"/>
      <c r="H372" s="5"/>
      <c r="I372" s="5"/>
      <c r="J372" s="3"/>
      <c r="K372" s="21"/>
      <c r="L372" s="653"/>
      <c r="M372" s="21"/>
      <c r="N372" s="581"/>
    </row>
    <row r="373" spans="1:14" s="1" customFormat="1" x14ac:dyDescent="0.35">
      <c r="A373" s="1206" t="s">
        <v>302</v>
      </c>
      <c r="B373" s="1208" t="s">
        <v>28</v>
      </c>
      <c r="C373" s="1210" t="s">
        <v>343</v>
      </c>
      <c r="D373" s="613"/>
      <c r="E373" s="1212" t="s">
        <v>305</v>
      </c>
      <c r="F373" s="1212"/>
      <c r="G373" s="1212"/>
      <c r="H373" s="1212"/>
      <c r="I373" s="1212"/>
      <c r="J373" s="1208" t="s">
        <v>29</v>
      </c>
      <c r="K373" s="1213" t="s">
        <v>306</v>
      </c>
      <c r="L373" s="1215" t="str">
        <f>L362</f>
        <v>REMARKS</v>
      </c>
      <c r="M373" s="588"/>
      <c r="N373" s="581"/>
    </row>
    <row r="374" spans="1:14" s="1" customFormat="1" ht="21" customHeight="1" thickBot="1" x14ac:dyDescent="0.4">
      <c r="A374" s="1207"/>
      <c r="B374" s="1209"/>
      <c r="C374" s="1211"/>
      <c r="D374" s="614"/>
      <c r="E374" s="7" t="s">
        <v>308</v>
      </c>
      <c r="F374" s="7" t="s">
        <v>309</v>
      </c>
      <c r="G374" s="7" t="s">
        <v>310</v>
      </c>
      <c r="H374" s="7" t="s">
        <v>311</v>
      </c>
      <c r="I374" s="7" t="s">
        <v>312</v>
      </c>
      <c r="J374" s="1209"/>
      <c r="K374" s="1214"/>
      <c r="L374" s="1216"/>
      <c r="M374" s="588"/>
      <c r="N374" s="581"/>
    </row>
    <row r="375" spans="1:14" ht="18" customHeight="1" x14ac:dyDescent="0.35">
      <c r="A375" s="596">
        <v>171</v>
      </c>
      <c r="B375" s="28" t="s">
        <v>611</v>
      </c>
      <c r="C375" s="10">
        <f>SUM(E375:H375)</f>
        <v>8.7409999999999997</v>
      </c>
      <c r="D375" s="10"/>
      <c r="E375" s="10">
        <v>1.18</v>
      </c>
      <c r="F375" s="10">
        <v>0</v>
      </c>
      <c r="G375" s="10">
        <v>0</v>
      </c>
      <c r="H375" s="10">
        <v>7.5609999999999999</v>
      </c>
      <c r="I375" s="10">
        <v>0</v>
      </c>
      <c r="J375" s="103" t="s">
        <v>12</v>
      </c>
      <c r="K375" s="597"/>
      <c r="L375" s="28" t="str">
        <f>L356</f>
        <v>FOR VERIFICATION</v>
      </c>
    </row>
    <row r="376" spans="1:14" ht="18" customHeight="1" x14ac:dyDescent="0.35">
      <c r="A376" s="596"/>
      <c r="B376" s="28"/>
      <c r="C376" s="10"/>
      <c r="D376" s="615"/>
      <c r="E376" s="10"/>
      <c r="F376" s="10"/>
      <c r="G376" s="10"/>
      <c r="H376" s="10"/>
      <c r="I376" s="10"/>
      <c r="J376" s="102"/>
      <c r="K376" s="659"/>
      <c r="L376" s="653"/>
      <c r="M376" s="21"/>
    </row>
    <row r="377" spans="1:14" x14ac:dyDescent="0.35">
      <c r="A377" s="658" t="s">
        <v>341</v>
      </c>
      <c r="B377" s="81"/>
      <c r="C377" s="82">
        <f t="shared" ref="C377:I377" si="27">+C375</f>
        <v>8.7409999999999997</v>
      </c>
      <c r="D377" s="708"/>
      <c r="E377" s="82">
        <f t="shared" si="27"/>
        <v>1.18</v>
      </c>
      <c r="F377" s="82">
        <f t="shared" si="27"/>
        <v>0</v>
      </c>
      <c r="G377" s="82">
        <f t="shared" si="27"/>
        <v>0</v>
      </c>
      <c r="H377" s="82">
        <f t="shared" si="27"/>
        <v>7.5609999999999999</v>
      </c>
      <c r="I377" s="82">
        <f t="shared" si="27"/>
        <v>0</v>
      </c>
      <c r="J377" s="102"/>
      <c r="K377" s="659"/>
      <c r="L377" s="653"/>
      <c r="M377" s="21"/>
    </row>
    <row r="378" spans="1:14" ht="18" customHeight="1" x14ac:dyDescent="0.35">
      <c r="A378" s="596"/>
      <c r="B378" s="84"/>
      <c r="C378" s="11"/>
      <c r="D378" s="656"/>
      <c r="E378" s="11"/>
      <c r="F378" s="11"/>
      <c r="G378" s="11"/>
      <c r="H378" s="11"/>
      <c r="I378" s="11"/>
      <c r="J378" s="102"/>
      <c r="K378" s="709"/>
      <c r="L378" s="653"/>
      <c r="M378" s="21"/>
    </row>
    <row r="379" spans="1:14" ht="18" customHeight="1" thickBot="1" x14ac:dyDescent="0.4">
      <c r="A379" s="1199" t="s">
        <v>612</v>
      </c>
      <c r="B379" s="1200"/>
      <c r="C379" s="19">
        <f>C377+C369+C358+C343+C323+C314+C296+C281+C263+C242+C230+C215+C200</f>
        <v>749.404</v>
      </c>
      <c r="D379" s="607"/>
      <c r="E379" s="19">
        <f>+E377+E369+E358+E343+E323+E314+E296+E281+E263+E242+E230+E215+E200</f>
        <v>282.64199999999994</v>
      </c>
      <c r="F379" s="19">
        <f>+F377+F369+F358+F343+F323+F314+F296+F281+F263+F242+F230+F215+F200</f>
        <v>4.74</v>
      </c>
      <c r="G379" s="19">
        <f>+G377+G369+G358+G343+G323+G314+G296+G281+G263+G242+G230+G215+G200</f>
        <v>1.83</v>
      </c>
      <c r="H379" s="19">
        <f>+H377+H369+H358+H343+H323+H314+H296+H281+H263+H242+H230+H215+H200</f>
        <v>454.91699999999992</v>
      </c>
      <c r="I379" s="19">
        <f>+I377+I369+I358+I343+I323+I314+I296+I281+I263+I242+I230+I215+I200</f>
        <v>5.43</v>
      </c>
      <c r="J379" s="608"/>
      <c r="K379" s="710"/>
      <c r="L379" s="653"/>
      <c r="M379" s="21"/>
    </row>
    <row r="380" spans="1:14" ht="16" thickBot="1" x14ac:dyDescent="0.4">
      <c r="A380" s="1201" t="s">
        <v>204</v>
      </c>
      <c r="B380" s="1202"/>
      <c r="C380" s="87">
        <f>C379+C176</f>
        <v>1225.7539999999999</v>
      </c>
      <c r="D380" s="711"/>
      <c r="E380" s="87">
        <f>+E379+E176</f>
        <v>453.76899999999995</v>
      </c>
      <c r="F380" s="87">
        <f>+F379+F176</f>
        <v>4.74</v>
      </c>
      <c r="G380" s="87">
        <f>+G379+G176</f>
        <v>6.36</v>
      </c>
      <c r="H380" s="87">
        <f>+H379+H176</f>
        <v>755.6099999999999</v>
      </c>
      <c r="I380" s="87">
        <f>+I379+I176</f>
        <v>5.43</v>
      </c>
      <c r="J380" s="712"/>
      <c r="K380" s="713"/>
      <c r="L380" s="714"/>
      <c r="M380" s="715"/>
    </row>
    <row r="381" spans="1:14" ht="15" customHeight="1" x14ac:dyDescent="0.35">
      <c r="A381" s="716"/>
      <c r="B381" s="716"/>
      <c r="C381" s="22"/>
      <c r="D381" s="610"/>
      <c r="E381" s="22"/>
      <c r="F381" s="22"/>
      <c r="G381" s="22"/>
      <c r="H381" s="22"/>
      <c r="I381" s="22"/>
      <c r="J381" s="1"/>
      <c r="K381" s="21"/>
      <c r="L381" s="21"/>
      <c r="M381" s="21"/>
    </row>
    <row r="382" spans="1:14" ht="15" customHeight="1" x14ac:dyDescent="0.35">
      <c r="A382" s="3"/>
      <c r="B382" s="716" t="s">
        <v>841</v>
      </c>
      <c r="C382" s="22">
        <f>SUM(E380:I380)</f>
        <v>1225.9089999999999</v>
      </c>
      <c r="D382" s="610"/>
      <c r="E382" s="22"/>
      <c r="F382" s="22"/>
      <c r="G382" s="22"/>
      <c r="H382" s="22"/>
      <c r="I382" s="22"/>
      <c r="J382" s="1"/>
      <c r="K382" s="21"/>
      <c r="L382" s="21"/>
      <c r="M382" s="21"/>
    </row>
    <row r="383" spans="1:14" ht="15" customHeight="1" x14ac:dyDescent="0.35">
      <c r="A383" s="3"/>
      <c r="B383" s="716"/>
      <c r="C383" s="22"/>
      <c r="D383" s="610"/>
      <c r="E383" s="22"/>
      <c r="F383" s="22"/>
      <c r="G383" s="22"/>
      <c r="H383" s="22"/>
      <c r="I383" s="22"/>
      <c r="J383" s="1"/>
      <c r="K383" s="21"/>
      <c r="L383" s="21"/>
      <c r="M383" s="21"/>
    </row>
    <row r="384" spans="1:14" ht="15" customHeight="1" x14ac:dyDescent="0.35">
      <c r="A384" s="3"/>
      <c r="B384" s="716"/>
      <c r="C384" s="22"/>
      <c r="D384" s="610"/>
      <c r="E384" s="22"/>
      <c r="F384" s="22"/>
      <c r="G384" s="22"/>
      <c r="H384" s="22"/>
      <c r="I384" s="22"/>
      <c r="J384" s="1"/>
      <c r="K384" s="21"/>
      <c r="L384" s="21"/>
      <c r="M384" s="21"/>
    </row>
    <row r="385" spans="1:14" ht="15" customHeight="1" x14ac:dyDescent="0.35">
      <c r="A385" s="3"/>
      <c r="B385" s="717" t="s">
        <v>154</v>
      </c>
      <c r="C385" s="22"/>
      <c r="D385" s="610"/>
      <c r="E385" s="22"/>
      <c r="F385" s="22"/>
      <c r="G385" s="22"/>
      <c r="H385" s="22"/>
      <c r="I385" s="22"/>
      <c r="J385" s="1"/>
      <c r="K385" s="21"/>
      <c r="L385" s="21"/>
      <c r="M385" s="21"/>
    </row>
    <row r="386" spans="1:14" ht="15" customHeight="1" x14ac:dyDescent="0.35">
      <c r="A386" s="3"/>
      <c r="B386" s="583" t="s">
        <v>155</v>
      </c>
      <c r="C386" s="22"/>
      <c r="D386" s="610"/>
      <c r="E386" s="22"/>
      <c r="F386" s="22"/>
      <c r="G386" s="22"/>
      <c r="H386" s="22"/>
      <c r="I386" s="22"/>
      <c r="J386" s="1"/>
      <c r="K386" s="21"/>
      <c r="L386" s="21"/>
      <c r="M386" s="21"/>
    </row>
    <row r="387" spans="1:14" ht="15" customHeight="1" x14ac:dyDescent="0.35">
      <c r="A387" s="3"/>
      <c r="B387" s="583" t="s">
        <v>842</v>
      </c>
      <c r="C387" s="22"/>
      <c r="D387" s="610"/>
      <c r="E387" s="22"/>
      <c r="F387" s="22"/>
      <c r="G387" s="22"/>
      <c r="H387" s="22"/>
      <c r="I387" s="22"/>
      <c r="J387" s="1"/>
      <c r="K387" s="21"/>
      <c r="L387" s="21"/>
      <c r="M387" s="21"/>
    </row>
    <row r="388" spans="1:14" ht="38.25" customHeight="1" thickBot="1" x14ac:dyDescent="0.4">
      <c r="A388" s="718"/>
      <c r="B388" s="718"/>
      <c r="C388" s="719"/>
      <c r="D388" s="720"/>
      <c r="E388" s="719"/>
      <c r="F388" s="719"/>
      <c r="G388" s="719"/>
      <c r="H388" s="719"/>
      <c r="I388" s="719"/>
      <c r="J388" s="721"/>
      <c r="K388" s="715"/>
      <c r="L388" s="715"/>
      <c r="M388" s="715"/>
    </row>
    <row r="389" spans="1:14" x14ac:dyDescent="0.35">
      <c r="B389" s="722" t="s">
        <v>10</v>
      </c>
      <c r="C389" s="723">
        <f>C12+C15+C17+C18+C19+C20+C21+C22+C27+C41+C44+C48+C50+C51+C52+C76+C98+C99+C100+C102+C117+C118+C123+C125+C126+C143+C151+C152+C153+C172+C182+C183+C189+C192+C206+C207+C209+C226+C228+C252+C255+C290+C293+C303+C304+C305+C306+C312+C329+C333+C338+C339+C341+C352+C161</f>
        <v>287.04999999999995</v>
      </c>
      <c r="D389" s="724">
        <v>285.47999999999996</v>
      </c>
      <c r="E389" s="725"/>
      <c r="F389" s="726"/>
      <c r="G389" s="727"/>
    </row>
    <row r="390" spans="1:14" x14ac:dyDescent="0.35">
      <c r="B390" s="728" t="s">
        <v>12</v>
      </c>
      <c r="C390" s="729">
        <f>C10+C11+C13+C16+C23+C24+C29+C30+C31+C32+C42+C43+C45+C46+C47+C49+C55+C56+C57+C58+C59+C60+C61+C64+C67+C74+C75+C77+C78+C79+C80+C88+C96+C101+C104+C112+C113+C114+C115+C116+C119+C120+C124+C127+C128+C129+C130+C131+C132+C133+C136+C137+C138+C139++C140+C142+C159+C173+C186+C188+C190+C193+C194+C195+C196+C197+C198+C210+C212+C213+C221+C222+C223+C224+C227+C239+C237+C248+C249+C250+C251+C256+C257+C260+C261+C270+C275+C276+C287+C288+C291+C292+C311+C320+C321+C331+C332+C334+C337+C351+C354+C355+C364+C365+C366+C367+C375</f>
        <v>628.66899999999987</v>
      </c>
      <c r="D390" s="724">
        <v>595.79900000000009</v>
      </c>
      <c r="E390" s="730">
        <f>C389+C390</f>
        <v>915.71899999999982</v>
      </c>
      <c r="F390" s="731">
        <f>'[26]GOOD TO FAIR'!C315</f>
        <v>918.02600000000007</v>
      </c>
      <c r="G390" s="729">
        <f>F390-E390</f>
        <v>2.3070000000002437</v>
      </c>
      <c r="H390" s="38"/>
    </row>
    <row r="391" spans="1:14" x14ac:dyDescent="0.35">
      <c r="B391" s="728" t="s">
        <v>33</v>
      </c>
      <c r="C391" s="729">
        <f>C14+C25+C26+C28+C54+C62+C63+C95+C97+C103+C121+C122+C134+C135+C141+C157+C158+C164+C184+C185+C187+C208+C211+C238+C240+C254+C258+C259+C269+C271+C272+C273+C274+C277+C278+C289+C294+C302+C307+C308+C309+C310+C330+C335+C336+C340+C349+C350+C353</f>
        <v>252.27399999999992</v>
      </c>
      <c r="D391" s="724">
        <v>260.23399999999992</v>
      </c>
      <c r="E391" s="732"/>
      <c r="F391" s="731"/>
      <c r="G391" s="733"/>
    </row>
    <row r="392" spans="1:14" ht="16" thickBot="1" x14ac:dyDescent="0.4">
      <c r="B392" s="734" t="s">
        <v>41</v>
      </c>
      <c r="C392" s="735">
        <f>C33+C53+C65+C66+C154+C155+C156+C160+C162+C163+C191+C225+C236+C253+C279+C356</f>
        <v>72.38</v>
      </c>
      <c r="D392" s="724">
        <v>72.97</v>
      </c>
      <c r="E392" s="736">
        <f>C389+C390+C391+C392</f>
        <v>1240.3729999999996</v>
      </c>
      <c r="F392" s="737">
        <f>C380</f>
        <v>1225.7539999999999</v>
      </c>
      <c r="G392" s="735">
        <f>F392-E392</f>
        <v>-14.618999999999687</v>
      </c>
    </row>
    <row r="393" spans="1:14" x14ac:dyDescent="0.35">
      <c r="D393" s="724">
        <f>SUBTOTAL(9,D389:D392)</f>
        <v>1214.4829999999999</v>
      </c>
    </row>
    <row r="394" spans="1:14" ht="18" customHeight="1" thickBot="1" x14ac:dyDescent="0.4"/>
    <row r="395" spans="1:14" ht="18" customHeight="1" thickBot="1" x14ac:dyDescent="0.4">
      <c r="A395" s="738" t="s">
        <v>204</v>
      </c>
      <c r="B395" s="739"/>
      <c r="C395" s="740">
        <v>1216.4829999999999</v>
      </c>
      <c r="D395" s="740"/>
      <c r="E395" s="741">
        <v>389.78899999999999</v>
      </c>
      <c r="F395" s="741">
        <v>4.74</v>
      </c>
      <c r="G395" s="741">
        <v>6.7200000000000006</v>
      </c>
      <c r="H395" s="741">
        <v>809.86399999999981</v>
      </c>
      <c r="I395" s="742">
        <v>5.43</v>
      </c>
    </row>
    <row r="396" spans="1:14" ht="18" customHeight="1" x14ac:dyDescent="0.35">
      <c r="C396" s="38">
        <f>E392-C395</f>
        <v>23.889999999999645</v>
      </c>
    </row>
    <row r="397" spans="1:14" ht="18" customHeight="1" x14ac:dyDescent="0.35">
      <c r="B397" s="37"/>
      <c r="C397" s="38"/>
      <c r="D397" s="645"/>
    </row>
    <row r="398" spans="1:14" ht="18" customHeight="1" thickBot="1" x14ac:dyDescent="0.4">
      <c r="C398" s="743">
        <f>C375+C367+C366+C365+C364+C355+C354+C353+C352+C351+C350+C349+C341+C340+C339+C337+C333+C332+C331+C330+C329+C321+C320+C312+C311+C304+C303+C293+C290+C288+C287+C275+C273+C271+C270+C269+C261+C260+C256+C255+C251+C250+C249+C248+C239+C237+C228+C227+C226+C224+C223+C221+C213+C210+C209+C207+C206+C197+C196+C195+C194+C193+C192+C189+C186+C183+C182+C173+C161+C158+C157+C153+C152+C151+C143+C141+C140+C139+C138+C137+C136+C133+C132+C131+C130+C129+C128+C127+C126+C125+C124+C123+C120+C119+C118+C117+C116+C115+C114+C113+C112+C102+C101+C100+C99+C98+C88+C79+C78+C77+C76+C75+C74+C67+C64+C61+C60+C59+C58+C57+C56+C52+C51+C50+C49+C48+C47+C46+C45+C44+C43+C42+C32+C31+C30+C29+C27+C26+C24+C23+C22+C21+C20+C19+C17+C16+C13+C11+C10</f>
        <v>817.78300000000013</v>
      </c>
      <c r="D398" s="744"/>
      <c r="E398" s="743">
        <f>E375+E367+E366+E365+E364+E355+E354+E353+E352+E351+E350+E349+E341+E340+E339+E337+E333+E332+E331+E330+E329+E321+E320+E312+E311+E304+E303+E293+E290+E288+E287+E275+E273+E271+E270+E269+E261+E260+E256+E255+E251+E250+E249+E248+E239+E237+E228+E227+E226+E224+E223+E221+E213+E210+E209+E207+E206+E197+E196+E195+E194+E193+E192+E189+E186+E183+E182+E173+E161+E158+E157+E153+E152+E151+E143+E141+E140+E139+E138+E137+E136+E133+E132+E131+E130+E129+E128+E127+E126+E125+E124+E123+E120+E119+E118+E117+E116+E115+E114+E113+E112+E102+E101+E100+E99+E98+E88+E79+E78+E77+E76+E75+E74+E67+E64+E61+E60+E59+E58+E57+E56+E52+E51+E50+E49+E48+E47+E46+E45+E44+E43+E42+E32+E31+E30+E29+E27+E26+E24+E23+E22+E21+E20+E19+E17+E16+E13+E11+E10</f>
        <v>358.98100000000022</v>
      </c>
      <c r="F398" s="743">
        <f>F375+F367+F366+F365+F364+F355+F354+F353+F352+F351+F350+F349+F341+F340+F339+F337+F333+F332+F331+F330+F329+F321+F320+F312+F311+F304+F303+F293+F290+F288+F287+F275+F273+F271+F270+F269+F261+F260+F256+F255+F251+F250+F249+F248+F239+F237+F228+F227+F226+F224+F223+F221+F213+F210+F209+F207+F206+F197+F196+F195+F194+F193+F192+F189+F186+F183+F182+F173+F161+F158+F157+F153+F152+F151+F143+F141+F140+F139+F138+F137+F136+F133+F132+F131+F130+F129+F128+F127+F126+F125+F124+F123+F120+F119+F118+F117+F116+F115+F114+F113+F112+F102+F101+F100+F99+F98+F88+F79+F78+F77+F76+F75+F74+F67+F64+F61+F60+F59+F58+F57+F56+F52+F51+F50+F49+F48+F47+F46+F45+F44+F43+F42+F32+F31+F30+F29+F27+F26+F24+F23+F22+F21+F20+F19+F17+F16+F13+F11+F10</f>
        <v>2.19</v>
      </c>
      <c r="G398" s="743">
        <f>G375+G367+G366+G365+G364+G355+G354+G353+G352+G351+G350+G349+G341+G340+G339+G337+G333+G332+G331+G330+G329+G321+G320+G312+G311+G304+G303+G293+G290+G288+G287+G275+G273+G271+G270+G269+G261+G260+G256+G255+G251+G250+G249+G248+G239+G237+G228+G227+G226+G224+G223+G221+G213+G210+G209+G207+G206+G197+G196+G195+G194+G193+G192+G189+G186+G183+G182+G173+G161+G158+G157+G153+G152+G151+G143+G141+G140+G139+G138+G137+G136+G133+G132+G131+G130+G129+G128+G127+G126+G125+G124+G123+G120+G119+G118+G117+G116+G115+G114+G113+G112+G102+G101+G100+G99+G98+G88+G79+G78+G77+G76+G75+G74+G67+G64+G61+G60+G59+G58+G57+G56+G52+G51+G50+G49+G48+G47+G46+G45+G44+G43+G42+G32+G31+G30+G29+G27+G26+G24+G23+G22+G21+G20+G19+G17+G16+G13+G11+G10</f>
        <v>1.72</v>
      </c>
      <c r="H398" s="743">
        <f>H375+H367+H366+H365+H364+H355+H354+H353+H352+H351+H350+H349+H341+H340+H339+H337+H333+H332+H331+H330+H329+H321+H320+H312+H311+H304+H303+H293+H290+H288+H287+H275+H273+H271+H270+H269+H261+H260+H256+H255+H251+H250+H249+H248+H239+H237+H228+H227+H226+H224+H223+H221+H213+H210+H209+H207+H206+H197+H196+H195+H194+H193+H192+H189+H186+H183+H182+H173+H161+H158+H157+H153+H152+H151+H143+H141+H140+H139+H138+H137+H136+H133+H132+H131+H130+H129+H128+H127+H126+H125+H124+H123+H120+H119+H118+H117+H116+H115+H114+H113+H112+H102+H101+H100+H99+H98+H88+H79+H78+H77+H76+H75+H74+H67+H64+H61+H60+H59+H58+H57+H56+H52+H51+H50+H49+H48+H47+H46+H45+H44+H43+H42+H32+H31+H30+H29+H27+H26+H24+H23+H22+H21+H20+H19+H17+H16+H13+H11+H10</f>
        <v>449.54500000000013</v>
      </c>
      <c r="I398" s="743">
        <f>I375+I367+I366+I365+I364+I355+I354+I353+I352+I351+I350+I349+I341+I340+I339+I337+I333+I332+I331+I330+I329+I321+I320+I312+I311+I304+I303+I293+I290+I288+I287+I275+I273+I271+I270+I269+I261+I260+I256+I255+I251+I250+I249+I248+I239+I237+I228+I227+I226+I224+I223+I221+I213+I210+I209+I207+I206+I197+I196+I195+I194+I193+I192+I189+I186+I183+I182+I173+I161+I158+I157+I153+I152+I151+I143+I141+I140+I139+I138+I137+I136+I133+I132+I131+I130+I129+I128+I127+I126+I125+I124+I123+I120+I119+I118+I117+I116+I115+I114+I113+I112+I102+I101+I100+I99+I98+I88+I79+I78+I77+I76+I75+I74+I67+I64+I61+I60+I59+I58+I57+I56+I52+I51+I50+I49+I48+I47+I46+I45+I44+I43+I42+I32+I31+I30+I29+I27+I26+I24+I23+I22+I21+I20+I19+I17+I16+I13+I11+I10</f>
        <v>0</v>
      </c>
      <c r="K398" s="37"/>
      <c r="L398" s="37"/>
      <c r="M398" s="37"/>
      <c r="N398" s="685">
        <f>E380+F380+G380+H380+I380</f>
        <v>1225.9089999999999</v>
      </c>
    </row>
    <row r="399" spans="1:14" ht="18" customHeight="1" thickTop="1" x14ac:dyDescent="0.35">
      <c r="B399" s="37">
        <f>E392-C395</f>
        <v>23.889999999999645</v>
      </c>
      <c r="H399" s="38"/>
    </row>
    <row r="400" spans="1:14" ht="18" customHeight="1" x14ac:dyDescent="0.35">
      <c r="C400" s="38"/>
      <c r="D400" s="645"/>
    </row>
    <row r="401" spans="2:14" s="95" customFormat="1" ht="18" customHeight="1" x14ac:dyDescent="0.35">
      <c r="B401" s="2"/>
      <c r="C401" s="3"/>
      <c r="D401" s="582"/>
      <c r="E401" s="3"/>
      <c r="F401" s="3"/>
      <c r="G401" s="3"/>
      <c r="H401" s="3"/>
      <c r="I401" s="3"/>
      <c r="J401" s="3"/>
      <c r="K401" s="2"/>
      <c r="L401" s="2"/>
      <c r="M401" s="2"/>
      <c r="N401" s="745"/>
    </row>
    <row r="402" spans="2:14" s="95" customFormat="1" ht="18" customHeight="1" x14ac:dyDescent="0.35">
      <c r="B402" s="2"/>
      <c r="C402" s="3"/>
      <c r="D402" s="582"/>
      <c r="E402" s="3"/>
      <c r="F402" s="3"/>
      <c r="G402" s="3"/>
      <c r="H402" s="3"/>
      <c r="I402" s="3"/>
      <c r="J402" s="3"/>
      <c r="K402" s="2"/>
      <c r="L402" s="2"/>
      <c r="M402" s="2"/>
      <c r="N402" s="745"/>
    </row>
    <row r="403" spans="2:14" s="95" customFormat="1" ht="18" customHeight="1" x14ac:dyDescent="0.35">
      <c r="B403" s="2"/>
      <c r="C403" s="3"/>
      <c r="D403" s="582"/>
      <c r="E403" s="3"/>
      <c r="F403" s="3"/>
      <c r="G403" s="3"/>
      <c r="H403" s="3"/>
      <c r="I403" s="3"/>
      <c r="J403" s="3"/>
      <c r="K403" s="2"/>
      <c r="L403" s="2"/>
      <c r="M403" s="2"/>
      <c r="N403" s="745"/>
    </row>
    <row r="404" spans="2:14" s="95" customFormat="1" ht="18" customHeight="1" x14ac:dyDescent="0.35">
      <c r="B404" s="2"/>
      <c r="C404" s="3"/>
      <c r="D404" s="582"/>
      <c r="E404" s="3"/>
      <c r="F404" s="3"/>
      <c r="G404" s="3"/>
      <c r="H404" s="3"/>
      <c r="I404" s="3"/>
      <c r="J404" s="3"/>
      <c r="K404" s="2"/>
      <c r="L404" s="2"/>
      <c r="M404" s="2"/>
      <c r="N404" s="745"/>
    </row>
    <row r="405" spans="2:14" s="95" customFormat="1" ht="18" customHeight="1" x14ac:dyDescent="0.35">
      <c r="B405" s="2"/>
      <c r="C405" s="3"/>
      <c r="D405" s="582"/>
      <c r="E405" s="3"/>
      <c r="F405" s="3"/>
      <c r="G405" s="3"/>
      <c r="H405" s="3"/>
      <c r="I405" s="3"/>
      <c r="J405" s="3"/>
      <c r="K405" s="2"/>
      <c r="L405" s="2"/>
      <c r="M405" s="2"/>
      <c r="N405" s="745"/>
    </row>
    <row r="406" spans="2:14" s="95" customFormat="1" ht="18" customHeight="1" x14ac:dyDescent="0.35">
      <c r="B406" s="2"/>
      <c r="C406" s="3"/>
      <c r="D406" s="582"/>
      <c r="E406" s="3"/>
      <c r="F406" s="3"/>
      <c r="G406" s="3"/>
      <c r="H406" s="3"/>
      <c r="I406" s="3"/>
      <c r="J406" s="3"/>
      <c r="K406" s="2"/>
      <c r="L406" s="2"/>
      <c r="M406" s="2"/>
      <c r="N406" s="745"/>
    </row>
    <row r="407" spans="2:14" s="95" customFormat="1" ht="18" customHeight="1" x14ac:dyDescent="0.35">
      <c r="B407" s="2"/>
      <c r="C407" s="3"/>
      <c r="D407" s="582"/>
      <c r="E407" s="3"/>
      <c r="F407" s="3"/>
      <c r="G407" s="3"/>
      <c r="H407" s="3"/>
      <c r="I407" s="3"/>
      <c r="J407" s="3"/>
      <c r="K407" s="2"/>
      <c r="L407" s="2"/>
      <c r="M407" s="2"/>
      <c r="N407" s="745"/>
    </row>
    <row r="408" spans="2:14" s="95" customFormat="1" ht="18" customHeight="1" x14ac:dyDescent="0.35">
      <c r="B408" s="2"/>
      <c r="C408" s="3"/>
      <c r="D408" s="582"/>
      <c r="E408" s="3"/>
      <c r="F408" s="3"/>
      <c r="G408" s="3"/>
      <c r="H408" s="3"/>
      <c r="I408" s="3"/>
      <c r="J408" s="3"/>
      <c r="K408" s="2"/>
      <c r="L408" s="2"/>
      <c r="M408" s="2"/>
      <c r="N408" s="745"/>
    </row>
    <row r="409" spans="2:14" s="95" customFormat="1" ht="18" customHeight="1" x14ac:dyDescent="0.35">
      <c r="B409" s="2"/>
      <c r="C409" s="3"/>
      <c r="D409" s="582"/>
      <c r="E409" s="3"/>
      <c r="F409" s="3"/>
      <c r="G409" s="3"/>
      <c r="H409" s="3"/>
      <c r="I409" s="3"/>
      <c r="J409" s="3"/>
      <c r="K409" s="2"/>
      <c r="L409" s="2"/>
      <c r="M409" s="2"/>
      <c r="N409" s="745"/>
    </row>
    <row r="410" spans="2:14" s="95" customFormat="1" ht="18" customHeight="1" x14ac:dyDescent="0.35">
      <c r="B410" s="2"/>
      <c r="C410" s="3"/>
      <c r="D410" s="582"/>
      <c r="E410" s="3"/>
      <c r="F410" s="3"/>
      <c r="G410" s="3"/>
      <c r="H410" s="3"/>
      <c r="I410" s="3"/>
      <c r="J410" s="3"/>
      <c r="K410" s="2"/>
      <c r="L410" s="2"/>
      <c r="M410" s="2"/>
      <c r="N410" s="745"/>
    </row>
    <row r="411" spans="2:14" s="95" customFormat="1" ht="18" customHeight="1" x14ac:dyDescent="0.35">
      <c r="B411" s="2"/>
      <c r="C411" s="3"/>
      <c r="D411" s="582"/>
      <c r="E411" s="3"/>
      <c r="F411" s="3"/>
      <c r="G411" s="3"/>
      <c r="H411" s="3"/>
      <c r="I411" s="3"/>
      <c r="J411" s="3"/>
      <c r="K411" s="2"/>
      <c r="L411" s="2"/>
      <c r="M411" s="2"/>
      <c r="N411" s="745"/>
    </row>
    <row r="412" spans="2:14" s="95" customFormat="1" ht="18" customHeight="1" x14ac:dyDescent="0.35">
      <c r="B412" s="2"/>
      <c r="C412" s="3"/>
      <c r="D412" s="582"/>
      <c r="E412" s="3"/>
      <c r="F412" s="3"/>
      <c r="G412" s="3"/>
      <c r="H412" s="3"/>
      <c r="I412" s="3"/>
      <c r="J412" s="3"/>
      <c r="K412" s="2"/>
      <c r="L412" s="2"/>
      <c r="M412" s="2"/>
      <c r="N412" s="745"/>
    </row>
    <row r="413" spans="2:14" s="95" customFormat="1" ht="18" customHeight="1" x14ac:dyDescent="0.35">
      <c r="B413" s="2"/>
      <c r="C413" s="3"/>
      <c r="D413" s="582"/>
      <c r="E413" s="3"/>
      <c r="F413" s="3"/>
      <c r="G413" s="3"/>
      <c r="H413" s="3"/>
      <c r="I413" s="3"/>
      <c r="J413" s="3"/>
      <c r="K413" s="2"/>
      <c r="L413" s="2"/>
      <c r="M413" s="2"/>
      <c r="N413" s="745"/>
    </row>
    <row r="414" spans="2:14" s="95" customFormat="1" ht="18" customHeight="1" x14ac:dyDescent="0.35">
      <c r="B414" s="2"/>
      <c r="C414" s="3"/>
      <c r="D414" s="582"/>
      <c r="E414" s="3"/>
      <c r="F414" s="3"/>
      <c r="G414" s="3"/>
      <c r="H414" s="3"/>
      <c r="I414" s="3"/>
      <c r="J414" s="3"/>
      <c r="K414" s="2"/>
      <c r="L414" s="2"/>
      <c r="M414" s="2"/>
      <c r="N414" s="745"/>
    </row>
    <row r="415" spans="2:14" s="95" customFormat="1" ht="18" customHeight="1" x14ac:dyDescent="0.35">
      <c r="B415" s="2"/>
      <c r="C415" s="3"/>
      <c r="D415" s="582"/>
      <c r="E415" s="3"/>
      <c r="F415" s="3"/>
      <c r="G415" s="3"/>
      <c r="H415" s="3"/>
      <c r="I415" s="3"/>
      <c r="J415" s="3"/>
      <c r="K415" s="2"/>
      <c r="L415" s="2"/>
      <c r="M415" s="2"/>
      <c r="N415" s="745"/>
    </row>
    <row r="416" spans="2:14" s="95" customFormat="1" ht="18" customHeight="1" x14ac:dyDescent="0.35">
      <c r="B416" s="2"/>
      <c r="C416" s="3"/>
      <c r="D416" s="582"/>
      <c r="E416" s="3"/>
      <c r="F416" s="3"/>
      <c r="G416" s="3"/>
      <c r="H416" s="3"/>
      <c r="I416" s="3"/>
      <c r="J416" s="3"/>
      <c r="K416" s="2"/>
      <c r="L416" s="2"/>
      <c r="M416" s="2"/>
      <c r="N416" s="745"/>
    </row>
    <row r="417" spans="2:14" s="95" customFormat="1" ht="18" customHeight="1" x14ac:dyDescent="0.35">
      <c r="B417" s="2"/>
      <c r="C417" s="3"/>
      <c r="D417" s="582"/>
      <c r="E417" s="3"/>
      <c r="F417" s="3"/>
      <c r="G417" s="3"/>
      <c r="H417" s="3"/>
      <c r="I417" s="3"/>
      <c r="J417" s="3"/>
      <c r="K417" s="2"/>
      <c r="L417" s="2"/>
      <c r="M417" s="2"/>
      <c r="N417" s="745"/>
    </row>
    <row r="418" spans="2:14" s="95" customFormat="1" ht="18" customHeight="1" x14ac:dyDescent="0.35">
      <c r="B418" s="2"/>
      <c r="C418" s="3"/>
      <c r="D418" s="582"/>
      <c r="E418" s="3"/>
      <c r="F418" s="3"/>
      <c r="G418" s="3"/>
      <c r="H418" s="3"/>
      <c r="I418" s="3"/>
      <c r="J418" s="3"/>
      <c r="K418" s="2"/>
      <c r="L418" s="2"/>
      <c r="M418" s="2"/>
      <c r="N418" s="745"/>
    </row>
    <row r="419" spans="2:14" s="95" customFormat="1" ht="18" customHeight="1" x14ac:dyDescent="0.35">
      <c r="B419" s="2"/>
      <c r="C419" s="3"/>
      <c r="D419" s="582"/>
      <c r="E419" s="3"/>
      <c r="F419" s="3"/>
      <c r="G419" s="3"/>
      <c r="H419" s="3"/>
      <c r="I419" s="3"/>
      <c r="J419" s="3"/>
      <c r="K419" s="2"/>
      <c r="L419" s="2"/>
      <c r="M419" s="2"/>
      <c r="N419" s="745"/>
    </row>
    <row r="420" spans="2:14" s="95" customFormat="1" ht="18" customHeight="1" x14ac:dyDescent="0.35">
      <c r="B420" s="2"/>
      <c r="C420" s="3"/>
      <c r="D420" s="582"/>
      <c r="E420" s="3"/>
      <c r="F420" s="3"/>
      <c r="G420" s="3"/>
      <c r="H420" s="3"/>
      <c r="I420" s="3"/>
      <c r="J420" s="3"/>
      <c r="K420" s="2"/>
      <c r="L420" s="2"/>
      <c r="M420" s="2"/>
      <c r="N420" s="745"/>
    </row>
    <row r="421" spans="2:14" s="95" customFormat="1" ht="18" customHeight="1" x14ac:dyDescent="0.35">
      <c r="B421" s="2"/>
      <c r="C421" s="3"/>
      <c r="D421" s="582"/>
      <c r="E421" s="3"/>
      <c r="F421" s="3"/>
      <c r="G421" s="3"/>
      <c r="H421" s="3"/>
      <c r="I421" s="3"/>
      <c r="J421" s="3"/>
      <c r="K421" s="2"/>
      <c r="L421" s="2"/>
      <c r="M421" s="2"/>
      <c r="N421" s="745"/>
    </row>
    <row r="422" spans="2:14" s="95" customFormat="1" ht="18" customHeight="1" x14ac:dyDescent="0.35">
      <c r="B422" s="2"/>
      <c r="C422" s="3"/>
      <c r="D422" s="582"/>
      <c r="E422" s="3"/>
      <c r="F422" s="3"/>
      <c r="G422" s="3"/>
      <c r="H422" s="3"/>
      <c r="I422" s="3"/>
      <c r="J422" s="3"/>
      <c r="K422" s="2"/>
      <c r="L422" s="2"/>
      <c r="M422" s="2"/>
      <c r="N422" s="745"/>
    </row>
    <row r="423" spans="2:14" s="95" customFormat="1" ht="18" customHeight="1" x14ac:dyDescent="0.35">
      <c r="B423" s="2"/>
      <c r="C423" s="3"/>
      <c r="D423" s="582"/>
      <c r="E423" s="3"/>
      <c r="F423" s="3"/>
      <c r="G423" s="3"/>
      <c r="H423" s="3"/>
      <c r="I423" s="3"/>
      <c r="J423" s="3"/>
      <c r="K423" s="2"/>
      <c r="L423" s="2"/>
      <c r="M423" s="2"/>
      <c r="N423" s="745"/>
    </row>
    <row r="424" spans="2:14" s="95" customFormat="1" ht="18" customHeight="1" x14ac:dyDescent="0.35">
      <c r="B424" s="2"/>
      <c r="C424" s="3"/>
      <c r="D424" s="582"/>
      <c r="E424" s="3"/>
      <c r="F424" s="3"/>
      <c r="G424" s="3"/>
      <c r="H424" s="3"/>
      <c r="I424" s="3"/>
      <c r="J424" s="3"/>
      <c r="K424" s="2"/>
      <c r="L424" s="2"/>
      <c r="M424" s="2"/>
      <c r="N424" s="745"/>
    </row>
    <row r="425" spans="2:14" s="95" customFormat="1" ht="18" customHeight="1" x14ac:dyDescent="0.35">
      <c r="B425" s="2"/>
      <c r="C425" s="3"/>
      <c r="D425" s="582"/>
      <c r="E425" s="3"/>
      <c r="F425" s="3"/>
      <c r="G425" s="3"/>
      <c r="H425" s="3"/>
      <c r="I425" s="3"/>
      <c r="J425" s="3"/>
      <c r="K425" s="2"/>
      <c r="L425" s="2"/>
      <c r="M425" s="2"/>
      <c r="N425" s="745"/>
    </row>
    <row r="426" spans="2:14" s="95" customFormat="1" ht="18" customHeight="1" x14ac:dyDescent="0.35">
      <c r="B426" s="2"/>
      <c r="C426" s="3"/>
      <c r="D426" s="582"/>
      <c r="E426" s="3"/>
      <c r="F426" s="3"/>
      <c r="G426" s="3"/>
      <c r="H426" s="3"/>
      <c r="I426" s="3"/>
      <c r="J426" s="3"/>
      <c r="K426" s="2"/>
      <c r="L426" s="2"/>
      <c r="M426" s="2"/>
      <c r="N426" s="745"/>
    </row>
    <row r="427" spans="2:14" s="95" customFormat="1" ht="18" customHeight="1" x14ac:dyDescent="0.35">
      <c r="B427" s="2"/>
      <c r="C427" s="3"/>
      <c r="D427" s="582"/>
      <c r="E427" s="3"/>
      <c r="F427" s="3"/>
      <c r="G427" s="3"/>
      <c r="H427" s="3"/>
      <c r="I427" s="3"/>
      <c r="J427" s="3"/>
      <c r="K427" s="2"/>
      <c r="L427" s="2"/>
      <c r="M427" s="2"/>
      <c r="N427" s="745"/>
    </row>
    <row r="428" spans="2:14" s="95" customFormat="1" ht="18" customHeight="1" x14ac:dyDescent="0.35">
      <c r="B428" s="2"/>
      <c r="C428" s="3"/>
      <c r="D428" s="582"/>
      <c r="E428" s="3"/>
      <c r="F428" s="3"/>
      <c r="G428" s="3"/>
      <c r="H428" s="3"/>
      <c r="I428" s="3"/>
      <c r="J428" s="3"/>
      <c r="K428" s="2"/>
      <c r="L428" s="2"/>
      <c r="M428" s="2"/>
      <c r="N428" s="745"/>
    </row>
    <row r="429" spans="2:14" s="95" customFormat="1" ht="18" customHeight="1" x14ac:dyDescent="0.35">
      <c r="B429" s="2"/>
      <c r="C429" s="3"/>
      <c r="D429" s="582"/>
      <c r="E429" s="3"/>
      <c r="F429" s="3"/>
      <c r="G429" s="3"/>
      <c r="H429" s="3"/>
      <c r="I429" s="3"/>
      <c r="J429" s="3"/>
      <c r="K429" s="2"/>
      <c r="L429" s="2"/>
      <c r="M429" s="2"/>
      <c r="N429" s="745"/>
    </row>
    <row r="430" spans="2:14" s="95" customFormat="1" ht="18" customHeight="1" x14ac:dyDescent="0.35">
      <c r="B430" s="2"/>
      <c r="C430" s="3"/>
      <c r="D430" s="582"/>
      <c r="E430" s="3"/>
      <c r="F430" s="3"/>
      <c r="G430" s="3"/>
      <c r="H430" s="3"/>
      <c r="I430" s="3"/>
      <c r="J430" s="3"/>
      <c r="K430" s="2"/>
      <c r="L430" s="2"/>
      <c r="M430" s="2"/>
      <c r="N430" s="745"/>
    </row>
    <row r="431" spans="2:14" s="95" customFormat="1" ht="18" customHeight="1" x14ac:dyDescent="0.35">
      <c r="B431" s="2"/>
      <c r="C431" s="3"/>
      <c r="D431" s="582"/>
      <c r="E431" s="3"/>
      <c r="F431" s="3"/>
      <c r="G431" s="3"/>
      <c r="H431" s="3"/>
      <c r="I431" s="3"/>
      <c r="J431" s="3"/>
      <c r="K431" s="2"/>
      <c r="L431" s="2"/>
      <c r="M431" s="2"/>
      <c r="N431" s="745"/>
    </row>
    <row r="432" spans="2:14" s="95" customFormat="1" ht="18" customHeight="1" x14ac:dyDescent="0.35">
      <c r="B432" s="2"/>
      <c r="C432" s="3"/>
      <c r="D432" s="582"/>
      <c r="E432" s="3"/>
      <c r="F432" s="3"/>
      <c r="G432" s="3"/>
      <c r="H432" s="3"/>
      <c r="I432" s="3"/>
      <c r="J432" s="3"/>
      <c r="K432" s="2"/>
      <c r="L432" s="2"/>
      <c r="M432" s="2"/>
      <c r="N432" s="745"/>
    </row>
    <row r="433" spans="2:14" s="95" customFormat="1" ht="18" customHeight="1" x14ac:dyDescent="0.35">
      <c r="B433" s="2"/>
      <c r="C433" s="3"/>
      <c r="D433" s="582"/>
      <c r="E433" s="3"/>
      <c r="F433" s="3"/>
      <c r="G433" s="3"/>
      <c r="H433" s="3"/>
      <c r="I433" s="3"/>
      <c r="J433" s="3"/>
      <c r="K433" s="2"/>
      <c r="L433" s="2"/>
      <c r="M433" s="2"/>
      <c r="N433" s="745"/>
    </row>
    <row r="434" spans="2:14" s="95" customFormat="1" ht="18" customHeight="1" x14ac:dyDescent="0.35">
      <c r="B434" s="2"/>
      <c r="C434" s="3"/>
      <c r="D434" s="582"/>
      <c r="E434" s="3"/>
      <c r="F434" s="3"/>
      <c r="G434" s="3"/>
      <c r="H434" s="3"/>
      <c r="I434" s="3"/>
      <c r="J434" s="3"/>
      <c r="K434" s="2"/>
      <c r="L434" s="2"/>
      <c r="M434" s="2"/>
      <c r="N434" s="745"/>
    </row>
    <row r="435" spans="2:14" s="95" customFormat="1" ht="18" customHeight="1" x14ac:dyDescent="0.35">
      <c r="B435" s="2"/>
      <c r="C435" s="3"/>
      <c r="D435" s="582"/>
      <c r="E435" s="3"/>
      <c r="F435" s="3"/>
      <c r="G435" s="3"/>
      <c r="H435" s="3"/>
      <c r="I435" s="3"/>
      <c r="J435" s="3"/>
      <c r="K435" s="2"/>
      <c r="L435" s="2"/>
      <c r="M435" s="2"/>
      <c r="N435" s="745"/>
    </row>
    <row r="436" spans="2:14" s="95" customFormat="1" ht="18" customHeight="1" x14ac:dyDescent="0.35">
      <c r="B436" s="2"/>
      <c r="C436" s="3"/>
      <c r="D436" s="582"/>
      <c r="E436" s="3"/>
      <c r="F436" s="3"/>
      <c r="G436" s="3"/>
      <c r="H436" s="3"/>
      <c r="I436" s="3"/>
      <c r="J436" s="3"/>
      <c r="K436" s="2"/>
      <c r="L436" s="2"/>
      <c r="M436" s="2"/>
      <c r="N436" s="745"/>
    </row>
    <row r="437" spans="2:14" s="95" customFormat="1" ht="18" customHeight="1" x14ac:dyDescent="0.35">
      <c r="B437" s="2"/>
      <c r="C437" s="3"/>
      <c r="D437" s="582"/>
      <c r="E437" s="3"/>
      <c r="F437" s="3"/>
      <c r="G437" s="3"/>
      <c r="H437" s="3"/>
      <c r="I437" s="3"/>
      <c r="J437" s="3"/>
      <c r="K437" s="2"/>
      <c r="L437" s="2"/>
      <c r="M437" s="2"/>
      <c r="N437" s="745"/>
    </row>
    <row r="438" spans="2:14" s="95" customFormat="1" ht="18" customHeight="1" x14ac:dyDescent="0.35">
      <c r="B438" s="2"/>
      <c r="C438" s="3"/>
      <c r="D438" s="582"/>
      <c r="E438" s="3"/>
      <c r="F438" s="3"/>
      <c r="G438" s="3"/>
      <c r="H438" s="3"/>
      <c r="I438" s="3"/>
      <c r="J438" s="3"/>
      <c r="K438" s="2"/>
      <c r="L438" s="2"/>
      <c r="M438" s="2"/>
      <c r="N438" s="745"/>
    </row>
    <row r="439" spans="2:14" s="95" customFormat="1" ht="18" customHeight="1" x14ac:dyDescent="0.35">
      <c r="B439" s="2"/>
      <c r="C439" s="3"/>
      <c r="D439" s="582"/>
      <c r="E439" s="3"/>
      <c r="F439" s="3"/>
      <c r="G439" s="3"/>
      <c r="H439" s="3"/>
      <c r="I439" s="3"/>
      <c r="J439" s="3"/>
      <c r="K439" s="2"/>
      <c r="L439" s="2"/>
      <c r="M439" s="2"/>
      <c r="N439" s="745"/>
    </row>
    <row r="440" spans="2:14" s="95" customFormat="1" ht="18" customHeight="1" x14ac:dyDescent="0.35">
      <c r="B440" s="2"/>
      <c r="C440" s="3"/>
      <c r="D440" s="582"/>
      <c r="E440" s="3"/>
      <c r="F440" s="3"/>
      <c r="G440" s="3"/>
      <c r="H440" s="3"/>
      <c r="I440" s="3"/>
      <c r="J440" s="3"/>
      <c r="K440" s="2"/>
      <c r="L440" s="2"/>
      <c r="M440" s="2"/>
      <c r="N440" s="745"/>
    </row>
    <row r="441" spans="2:14" s="95" customFormat="1" ht="18" customHeight="1" x14ac:dyDescent="0.35">
      <c r="B441" s="2"/>
      <c r="C441" s="3"/>
      <c r="D441" s="582"/>
      <c r="E441" s="3"/>
      <c r="F441" s="3"/>
      <c r="G441" s="3"/>
      <c r="H441" s="3"/>
      <c r="I441" s="3"/>
      <c r="J441" s="3"/>
      <c r="K441" s="2"/>
      <c r="L441" s="2"/>
      <c r="M441" s="2"/>
      <c r="N441" s="745"/>
    </row>
    <row r="442" spans="2:14" s="95" customFormat="1" ht="18" customHeight="1" x14ac:dyDescent="0.35">
      <c r="B442" s="2"/>
      <c r="C442" s="3"/>
      <c r="D442" s="582"/>
      <c r="E442" s="3"/>
      <c r="F442" s="3"/>
      <c r="G442" s="3"/>
      <c r="H442" s="3"/>
      <c r="I442" s="3"/>
      <c r="J442" s="3"/>
      <c r="K442" s="2"/>
      <c r="L442" s="2"/>
      <c r="M442" s="2"/>
      <c r="N442" s="745"/>
    </row>
    <row r="443" spans="2:14" s="95" customFormat="1" ht="18" customHeight="1" x14ac:dyDescent="0.35">
      <c r="B443" s="2"/>
      <c r="C443" s="3"/>
      <c r="D443" s="582"/>
      <c r="E443" s="3"/>
      <c r="F443" s="3"/>
      <c r="G443" s="3"/>
      <c r="H443" s="3"/>
      <c r="I443" s="3"/>
      <c r="J443" s="3"/>
      <c r="K443" s="2"/>
      <c r="L443" s="2"/>
      <c r="M443" s="2"/>
      <c r="N443" s="745"/>
    </row>
    <row r="444" spans="2:14" s="95" customFormat="1" ht="18" customHeight="1" x14ac:dyDescent="0.35">
      <c r="B444" s="2"/>
      <c r="C444" s="3"/>
      <c r="D444" s="582"/>
      <c r="E444" s="3"/>
      <c r="F444" s="3"/>
      <c r="G444" s="3"/>
      <c r="H444" s="3"/>
      <c r="I444" s="3"/>
      <c r="J444" s="3"/>
      <c r="K444" s="2"/>
      <c r="L444" s="2"/>
      <c r="M444" s="2"/>
      <c r="N444" s="745"/>
    </row>
    <row r="445" spans="2:14" s="95" customFormat="1" ht="18" customHeight="1" x14ac:dyDescent="0.35">
      <c r="B445" s="2"/>
      <c r="C445" s="3"/>
      <c r="D445" s="582"/>
      <c r="E445" s="3"/>
      <c r="F445" s="3"/>
      <c r="G445" s="3"/>
      <c r="H445" s="3"/>
      <c r="I445" s="3"/>
      <c r="J445" s="3"/>
      <c r="K445" s="2"/>
      <c r="L445" s="2"/>
      <c r="M445" s="2"/>
      <c r="N445" s="745"/>
    </row>
    <row r="446" spans="2:14" s="95" customFormat="1" ht="18" customHeight="1" x14ac:dyDescent="0.35">
      <c r="B446" s="2"/>
      <c r="C446" s="3"/>
      <c r="D446" s="582"/>
      <c r="E446" s="3"/>
      <c r="F446" s="3"/>
      <c r="G446" s="3"/>
      <c r="H446" s="3"/>
      <c r="I446" s="3"/>
      <c r="J446" s="3"/>
      <c r="K446" s="2"/>
      <c r="L446" s="2"/>
      <c r="M446" s="2"/>
      <c r="N446" s="745"/>
    </row>
    <row r="447" spans="2:14" s="95" customFormat="1" ht="18" customHeight="1" x14ac:dyDescent="0.35">
      <c r="B447" s="2"/>
      <c r="C447" s="3"/>
      <c r="D447" s="582"/>
      <c r="E447" s="3"/>
      <c r="F447" s="3"/>
      <c r="G447" s="3"/>
      <c r="H447" s="3"/>
      <c r="I447" s="3"/>
      <c r="J447" s="3"/>
      <c r="K447" s="2"/>
      <c r="L447" s="2"/>
      <c r="M447" s="2"/>
      <c r="N447" s="745"/>
    </row>
    <row r="448" spans="2:14" s="95" customFormat="1" ht="18" customHeight="1" x14ac:dyDescent="0.35">
      <c r="B448" s="2"/>
      <c r="C448" s="3"/>
      <c r="D448" s="582"/>
      <c r="E448" s="3"/>
      <c r="F448" s="3"/>
      <c r="G448" s="3"/>
      <c r="H448" s="3"/>
      <c r="I448" s="3"/>
      <c r="J448" s="3"/>
      <c r="K448" s="2"/>
      <c r="L448" s="2"/>
      <c r="M448" s="2"/>
      <c r="N448" s="745"/>
    </row>
    <row r="449" spans="2:14" s="95" customFormat="1" ht="18" customHeight="1" x14ac:dyDescent="0.35">
      <c r="B449" s="2"/>
      <c r="C449" s="3"/>
      <c r="D449" s="582"/>
      <c r="E449" s="3"/>
      <c r="F449" s="3"/>
      <c r="G449" s="3"/>
      <c r="H449" s="3"/>
      <c r="I449" s="3"/>
      <c r="J449" s="3"/>
      <c r="K449" s="2"/>
      <c r="L449" s="2"/>
      <c r="M449" s="2"/>
      <c r="N449" s="745"/>
    </row>
    <row r="450" spans="2:14" s="95" customFormat="1" ht="18" customHeight="1" x14ac:dyDescent="0.35">
      <c r="B450" s="2"/>
      <c r="C450" s="3"/>
      <c r="D450" s="582"/>
      <c r="E450" s="3"/>
      <c r="F450" s="3"/>
      <c r="G450" s="3"/>
      <c r="H450" s="3"/>
      <c r="I450" s="3"/>
      <c r="J450" s="3"/>
      <c r="K450" s="2"/>
      <c r="L450" s="2"/>
      <c r="M450" s="2"/>
      <c r="N450" s="745"/>
    </row>
    <row r="451" spans="2:14" s="95" customFormat="1" ht="18" customHeight="1" x14ac:dyDescent="0.35">
      <c r="B451" s="2"/>
      <c r="C451" s="3"/>
      <c r="D451" s="582"/>
      <c r="E451" s="3"/>
      <c r="F451" s="3"/>
      <c r="G451" s="3"/>
      <c r="H451" s="3"/>
      <c r="I451" s="3"/>
      <c r="J451" s="3"/>
      <c r="K451" s="2"/>
      <c r="L451" s="2"/>
      <c r="M451" s="2"/>
      <c r="N451" s="745"/>
    </row>
    <row r="452" spans="2:14" s="95" customFormat="1" ht="18" customHeight="1" x14ac:dyDescent="0.35">
      <c r="B452" s="2"/>
      <c r="C452" s="3"/>
      <c r="D452" s="582"/>
      <c r="E452" s="3"/>
      <c r="F452" s="3"/>
      <c r="G452" s="3"/>
      <c r="H452" s="3"/>
      <c r="I452" s="3"/>
      <c r="J452" s="3"/>
      <c r="K452" s="2"/>
      <c r="L452" s="2"/>
      <c r="M452" s="2"/>
      <c r="N452" s="745"/>
    </row>
    <row r="453" spans="2:14" s="95" customFormat="1" ht="18" customHeight="1" x14ac:dyDescent="0.35">
      <c r="B453" s="2"/>
      <c r="C453" s="3"/>
      <c r="D453" s="582"/>
      <c r="E453" s="3"/>
      <c r="F453" s="3"/>
      <c r="G453" s="3"/>
      <c r="H453" s="3"/>
      <c r="I453" s="3"/>
      <c r="J453" s="3"/>
      <c r="K453" s="2"/>
      <c r="L453" s="2"/>
      <c r="M453" s="2"/>
      <c r="N453" s="745"/>
    </row>
    <row r="454" spans="2:14" s="95" customFormat="1" ht="18" customHeight="1" x14ac:dyDescent="0.35">
      <c r="B454" s="2"/>
      <c r="C454" s="3"/>
      <c r="D454" s="582"/>
      <c r="E454" s="3"/>
      <c r="F454" s="3"/>
      <c r="G454" s="3"/>
      <c r="H454" s="3"/>
      <c r="I454" s="3"/>
      <c r="J454" s="3"/>
      <c r="K454" s="2"/>
      <c r="L454" s="2"/>
      <c r="M454" s="2"/>
      <c r="N454" s="745"/>
    </row>
    <row r="455" spans="2:14" s="95" customFormat="1" ht="18" customHeight="1" x14ac:dyDescent="0.35">
      <c r="B455" s="2"/>
      <c r="C455" s="3"/>
      <c r="D455" s="582"/>
      <c r="E455" s="3"/>
      <c r="F455" s="3"/>
      <c r="G455" s="3"/>
      <c r="H455" s="3"/>
      <c r="I455" s="3"/>
      <c r="J455" s="3"/>
      <c r="K455" s="2"/>
      <c r="L455" s="2"/>
      <c r="M455" s="2"/>
      <c r="N455" s="745"/>
    </row>
    <row r="456" spans="2:14" s="95" customFormat="1" ht="18" customHeight="1" x14ac:dyDescent="0.35">
      <c r="B456" s="2"/>
      <c r="C456" s="3"/>
      <c r="D456" s="582"/>
      <c r="E456" s="3"/>
      <c r="F456" s="3"/>
      <c r="G456" s="3"/>
      <c r="H456" s="3"/>
      <c r="I456" s="3"/>
      <c r="J456" s="3"/>
      <c r="K456" s="2"/>
      <c r="L456" s="2"/>
      <c r="M456" s="2"/>
      <c r="N456" s="745"/>
    </row>
    <row r="457" spans="2:14" s="95" customFormat="1" ht="18" customHeight="1" x14ac:dyDescent="0.35">
      <c r="B457" s="2"/>
      <c r="C457" s="3"/>
      <c r="D457" s="582"/>
      <c r="E457" s="3"/>
      <c r="F457" s="3"/>
      <c r="G457" s="3"/>
      <c r="H457" s="3"/>
      <c r="I457" s="3"/>
      <c r="J457" s="3"/>
      <c r="K457" s="2"/>
      <c r="L457" s="2"/>
      <c r="M457" s="2"/>
      <c r="N457" s="745"/>
    </row>
    <row r="458" spans="2:14" s="95" customFormat="1" ht="18" customHeight="1" x14ac:dyDescent="0.35">
      <c r="B458" s="2"/>
      <c r="C458" s="3"/>
      <c r="D458" s="582"/>
      <c r="E458" s="3"/>
      <c r="F458" s="3"/>
      <c r="G458" s="3"/>
      <c r="H458" s="3"/>
      <c r="I458" s="3"/>
      <c r="J458" s="3"/>
      <c r="K458" s="2"/>
      <c r="L458" s="2"/>
      <c r="M458" s="2"/>
      <c r="N458" s="745"/>
    </row>
    <row r="459" spans="2:14" s="95" customFormat="1" ht="18" customHeight="1" x14ac:dyDescent="0.35">
      <c r="B459" s="2"/>
      <c r="C459" s="3"/>
      <c r="D459" s="582"/>
      <c r="E459" s="3"/>
      <c r="F459" s="3"/>
      <c r="G459" s="3"/>
      <c r="H459" s="3"/>
      <c r="I459" s="3"/>
      <c r="J459" s="3"/>
      <c r="K459" s="2"/>
      <c r="L459" s="2"/>
      <c r="M459" s="2"/>
      <c r="N459" s="745"/>
    </row>
    <row r="460" spans="2:14" s="95" customFormat="1" ht="18" customHeight="1" x14ac:dyDescent="0.35">
      <c r="B460" s="2"/>
      <c r="C460" s="3"/>
      <c r="D460" s="582"/>
      <c r="E460" s="3"/>
      <c r="F460" s="3"/>
      <c r="G460" s="3"/>
      <c r="H460" s="3"/>
      <c r="I460" s="3"/>
      <c r="J460" s="3"/>
      <c r="K460" s="2"/>
      <c r="L460" s="2"/>
      <c r="M460" s="2"/>
      <c r="N460" s="745"/>
    </row>
    <row r="461" spans="2:14" s="95" customFormat="1" ht="18" customHeight="1" x14ac:dyDescent="0.35">
      <c r="B461" s="2"/>
      <c r="C461" s="3"/>
      <c r="D461" s="582"/>
      <c r="E461" s="3"/>
      <c r="F461" s="3"/>
      <c r="G461" s="3"/>
      <c r="H461" s="3"/>
      <c r="I461" s="3"/>
      <c r="J461" s="3"/>
      <c r="K461" s="2"/>
      <c r="L461" s="2"/>
      <c r="M461" s="2"/>
      <c r="N461" s="745"/>
    </row>
    <row r="462" spans="2:14" s="95" customFormat="1" ht="18" customHeight="1" x14ac:dyDescent="0.35">
      <c r="B462" s="2"/>
      <c r="C462" s="3"/>
      <c r="D462" s="582"/>
      <c r="E462" s="3"/>
      <c r="F462" s="3"/>
      <c r="G462" s="3"/>
      <c r="H462" s="3"/>
      <c r="I462" s="3"/>
      <c r="J462" s="3"/>
      <c r="K462" s="2"/>
      <c r="L462" s="2"/>
      <c r="M462" s="2"/>
      <c r="N462" s="745"/>
    </row>
    <row r="463" spans="2:14" s="95" customFormat="1" ht="18" customHeight="1" x14ac:dyDescent="0.35">
      <c r="B463" s="2"/>
      <c r="C463" s="3"/>
      <c r="D463" s="582"/>
      <c r="E463" s="3"/>
      <c r="F463" s="3"/>
      <c r="G463" s="3"/>
      <c r="H463" s="3"/>
      <c r="I463" s="3"/>
      <c r="J463" s="3"/>
      <c r="K463" s="2"/>
      <c r="L463" s="2"/>
      <c r="M463" s="2"/>
      <c r="N463" s="745"/>
    </row>
    <row r="464" spans="2:14" s="95" customFormat="1" ht="18" customHeight="1" x14ac:dyDescent="0.35">
      <c r="B464" s="2"/>
      <c r="C464" s="3"/>
      <c r="D464" s="582"/>
      <c r="E464" s="3"/>
      <c r="F464" s="3"/>
      <c r="G464" s="3"/>
      <c r="H464" s="3"/>
      <c r="I464" s="3"/>
      <c r="J464" s="3"/>
      <c r="K464" s="2"/>
      <c r="L464" s="2"/>
      <c r="M464" s="2"/>
      <c r="N464" s="745"/>
    </row>
    <row r="465" spans="1:13" ht="18" customHeight="1" x14ac:dyDescent="0.35"/>
    <row r="466" spans="1:13" ht="18" customHeight="1" x14ac:dyDescent="0.35"/>
    <row r="467" spans="1:13" ht="18" customHeight="1" x14ac:dyDescent="0.35"/>
    <row r="468" spans="1:13" ht="18" customHeight="1" x14ac:dyDescent="0.35"/>
    <row r="469" spans="1:13" ht="18" customHeight="1" x14ac:dyDescent="0.35"/>
    <row r="470" spans="1:13" ht="18" customHeight="1" x14ac:dyDescent="0.35"/>
    <row r="471" spans="1:13" ht="18" customHeight="1" x14ac:dyDescent="0.35">
      <c r="A471" s="95" t="s">
        <v>614</v>
      </c>
      <c r="B471" s="37"/>
      <c r="C471" s="38"/>
      <c r="D471" s="645"/>
      <c r="E471" s="38"/>
      <c r="F471" s="38"/>
      <c r="G471" s="38"/>
      <c r="H471" s="38"/>
      <c r="I471" s="38"/>
    </row>
    <row r="472" spans="1:13" ht="18" customHeight="1" x14ac:dyDescent="0.35">
      <c r="A472" s="544"/>
      <c r="B472" s="35"/>
      <c r="C472" s="22"/>
      <c r="D472" s="610"/>
      <c r="E472" s="22"/>
      <c r="F472" s="22"/>
      <c r="G472" s="22"/>
      <c r="H472" s="22"/>
      <c r="I472" s="22"/>
      <c r="J472" s="1"/>
      <c r="K472" s="21"/>
      <c r="L472" s="21"/>
      <c r="M472" s="21"/>
    </row>
    <row r="473" spans="1:13" ht="18" customHeight="1" x14ac:dyDescent="0.35">
      <c r="A473" s="544"/>
      <c r="B473" s="21" t="s">
        <v>157</v>
      </c>
      <c r="C473" s="22"/>
      <c r="D473" s="610"/>
      <c r="E473" s="22"/>
      <c r="F473" s="22"/>
      <c r="G473" s="22"/>
      <c r="H473" s="22"/>
      <c r="I473" s="22"/>
      <c r="J473" s="1"/>
      <c r="K473" s="21"/>
      <c r="L473" s="21"/>
      <c r="M473" s="21"/>
    </row>
    <row r="474" spans="1:13" ht="18" customHeight="1" x14ac:dyDescent="0.35">
      <c r="A474" s="544"/>
      <c r="B474" s="2" t="s">
        <v>158</v>
      </c>
      <c r="C474" s="22"/>
      <c r="D474" s="610"/>
      <c r="E474" s="22"/>
      <c r="F474" s="22"/>
      <c r="G474" s="22"/>
      <c r="H474" s="22"/>
      <c r="I474" s="22"/>
      <c r="J474" s="1"/>
    </row>
    <row r="475" spans="1:13" ht="18" customHeight="1" x14ac:dyDescent="0.35">
      <c r="A475" s="544"/>
      <c r="B475" s="35"/>
      <c r="C475" s="22"/>
      <c r="D475" s="610"/>
      <c r="E475" s="22"/>
      <c r="F475" s="22"/>
      <c r="G475" s="22"/>
      <c r="H475" s="22"/>
      <c r="I475" s="22"/>
      <c r="J475" s="1"/>
      <c r="K475" s="21"/>
      <c r="L475" s="21"/>
      <c r="M475" s="21"/>
    </row>
    <row r="476" spans="1:13" ht="18" customHeight="1" x14ac:dyDescent="0.35">
      <c r="A476" s="544"/>
      <c r="B476" s="35"/>
      <c r="C476" s="22"/>
      <c r="D476" s="610"/>
      <c r="E476" s="22"/>
      <c r="F476" s="22"/>
      <c r="G476" s="22"/>
      <c r="H476" s="22"/>
      <c r="I476" s="22"/>
      <c r="J476" s="1"/>
      <c r="K476" s="21"/>
      <c r="L476" s="21"/>
      <c r="M476" s="21"/>
    </row>
    <row r="477" spans="1:13" x14ac:dyDescent="0.35">
      <c r="E477" s="38"/>
    </row>
    <row r="478" spans="1:13" x14ac:dyDescent="0.35">
      <c r="A478" s="544" t="s">
        <v>615</v>
      </c>
      <c r="E478" s="38"/>
    </row>
    <row r="479" spans="1:13" x14ac:dyDescent="0.35">
      <c r="A479" s="95" t="s">
        <v>616</v>
      </c>
      <c r="B479" s="2" t="s">
        <v>159</v>
      </c>
      <c r="E479" s="38"/>
    </row>
    <row r="480" spans="1:13" ht="31" x14ac:dyDescent="0.35">
      <c r="A480" s="95" t="s">
        <v>617</v>
      </c>
      <c r="B480" s="2" t="s">
        <v>160</v>
      </c>
      <c r="E480" s="38"/>
    </row>
    <row r="481" spans="1:5" ht="31" x14ac:dyDescent="0.35">
      <c r="A481" s="95" t="s">
        <v>618</v>
      </c>
      <c r="B481" s="2" t="s">
        <v>161</v>
      </c>
      <c r="E481" s="38"/>
    </row>
    <row r="482" spans="1:5" x14ac:dyDescent="0.35">
      <c r="A482" s="95" t="s">
        <v>619</v>
      </c>
      <c r="B482" s="2" t="s">
        <v>162</v>
      </c>
      <c r="E482" s="38"/>
    </row>
    <row r="483" spans="1:5" x14ac:dyDescent="0.35">
      <c r="E483" s="38"/>
    </row>
    <row r="484" spans="1:5" x14ac:dyDescent="0.35">
      <c r="A484" s="95" t="s">
        <v>620</v>
      </c>
      <c r="E484" s="38"/>
    </row>
    <row r="485" spans="1:5" x14ac:dyDescent="0.35">
      <c r="A485" s="95" t="s">
        <v>621</v>
      </c>
      <c r="E485" s="38"/>
    </row>
    <row r="486" spans="1:5" x14ac:dyDescent="0.35">
      <c r="E486" s="38"/>
    </row>
    <row r="487" spans="1:5" x14ac:dyDescent="0.35">
      <c r="A487" s="544" t="s">
        <v>622</v>
      </c>
      <c r="B487" s="21"/>
      <c r="E487" s="38"/>
    </row>
    <row r="488" spans="1:5" ht="46.5" x14ac:dyDescent="0.35">
      <c r="A488" s="95" t="s">
        <v>10</v>
      </c>
      <c r="B488" s="2" t="s">
        <v>163</v>
      </c>
      <c r="E488" s="38"/>
    </row>
    <row r="489" spans="1:5" ht="46.5" x14ac:dyDescent="0.35">
      <c r="A489" s="95" t="s">
        <v>12</v>
      </c>
      <c r="B489" s="2" t="s">
        <v>164</v>
      </c>
      <c r="E489" s="38"/>
    </row>
    <row r="490" spans="1:5" ht="31" x14ac:dyDescent="0.35">
      <c r="A490" s="95" t="s">
        <v>33</v>
      </c>
      <c r="B490" s="2" t="s">
        <v>165</v>
      </c>
      <c r="E490" s="38"/>
    </row>
    <row r="491" spans="1:5" ht="46.5" x14ac:dyDescent="0.35">
      <c r="A491" s="95" t="s">
        <v>41</v>
      </c>
      <c r="B491" s="2" t="s">
        <v>166</v>
      </c>
      <c r="E491" s="38"/>
    </row>
    <row r="492" spans="1:5" x14ac:dyDescent="0.35">
      <c r="E492" s="38"/>
    </row>
    <row r="493" spans="1:5" x14ac:dyDescent="0.35">
      <c r="A493" s="544" t="s">
        <v>623</v>
      </c>
      <c r="B493" s="21"/>
      <c r="E493" s="38"/>
    </row>
    <row r="494" spans="1:5" ht="46.5" x14ac:dyDescent="0.35">
      <c r="A494" s="95" t="s">
        <v>10</v>
      </c>
      <c r="B494" s="2" t="s">
        <v>167</v>
      </c>
      <c r="E494" s="38"/>
    </row>
    <row r="495" spans="1:5" ht="46.5" x14ac:dyDescent="0.35">
      <c r="A495" s="95" t="s">
        <v>12</v>
      </c>
      <c r="B495" s="2" t="s">
        <v>168</v>
      </c>
      <c r="E495" s="38"/>
    </row>
    <row r="496" spans="1:5" ht="31" x14ac:dyDescent="0.35">
      <c r="A496" s="95" t="s">
        <v>33</v>
      </c>
      <c r="B496" s="2" t="s">
        <v>169</v>
      </c>
      <c r="E496" s="38"/>
    </row>
    <row r="497" spans="1:7" x14ac:dyDescent="0.35">
      <c r="A497" s="95" t="s">
        <v>41</v>
      </c>
      <c r="B497" s="2" t="s">
        <v>170</v>
      </c>
      <c r="E497" s="38"/>
    </row>
    <row r="498" spans="1:7" x14ac:dyDescent="0.35">
      <c r="E498" s="38"/>
    </row>
    <row r="499" spans="1:7" x14ac:dyDescent="0.35">
      <c r="A499" s="544" t="s">
        <v>624</v>
      </c>
      <c r="B499" s="21"/>
      <c r="E499" s="1" t="s">
        <v>625</v>
      </c>
      <c r="F499" s="1"/>
    </row>
    <row r="500" spans="1:7" x14ac:dyDescent="0.35">
      <c r="A500" s="95" t="s">
        <v>10</v>
      </c>
      <c r="B500" s="2" t="s">
        <v>171</v>
      </c>
      <c r="E500" s="3" t="s">
        <v>10</v>
      </c>
      <c r="F500" s="3" t="s">
        <v>626</v>
      </c>
    </row>
    <row r="501" spans="1:7" x14ac:dyDescent="0.35">
      <c r="A501" s="95" t="s">
        <v>12</v>
      </c>
      <c r="B501" s="2" t="s">
        <v>172</v>
      </c>
      <c r="E501" s="3" t="s">
        <v>12</v>
      </c>
      <c r="F501" s="3" t="s">
        <v>627</v>
      </c>
    </row>
    <row r="502" spans="1:7" ht="31" x14ac:dyDescent="0.35">
      <c r="A502" s="95" t="s">
        <v>33</v>
      </c>
      <c r="B502" s="2" t="s">
        <v>173</v>
      </c>
      <c r="E502" s="3" t="s">
        <v>33</v>
      </c>
      <c r="F502" s="3" t="s">
        <v>628</v>
      </c>
    </row>
    <row r="503" spans="1:7" x14ac:dyDescent="0.35">
      <c r="A503" s="95" t="s">
        <v>629</v>
      </c>
      <c r="B503" s="2" t="s">
        <v>174</v>
      </c>
      <c r="E503" s="3" t="s">
        <v>41</v>
      </c>
      <c r="F503" s="3" t="s">
        <v>630</v>
      </c>
    </row>
    <row r="504" spans="1:7" x14ac:dyDescent="0.35">
      <c r="F504" s="38"/>
    </row>
    <row r="505" spans="1:7" x14ac:dyDescent="0.35">
      <c r="A505" s="544" t="s">
        <v>631</v>
      </c>
      <c r="B505" s="21"/>
      <c r="E505" s="1" t="s">
        <v>632</v>
      </c>
      <c r="F505" s="38"/>
    </row>
    <row r="506" spans="1:7" x14ac:dyDescent="0.35">
      <c r="A506" s="95" t="s">
        <v>10</v>
      </c>
      <c r="B506" s="2" t="s">
        <v>175</v>
      </c>
      <c r="E506" s="3" t="s">
        <v>633</v>
      </c>
      <c r="F506" s="3" t="s">
        <v>634</v>
      </c>
    </row>
    <row r="507" spans="1:7" x14ac:dyDescent="0.35">
      <c r="A507" s="95" t="s">
        <v>635</v>
      </c>
      <c r="B507" s="2" t="s">
        <v>176</v>
      </c>
      <c r="E507" s="3" t="s">
        <v>636</v>
      </c>
      <c r="F507" s="3" t="s">
        <v>637</v>
      </c>
    </row>
    <row r="508" spans="1:7" ht="31" x14ac:dyDescent="0.35">
      <c r="A508" s="95" t="s">
        <v>638</v>
      </c>
      <c r="B508" s="2" t="s">
        <v>177</v>
      </c>
      <c r="E508" s="3" t="s">
        <v>639</v>
      </c>
    </row>
    <row r="509" spans="1:7" ht="31" x14ac:dyDescent="0.35">
      <c r="A509" s="95" t="s">
        <v>640</v>
      </c>
      <c r="B509" s="2" t="s">
        <v>178</v>
      </c>
      <c r="E509" s="38"/>
    </row>
    <row r="510" spans="1:7" x14ac:dyDescent="0.35">
      <c r="C510" s="96"/>
      <c r="D510" s="746"/>
      <c r="G510" s="3" t="s">
        <v>641</v>
      </c>
    </row>
    <row r="517" spans="1:14" s="1" customFormat="1" ht="18" customHeight="1" x14ac:dyDescent="0.35">
      <c r="A517" s="747"/>
      <c r="B517" s="97" t="s">
        <v>179</v>
      </c>
      <c r="C517" s="98" t="s">
        <v>180</v>
      </c>
      <c r="D517" s="748"/>
      <c r="E517" s="98" t="s">
        <v>642</v>
      </c>
      <c r="F517" s="98" t="s">
        <v>643</v>
      </c>
      <c r="G517" s="98" t="s">
        <v>644</v>
      </c>
      <c r="H517" s="98" t="s">
        <v>645</v>
      </c>
      <c r="I517" s="98"/>
      <c r="J517" s="98"/>
      <c r="K517" s="97"/>
      <c r="L517" s="21"/>
      <c r="M517" s="21"/>
      <c r="N517" s="581"/>
    </row>
    <row r="518" spans="1:14" s="1" customFormat="1" ht="18" customHeight="1" x14ac:dyDescent="0.35">
      <c r="A518" s="749"/>
      <c r="B518" s="99"/>
      <c r="C518" s="100" t="s">
        <v>181</v>
      </c>
      <c r="D518" s="750"/>
      <c r="E518" s="100" t="s">
        <v>646</v>
      </c>
      <c r="F518" s="100" t="s">
        <v>646</v>
      </c>
      <c r="G518" s="100" t="s">
        <v>646</v>
      </c>
      <c r="H518" s="100" t="s">
        <v>646</v>
      </c>
      <c r="I518" s="100"/>
      <c r="J518" s="101"/>
      <c r="K518" s="751"/>
      <c r="L518" s="21"/>
      <c r="M518" s="21"/>
      <c r="N518" s="581"/>
    </row>
    <row r="519" spans="1:14" ht="18" customHeight="1" x14ac:dyDescent="0.35">
      <c r="A519" s="752"/>
      <c r="B519" s="28" t="s">
        <v>182</v>
      </c>
      <c r="C519" s="10">
        <f t="shared" ref="C519:C542" si="28">SUM(E519:H519)</f>
        <v>98.550000000000011</v>
      </c>
      <c r="D519" s="615"/>
      <c r="E519" s="10">
        <f>+E35</f>
        <v>56.047999999999995</v>
      </c>
      <c r="F519" s="10"/>
      <c r="G519" s="10">
        <f>+G35</f>
        <v>4.53</v>
      </c>
      <c r="H519" s="10">
        <f>+H35</f>
        <v>37.972000000000008</v>
      </c>
      <c r="I519" s="10"/>
      <c r="J519" s="102"/>
      <c r="K519" s="653"/>
      <c r="L519" s="21"/>
      <c r="M519" s="21"/>
    </row>
    <row r="520" spans="1:14" ht="18" customHeight="1" x14ac:dyDescent="0.35">
      <c r="A520" s="752"/>
      <c r="B520" s="28" t="s">
        <v>183</v>
      </c>
      <c r="C520" s="10">
        <f t="shared" si="28"/>
        <v>102.5</v>
      </c>
      <c r="D520" s="615"/>
      <c r="E520" s="10">
        <f>+E69</f>
        <v>29.040000000000003</v>
      </c>
      <c r="F520" s="10"/>
      <c r="G520" s="10"/>
      <c r="H520" s="10">
        <f>+H69</f>
        <v>73.459999999999994</v>
      </c>
      <c r="I520" s="10"/>
      <c r="J520" s="103"/>
      <c r="K520" s="28"/>
    </row>
    <row r="521" spans="1:14" ht="18" customHeight="1" x14ac:dyDescent="0.35">
      <c r="A521" s="752"/>
      <c r="B521" s="28" t="s">
        <v>184</v>
      </c>
      <c r="C521" s="10">
        <f t="shared" si="28"/>
        <v>42.45</v>
      </c>
      <c r="D521" s="615"/>
      <c r="E521" s="10">
        <f>+E82</f>
        <v>5.7200000000000006</v>
      </c>
      <c r="F521" s="10"/>
      <c r="G521" s="10"/>
      <c r="H521" s="10">
        <f>+H82</f>
        <v>36.730000000000004</v>
      </c>
      <c r="I521" s="10"/>
      <c r="J521" s="102"/>
      <c r="K521" s="653"/>
      <c r="L521" s="21"/>
      <c r="M521" s="21"/>
    </row>
    <row r="522" spans="1:14" ht="18" customHeight="1" x14ac:dyDescent="0.35">
      <c r="A522" s="753"/>
      <c r="B522" s="104" t="s">
        <v>185</v>
      </c>
      <c r="C522" s="10">
        <f t="shared" si="28"/>
        <v>3.1</v>
      </c>
      <c r="D522" s="656"/>
      <c r="E522" s="11">
        <f>+E89</f>
        <v>0.48</v>
      </c>
      <c r="F522" s="11"/>
      <c r="G522" s="11"/>
      <c r="H522" s="11">
        <f>+H89</f>
        <v>2.62</v>
      </c>
      <c r="I522" s="11"/>
      <c r="J522" s="102"/>
      <c r="K522" s="653"/>
      <c r="L522" s="21"/>
      <c r="M522" s="21"/>
    </row>
    <row r="523" spans="1:14" ht="18" customHeight="1" x14ac:dyDescent="0.35">
      <c r="A523" s="753"/>
      <c r="B523" s="104" t="s">
        <v>186</v>
      </c>
      <c r="C523" s="10">
        <f t="shared" si="28"/>
        <v>54.1</v>
      </c>
      <c r="D523" s="656"/>
      <c r="E523" s="11">
        <f>+E106</f>
        <v>15.850000000000001</v>
      </c>
      <c r="F523" s="11"/>
      <c r="G523" s="11"/>
      <c r="H523" s="11">
        <f>+H106</f>
        <v>38.25</v>
      </c>
      <c r="I523" s="11"/>
      <c r="J523" s="102"/>
      <c r="K523" s="653"/>
      <c r="L523" s="21"/>
      <c r="M523" s="21"/>
    </row>
    <row r="524" spans="1:14" ht="18" customHeight="1" x14ac:dyDescent="0.35">
      <c r="A524" s="753"/>
      <c r="B524" s="104" t="s">
        <v>187</v>
      </c>
      <c r="C524" s="10">
        <f t="shared" si="28"/>
        <v>107.85</v>
      </c>
      <c r="D524" s="656"/>
      <c r="E524" s="11">
        <f>+E145</f>
        <v>41.619</v>
      </c>
      <c r="F524" s="11"/>
      <c r="G524" s="11"/>
      <c r="H524" s="11">
        <f>+H145</f>
        <v>66.230999999999995</v>
      </c>
      <c r="I524" s="11"/>
      <c r="J524" s="102"/>
      <c r="K524" s="653"/>
      <c r="L524" s="21"/>
      <c r="M524" s="21"/>
    </row>
    <row r="525" spans="1:14" ht="18" customHeight="1" x14ac:dyDescent="0.35">
      <c r="A525" s="753"/>
      <c r="B525" s="104" t="s">
        <v>188</v>
      </c>
      <c r="C525" s="10">
        <f t="shared" si="28"/>
        <v>49.300000000000004</v>
      </c>
      <c r="D525" s="656"/>
      <c r="E525" s="11">
        <f>+E166</f>
        <v>4.5600000000000005</v>
      </c>
      <c r="F525" s="11"/>
      <c r="G525" s="11"/>
      <c r="H525" s="11">
        <f>+H166</f>
        <v>44.74</v>
      </c>
      <c r="I525" s="11"/>
      <c r="J525" s="102"/>
      <c r="K525" s="653"/>
      <c r="L525" s="21"/>
      <c r="M525" s="21"/>
    </row>
    <row r="526" spans="1:14" ht="18" customHeight="1" x14ac:dyDescent="0.35">
      <c r="A526" s="753"/>
      <c r="B526" s="104" t="s">
        <v>189</v>
      </c>
      <c r="C526" s="10">
        <f t="shared" si="28"/>
        <v>18.5</v>
      </c>
      <c r="D526" s="656"/>
      <c r="E526" s="11">
        <f>+E174</f>
        <v>17.809999999999999</v>
      </c>
      <c r="F526" s="11"/>
      <c r="G526" s="11"/>
      <c r="H526" s="11">
        <f>+H174</f>
        <v>0.69</v>
      </c>
      <c r="I526" s="11"/>
      <c r="J526" s="102"/>
      <c r="K526" s="653"/>
      <c r="L526" s="21"/>
      <c r="M526" s="21"/>
    </row>
    <row r="527" spans="1:14" s="1" customFormat="1" ht="18" customHeight="1" x14ac:dyDescent="0.35">
      <c r="A527" s="753"/>
      <c r="B527" s="81" t="s">
        <v>190</v>
      </c>
      <c r="C527" s="51">
        <f t="shared" si="28"/>
        <v>476.35</v>
      </c>
      <c r="D527" s="708"/>
      <c r="E527" s="82">
        <f>SUM(E519:E526)</f>
        <v>171.12700000000001</v>
      </c>
      <c r="F527" s="82">
        <f>SUM(F519:F526)</f>
        <v>0</v>
      </c>
      <c r="G527" s="82">
        <f>SUM(G519:G526)</f>
        <v>4.53</v>
      </c>
      <c r="H527" s="82">
        <f>SUM(H519:H526)</f>
        <v>300.69299999999998</v>
      </c>
      <c r="I527" s="82"/>
      <c r="J527" s="102"/>
      <c r="K527" s="653"/>
      <c r="L527" s="21"/>
      <c r="M527" s="21"/>
      <c r="N527" s="581"/>
    </row>
    <row r="528" spans="1:14" ht="18" customHeight="1" x14ac:dyDescent="0.35">
      <c r="A528" s="753"/>
      <c r="B528" s="104" t="s">
        <v>191</v>
      </c>
      <c r="C528" s="10">
        <f t="shared" si="28"/>
        <v>129.17099999999999</v>
      </c>
      <c r="D528" s="656"/>
      <c r="E528" s="11">
        <f>+E200</f>
        <v>37.722000000000001</v>
      </c>
      <c r="F528" s="11">
        <f>+F200</f>
        <v>0</v>
      </c>
      <c r="G528" s="11"/>
      <c r="H528" s="11">
        <f>+H200</f>
        <v>91.448999999999984</v>
      </c>
      <c r="I528" s="11"/>
      <c r="J528" s="102"/>
      <c r="K528" s="653"/>
      <c r="L528" s="21"/>
      <c r="M528" s="21"/>
    </row>
    <row r="529" spans="1:14" ht="18" customHeight="1" x14ac:dyDescent="0.35">
      <c r="A529" s="753"/>
      <c r="B529" s="104" t="s">
        <v>192</v>
      </c>
      <c r="C529" s="10">
        <f t="shared" si="28"/>
        <v>87.300999999999988</v>
      </c>
      <c r="D529" s="656"/>
      <c r="E529" s="11">
        <f>+E215</f>
        <v>35.895999999999994</v>
      </c>
      <c r="F529" s="11"/>
      <c r="G529" s="11"/>
      <c r="H529" s="11">
        <f>+H215</f>
        <v>51.404999999999987</v>
      </c>
      <c r="I529" s="11"/>
      <c r="J529" s="102"/>
      <c r="K529" s="653"/>
      <c r="L529" s="21"/>
      <c r="M529" s="21"/>
    </row>
    <row r="530" spans="1:14" ht="18" customHeight="1" x14ac:dyDescent="0.35">
      <c r="A530" s="753"/>
      <c r="B530" s="104" t="s">
        <v>193</v>
      </c>
      <c r="C530" s="10">
        <f t="shared" si="28"/>
        <v>82.879999999999981</v>
      </c>
      <c r="D530" s="656"/>
      <c r="E530" s="11">
        <f>+E230</f>
        <v>18.352999999999998</v>
      </c>
      <c r="F530" s="11"/>
      <c r="G530" s="11"/>
      <c r="H530" s="11">
        <f>+H230</f>
        <v>64.526999999999987</v>
      </c>
      <c r="I530" s="11"/>
      <c r="J530" s="102"/>
      <c r="K530" s="653"/>
      <c r="L530" s="21"/>
      <c r="M530" s="21"/>
    </row>
    <row r="531" spans="1:14" ht="18" customHeight="1" x14ac:dyDescent="0.35">
      <c r="A531" s="753"/>
      <c r="B531" s="104" t="s">
        <v>194</v>
      </c>
      <c r="C531" s="10">
        <f t="shared" si="28"/>
        <v>28.124000000000002</v>
      </c>
      <c r="D531" s="656"/>
      <c r="E531" s="11">
        <f>+E242</f>
        <v>13.035</v>
      </c>
      <c r="F531" s="11"/>
      <c r="G531" s="11"/>
      <c r="H531" s="11">
        <f>+H242</f>
        <v>15.089000000000002</v>
      </c>
      <c r="I531" s="11"/>
      <c r="J531" s="102"/>
      <c r="K531" s="653"/>
      <c r="L531" s="21"/>
      <c r="M531" s="21"/>
    </row>
    <row r="532" spans="1:14" ht="18" customHeight="1" x14ac:dyDescent="0.35">
      <c r="A532" s="753"/>
      <c r="B532" s="104" t="s">
        <v>195</v>
      </c>
      <c r="C532" s="10">
        <f t="shared" si="28"/>
        <v>74.19</v>
      </c>
      <c r="D532" s="656"/>
      <c r="E532" s="11">
        <f>+E263</f>
        <v>26.14</v>
      </c>
      <c r="F532" s="11"/>
      <c r="G532" s="11"/>
      <c r="H532" s="11">
        <f>+H263</f>
        <v>48.05</v>
      </c>
      <c r="I532" s="11"/>
      <c r="J532" s="102"/>
      <c r="K532" s="653"/>
      <c r="L532" s="21"/>
      <c r="M532" s="21"/>
    </row>
    <row r="533" spans="1:14" ht="18" customHeight="1" x14ac:dyDescent="0.35">
      <c r="A533" s="753"/>
      <c r="B533" s="104" t="s">
        <v>196</v>
      </c>
      <c r="C533" s="10">
        <f t="shared" si="28"/>
        <v>62</v>
      </c>
      <c r="D533" s="656"/>
      <c r="E533" s="11">
        <f>+E281</f>
        <v>14.170000000000002</v>
      </c>
      <c r="F533" s="11">
        <f>+F281</f>
        <v>0</v>
      </c>
      <c r="G533" s="11"/>
      <c r="H533" s="11">
        <f>+H281</f>
        <v>47.83</v>
      </c>
      <c r="I533" s="11"/>
      <c r="J533" s="102"/>
      <c r="K533" s="653"/>
      <c r="L533" s="21"/>
      <c r="M533" s="21"/>
    </row>
    <row r="534" spans="1:14" ht="18" customHeight="1" x14ac:dyDescent="0.35">
      <c r="A534" s="753"/>
      <c r="B534" s="104" t="s">
        <v>197</v>
      </c>
      <c r="C534" s="10">
        <f t="shared" si="28"/>
        <v>45.13</v>
      </c>
      <c r="D534" s="656"/>
      <c r="E534" s="11">
        <f>+E296</f>
        <v>32.159999999999997</v>
      </c>
      <c r="F534" s="11">
        <f>+F296</f>
        <v>1.45</v>
      </c>
      <c r="G534" s="11"/>
      <c r="H534" s="11">
        <f>+H296</f>
        <v>11.520000000000001</v>
      </c>
      <c r="I534" s="11"/>
      <c r="J534" s="102"/>
      <c r="K534" s="653"/>
      <c r="L534" s="21"/>
      <c r="M534" s="21"/>
    </row>
    <row r="535" spans="1:14" ht="18" customHeight="1" x14ac:dyDescent="0.35">
      <c r="A535" s="753"/>
      <c r="B535" s="104" t="s">
        <v>198</v>
      </c>
      <c r="C535" s="10">
        <f t="shared" si="28"/>
        <v>32.799999999999997</v>
      </c>
      <c r="D535" s="656"/>
      <c r="E535" s="11">
        <f>+E314</f>
        <v>15.01</v>
      </c>
      <c r="F535" s="11">
        <f>+F314</f>
        <v>3.29</v>
      </c>
      <c r="G535" s="11"/>
      <c r="H535" s="11">
        <f>+H314</f>
        <v>14.5</v>
      </c>
      <c r="I535" s="11"/>
      <c r="J535" s="102"/>
      <c r="K535" s="653"/>
      <c r="L535" s="21"/>
      <c r="M535" s="21"/>
    </row>
    <row r="536" spans="1:14" ht="18" customHeight="1" x14ac:dyDescent="0.35">
      <c r="A536" s="753"/>
      <c r="B536" s="104" t="s">
        <v>199</v>
      </c>
      <c r="C536" s="10">
        <f t="shared" si="28"/>
        <v>7.25</v>
      </c>
      <c r="D536" s="656"/>
      <c r="E536" s="11">
        <f>+E323</f>
        <v>3.3</v>
      </c>
      <c r="F536" s="11"/>
      <c r="G536" s="11"/>
      <c r="H536" s="11">
        <f>+H323</f>
        <v>3.9499999999999997</v>
      </c>
      <c r="I536" s="11"/>
      <c r="J536" s="102"/>
      <c r="K536" s="653"/>
      <c r="L536" s="21"/>
      <c r="M536" s="21"/>
    </row>
    <row r="537" spans="1:14" ht="18" customHeight="1" x14ac:dyDescent="0.35">
      <c r="A537" s="753"/>
      <c r="B537" s="104" t="s">
        <v>200</v>
      </c>
      <c r="C537" s="10">
        <f t="shared" si="28"/>
        <v>113.07000000000001</v>
      </c>
      <c r="D537" s="656"/>
      <c r="E537" s="11">
        <f>+E343</f>
        <v>56.6</v>
      </c>
      <c r="F537" s="11"/>
      <c r="G537" s="11"/>
      <c r="H537" s="11">
        <f>+H343</f>
        <v>56.470000000000006</v>
      </c>
      <c r="I537" s="11"/>
      <c r="J537" s="102"/>
      <c r="K537" s="653"/>
      <c r="L537" s="21"/>
      <c r="M537" s="21"/>
    </row>
    <row r="538" spans="1:14" ht="18" customHeight="1" x14ac:dyDescent="0.35">
      <c r="A538" s="753"/>
      <c r="B538" s="104" t="s">
        <v>201</v>
      </c>
      <c r="C538" s="10">
        <f t="shared" si="28"/>
        <v>46.961999999999996</v>
      </c>
      <c r="D538" s="656"/>
      <c r="E538" s="11">
        <f>+E358</f>
        <v>11.612</v>
      </c>
      <c r="F538" s="11"/>
      <c r="G538" s="11"/>
      <c r="H538" s="11">
        <f>+H358</f>
        <v>35.349999999999994</v>
      </c>
      <c r="I538" s="11"/>
      <c r="J538" s="102"/>
      <c r="K538" s="653"/>
      <c r="L538" s="21"/>
      <c r="M538" s="21"/>
    </row>
    <row r="539" spans="1:14" ht="18" customHeight="1" x14ac:dyDescent="0.35">
      <c r="A539" s="753"/>
      <c r="B539" s="104" t="s">
        <v>202</v>
      </c>
      <c r="C539" s="10">
        <f t="shared" si="28"/>
        <v>24.68</v>
      </c>
      <c r="D539" s="656"/>
      <c r="E539" s="11">
        <f>+E369</f>
        <v>17.463999999999999</v>
      </c>
      <c r="F539" s="11"/>
      <c r="G539" s="11"/>
      <c r="H539" s="11">
        <f>+H369</f>
        <v>7.2160000000000002</v>
      </c>
      <c r="I539" s="11"/>
      <c r="J539" s="102"/>
      <c r="K539" s="653"/>
      <c r="L539" s="21"/>
      <c r="M539" s="21"/>
    </row>
    <row r="540" spans="1:14" ht="18" customHeight="1" x14ac:dyDescent="0.35">
      <c r="A540" s="753"/>
      <c r="B540" s="104" t="s">
        <v>203</v>
      </c>
      <c r="C540" s="10">
        <f t="shared" si="28"/>
        <v>8.7409999999999997</v>
      </c>
      <c r="D540" s="656"/>
      <c r="E540" s="11">
        <f>+E377</f>
        <v>1.18</v>
      </c>
      <c r="F540" s="11"/>
      <c r="G540" s="11"/>
      <c r="H540" s="11">
        <f>+H377</f>
        <v>7.5609999999999999</v>
      </c>
      <c r="I540" s="11"/>
      <c r="J540" s="102"/>
      <c r="K540" s="653"/>
      <c r="L540" s="21"/>
      <c r="M540" s="21"/>
    </row>
    <row r="541" spans="1:14" s="1" customFormat="1" ht="18" customHeight="1" x14ac:dyDescent="0.35">
      <c r="A541" s="753"/>
      <c r="B541" s="81" t="s">
        <v>190</v>
      </c>
      <c r="C541" s="51">
        <f t="shared" si="28"/>
        <v>742.29899999999998</v>
      </c>
      <c r="D541" s="708"/>
      <c r="E541" s="82">
        <f>SUM(E528:E540)</f>
        <v>282.642</v>
      </c>
      <c r="F541" s="82">
        <f>SUM(F528:F540)</f>
        <v>4.74</v>
      </c>
      <c r="G541" s="82"/>
      <c r="H541" s="82">
        <f>SUM(H528:H540)</f>
        <v>454.91699999999997</v>
      </c>
      <c r="I541" s="82"/>
      <c r="J541" s="102"/>
      <c r="K541" s="653"/>
      <c r="L541" s="21"/>
      <c r="M541" s="21"/>
      <c r="N541" s="581"/>
    </row>
    <row r="542" spans="1:14" ht="18" customHeight="1" x14ac:dyDescent="0.35">
      <c r="A542" s="752"/>
      <c r="B542" s="105" t="s">
        <v>204</v>
      </c>
      <c r="C542" s="51">
        <f t="shared" si="28"/>
        <v>1218.6489999999999</v>
      </c>
      <c r="D542" s="708"/>
      <c r="E542" s="82">
        <f>+E541+E527</f>
        <v>453.76900000000001</v>
      </c>
      <c r="F542" s="82">
        <f>+F541+F527</f>
        <v>4.74</v>
      </c>
      <c r="G542" s="82">
        <f>+G541+G527</f>
        <v>4.53</v>
      </c>
      <c r="H542" s="82">
        <f>+H541+H527</f>
        <v>755.6099999999999</v>
      </c>
      <c r="I542" s="82"/>
      <c r="J542" s="102"/>
      <c r="K542" s="105"/>
      <c r="L542" s="21"/>
      <c r="M542" s="21"/>
    </row>
    <row r="544" spans="1:14" ht="31" x14ac:dyDescent="0.35">
      <c r="C544" s="96">
        <v>1149.9349999999999</v>
      </c>
      <c r="D544" s="746"/>
      <c r="K544" s="2" t="s">
        <v>647</v>
      </c>
    </row>
  </sheetData>
  <autoFilter ref="J1:J557" xr:uid="{00000000-0009-0000-0000-000019000000}"/>
  <mergeCells count="176">
    <mergeCell ref="A379:B379"/>
    <mergeCell ref="A380:B380"/>
    <mergeCell ref="A371:L371"/>
    <mergeCell ref="A373:A374"/>
    <mergeCell ref="B373:B374"/>
    <mergeCell ref="C373:C374"/>
    <mergeCell ref="E373:I373"/>
    <mergeCell ref="J373:J374"/>
    <mergeCell ref="K373:K374"/>
    <mergeCell ref="L373:L374"/>
    <mergeCell ref="A360:L360"/>
    <mergeCell ref="A362:A363"/>
    <mergeCell ref="B362:B363"/>
    <mergeCell ref="C362:C363"/>
    <mergeCell ref="E362:I362"/>
    <mergeCell ref="J362:J363"/>
    <mergeCell ref="K362:K363"/>
    <mergeCell ref="L362:L363"/>
    <mergeCell ref="A345:L345"/>
    <mergeCell ref="A347:A348"/>
    <mergeCell ref="B347:B348"/>
    <mergeCell ref="C347:C348"/>
    <mergeCell ref="E347:I347"/>
    <mergeCell ref="J347:J348"/>
    <mergeCell ref="K347:K348"/>
    <mergeCell ref="L347:L348"/>
    <mergeCell ref="A327:A328"/>
    <mergeCell ref="B327:B328"/>
    <mergeCell ref="C327:C328"/>
    <mergeCell ref="E327:I327"/>
    <mergeCell ref="J327:J328"/>
    <mergeCell ref="K327:K328"/>
    <mergeCell ref="L327:L328"/>
    <mergeCell ref="A316:L316"/>
    <mergeCell ref="A318:A319"/>
    <mergeCell ref="B318:B319"/>
    <mergeCell ref="C318:C319"/>
    <mergeCell ref="E318:I318"/>
    <mergeCell ref="J318:J319"/>
    <mergeCell ref="K318:K319"/>
    <mergeCell ref="L318:L319"/>
    <mergeCell ref="A298:L298"/>
    <mergeCell ref="A300:A301"/>
    <mergeCell ref="B300:B301"/>
    <mergeCell ref="C300:C301"/>
    <mergeCell ref="E300:I300"/>
    <mergeCell ref="J300:J301"/>
    <mergeCell ref="K300:K301"/>
    <mergeCell ref="L300:L301"/>
    <mergeCell ref="A325:L325"/>
    <mergeCell ref="A285:A286"/>
    <mergeCell ref="B285:B286"/>
    <mergeCell ref="C285:C286"/>
    <mergeCell ref="E285:I285"/>
    <mergeCell ref="J285:J286"/>
    <mergeCell ref="K285:K286"/>
    <mergeCell ref="N256:N258"/>
    <mergeCell ref="A265:L265"/>
    <mergeCell ref="A267:A268"/>
    <mergeCell ref="B267:B268"/>
    <mergeCell ref="C267:C268"/>
    <mergeCell ref="E267:I267"/>
    <mergeCell ref="J267:J268"/>
    <mergeCell ref="K267:K268"/>
    <mergeCell ref="L267:L268"/>
    <mergeCell ref="L285:L286"/>
    <mergeCell ref="A244:K244"/>
    <mergeCell ref="A246:A247"/>
    <mergeCell ref="B246:B247"/>
    <mergeCell ref="C246:C247"/>
    <mergeCell ref="E246:I246"/>
    <mergeCell ref="J246:J247"/>
    <mergeCell ref="K246:K247"/>
    <mergeCell ref="L246:L247"/>
    <mergeCell ref="A283:K283"/>
    <mergeCell ref="A232:K232"/>
    <mergeCell ref="A234:A235"/>
    <mergeCell ref="B234:B235"/>
    <mergeCell ref="C234:C235"/>
    <mergeCell ref="E234:I234"/>
    <mergeCell ref="J234:J235"/>
    <mergeCell ref="K234:K235"/>
    <mergeCell ref="L204:L205"/>
    <mergeCell ref="A217:K217"/>
    <mergeCell ref="A219:A220"/>
    <mergeCell ref="B219:B220"/>
    <mergeCell ref="C219:C220"/>
    <mergeCell ref="E219:I219"/>
    <mergeCell ref="J219:J220"/>
    <mergeCell ref="K219:K220"/>
    <mergeCell ref="L219:L220"/>
    <mergeCell ref="L234:L235"/>
    <mergeCell ref="A202:K202"/>
    <mergeCell ref="A204:A205"/>
    <mergeCell ref="B204:B205"/>
    <mergeCell ref="C204:C205"/>
    <mergeCell ref="E204:I204"/>
    <mergeCell ref="J204:J205"/>
    <mergeCell ref="K204:K205"/>
    <mergeCell ref="A176:B176"/>
    <mergeCell ref="A178:L178"/>
    <mergeCell ref="A180:A181"/>
    <mergeCell ref="B180:B181"/>
    <mergeCell ref="C180:C181"/>
    <mergeCell ref="E180:I180"/>
    <mergeCell ref="J180:J181"/>
    <mergeCell ref="K180:K181"/>
    <mergeCell ref="L180:L181"/>
    <mergeCell ref="A168:L168"/>
    <mergeCell ref="A170:A171"/>
    <mergeCell ref="B170:B171"/>
    <mergeCell ref="C170:C171"/>
    <mergeCell ref="E170:I170"/>
    <mergeCell ref="J170:J171"/>
    <mergeCell ref="K170:K171"/>
    <mergeCell ref="L170:L171"/>
    <mergeCell ref="A147:L147"/>
    <mergeCell ref="A149:A150"/>
    <mergeCell ref="B149:B150"/>
    <mergeCell ref="C149:C150"/>
    <mergeCell ref="E149:I149"/>
    <mergeCell ref="J149:J150"/>
    <mergeCell ref="K149:K150"/>
    <mergeCell ref="L149:L150"/>
    <mergeCell ref="A108:L108"/>
    <mergeCell ref="A110:A111"/>
    <mergeCell ref="B110:B111"/>
    <mergeCell ref="C110:C111"/>
    <mergeCell ref="E110:I110"/>
    <mergeCell ref="J110:J111"/>
    <mergeCell ref="K110:K111"/>
    <mergeCell ref="L110:L111"/>
    <mergeCell ref="A91:L91"/>
    <mergeCell ref="A93:A94"/>
    <mergeCell ref="B93:B94"/>
    <mergeCell ref="C93:C94"/>
    <mergeCell ref="E93:I93"/>
    <mergeCell ref="J93:J94"/>
    <mergeCell ref="K93:K94"/>
    <mergeCell ref="L93:L94"/>
    <mergeCell ref="A86:A87"/>
    <mergeCell ref="B86:B87"/>
    <mergeCell ref="C86:C87"/>
    <mergeCell ref="E86:I86"/>
    <mergeCell ref="J86:J87"/>
    <mergeCell ref="K86:K87"/>
    <mergeCell ref="L86:L87"/>
    <mergeCell ref="A70:L70"/>
    <mergeCell ref="A72:A73"/>
    <mergeCell ref="B72:B73"/>
    <mergeCell ref="C72:C73"/>
    <mergeCell ref="E72:I72"/>
    <mergeCell ref="J72:J73"/>
    <mergeCell ref="K72:K73"/>
    <mergeCell ref="L72:L73"/>
    <mergeCell ref="A37:L37"/>
    <mergeCell ref="A39:A40"/>
    <mergeCell ref="B39:B40"/>
    <mergeCell ref="C39:C40"/>
    <mergeCell ref="E39:I39"/>
    <mergeCell ref="J39:J40"/>
    <mergeCell ref="K39:K40"/>
    <mergeCell ref="L39:L40"/>
    <mergeCell ref="A84:L84"/>
    <mergeCell ref="A1:K1"/>
    <mergeCell ref="A2:K2"/>
    <mergeCell ref="A3:K3"/>
    <mergeCell ref="A6:L6"/>
    <mergeCell ref="A8:A9"/>
    <mergeCell ref="B8:B9"/>
    <mergeCell ref="C8:C9"/>
    <mergeCell ref="D8:D9"/>
    <mergeCell ref="E8:I8"/>
    <mergeCell ref="J8:J9"/>
    <mergeCell ref="K8:K9"/>
    <mergeCell ref="L8:L9"/>
  </mergeCells>
  <pageMargins left="0.7" right="0.7" top="0.75" bottom="0.75" header="0.3" footer="0.3"/>
  <pageSetup paperSize="9" scale="72" orientation="landscape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 filterMode="1">
    <tabColor rgb="FF00B050"/>
    <pageSetUpPr fitToPage="1"/>
  </sheetPr>
  <dimension ref="A1:AK423"/>
  <sheetViews>
    <sheetView view="pageBreakPreview" topLeftCell="B217" zoomScaleNormal="100" zoomScaleSheetLayoutView="100" workbookViewId="0">
      <selection activeCell="B249" sqref="A249:XFD249"/>
    </sheetView>
  </sheetViews>
  <sheetFormatPr defaultRowHeight="15.5" x14ac:dyDescent="0.35"/>
  <cols>
    <col min="1" max="1" width="0" style="3" hidden="1" customWidth="1"/>
    <col min="2" max="2" width="31.7265625" style="2" customWidth="1"/>
    <col min="3" max="3" width="28.1796875" style="2" customWidth="1"/>
    <col min="4" max="4" width="15.453125" style="3" customWidth="1"/>
    <col min="5" max="5" width="18.81640625" style="3" customWidth="1"/>
    <col min="6" max="6" width="18.1796875" style="3" customWidth="1"/>
    <col min="7" max="13" width="0" style="3" hidden="1" customWidth="1"/>
    <col min="14" max="14" width="10.26953125" style="3" hidden="1" customWidth="1"/>
    <col min="15" max="33" width="0" style="3" hidden="1" customWidth="1"/>
    <col min="34" max="34" width="14.1796875" style="3" bestFit="1" customWidth="1"/>
    <col min="35" max="35" width="14" style="3" customWidth="1"/>
    <col min="36" max="251" width="9.1796875" style="3"/>
    <col min="252" max="252" width="13.26953125" style="3" customWidth="1"/>
    <col min="253" max="253" width="27.453125" style="3" customWidth="1"/>
    <col min="254" max="255" width="9.54296875" style="3" customWidth="1"/>
    <col min="256" max="256" width="9.7265625" style="3" customWidth="1"/>
    <col min="257" max="257" width="9.54296875" style="3" customWidth="1"/>
    <col min="258" max="258" width="12.54296875" style="3" customWidth="1"/>
    <col min="259" max="259" width="10" style="3" customWidth="1"/>
    <col min="260" max="260" width="9.7265625" style="3" customWidth="1"/>
    <col min="261" max="263" width="0" style="3" hidden="1" customWidth="1"/>
    <col min="264" max="507" width="9.1796875" style="3"/>
    <col min="508" max="508" width="13.26953125" style="3" customWidth="1"/>
    <col min="509" max="509" width="27.453125" style="3" customWidth="1"/>
    <col min="510" max="511" width="9.54296875" style="3" customWidth="1"/>
    <col min="512" max="512" width="9.7265625" style="3" customWidth="1"/>
    <col min="513" max="513" width="9.54296875" style="3" customWidth="1"/>
    <col min="514" max="514" width="12.54296875" style="3" customWidth="1"/>
    <col min="515" max="515" width="10" style="3" customWidth="1"/>
    <col min="516" max="516" width="9.7265625" style="3" customWidth="1"/>
    <col min="517" max="519" width="0" style="3" hidden="1" customWidth="1"/>
    <col min="520" max="763" width="9.1796875" style="3"/>
    <col min="764" max="764" width="13.26953125" style="3" customWidth="1"/>
    <col min="765" max="765" width="27.453125" style="3" customWidth="1"/>
    <col min="766" max="767" width="9.54296875" style="3" customWidth="1"/>
    <col min="768" max="768" width="9.7265625" style="3" customWidth="1"/>
    <col min="769" max="769" width="9.54296875" style="3" customWidth="1"/>
    <col min="770" max="770" width="12.54296875" style="3" customWidth="1"/>
    <col min="771" max="771" width="10" style="3" customWidth="1"/>
    <col min="772" max="772" width="9.7265625" style="3" customWidth="1"/>
    <col min="773" max="775" width="0" style="3" hidden="1" customWidth="1"/>
    <col min="776" max="1019" width="9.1796875" style="3"/>
    <col min="1020" max="1020" width="13.26953125" style="3" customWidth="1"/>
    <col min="1021" max="1021" width="27.453125" style="3" customWidth="1"/>
    <col min="1022" max="1023" width="9.54296875" style="3" customWidth="1"/>
    <col min="1024" max="1024" width="9.7265625" style="3" customWidth="1"/>
    <col min="1025" max="1025" width="9.54296875" style="3" customWidth="1"/>
    <col min="1026" max="1026" width="12.54296875" style="3" customWidth="1"/>
    <col min="1027" max="1027" width="10" style="3" customWidth="1"/>
    <col min="1028" max="1028" width="9.7265625" style="3" customWidth="1"/>
    <col min="1029" max="1031" width="0" style="3" hidden="1" customWidth="1"/>
    <col min="1032" max="1275" width="9.1796875" style="3"/>
    <col min="1276" max="1276" width="13.26953125" style="3" customWidth="1"/>
    <col min="1277" max="1277" width="27.453125" style="3" customWidth="1"/>
    <col min="1278" max="1279" width="9.54296875" style="3" customWidth="1"/>
    <col min="1280" max="1280" width="9.7265625" style="3" customWidth="1"/>
    <col min="1281" max="1281" width="9.54296875" style="3" customWidth="1"/>
    <col min="1282" max="1282" width="12.54296875" style="3" customWidth="1"/>
    <col min="1283" max="1283" width="10" style="3" customWidth="1"/>
    <col min="1284" max="1284" width="9.7265625" style="3" customWidth="1"/>
    <col min="1285" max="1287" width="0" style="3" hidden="1" customWidth="1"/>
    <col min="1288" max="1531" width="9.1796875" style="3"/>
    <col min="1532" max="1532" width="13.26953125" style="3" customWidth="1"/>
    <col min="1533" max="1533" width="27.453125" style="3" customWidth="1"/>
    <col min="1534" max="1535" width="9.54296875" style="3" customWidth="1"/>
    <col min="1536" max="1536" width="9.7265625" style="3" customWidth="1"/>
    <col min="1537" max="1537" width="9.54296875" style="3" customWidth="1"/>
    <col min="1538" max="1538" width="12.54296875" style="3" customWidth="1"/>
    <col min="1539" max="1539" width="10" style="3" customWidth="1"/>
    <col min="1540" max="1540" width="9.7265625" style="3" customWidth="1"/>
    <col min="1541" max="1543" width="0" style="3" hidden="1" customWidth="1"/>
    <col min="1544" max="1787" width="9.1796875" style="3"/>
    <col min="1788" max="1788" width="13.26953125" style="3" customWidth="1"/>
    <col min="1789" max="1789" width="27.453125" style="3" customWidth="1"/>
    <col min="1790" max="1791" width="9.54296875" style="3" customWidth="1"/>
    <col min="1792" max="1792" width="9.7265625" style="3" customWidth="1"/>
    <col min="1793" max="1793" width="9.54296875" style="3" customWidth="1"/>
    <col min="1794" max="1794" width="12.54296875" style="3" customWidth="1"/>
    <col min="1795" max="1795" width="10" style="3" customWidth="1"/>
    <col min="1796" max="1796" width="9.7265625" style="3" customWidth="1"/>
    <col min="1797" max="1799" width="0" style="3" hidden="1" customWidth="1"/>
    <col min="1800" max="2043" width="9.1796875" style="3"/>
    <col min="2044" max="2044" width="13.26953125" style="3" customWidth="1"/>
    <col min="2045" max="2045" width="27.453125" style="3" customWidth="1"/>
    <col min="2046" max="2047" width="9.54296875" style="3" customWidth="1"/>
    <col min="2048" max="2048" width="9.7265625" style="3" customWidth="1"/>
    <col min="2049" max="2049" width="9.54296875" style="3" customWidth="1"/>
    <col min="2050" max="2050" width="12.54296875" style="3" customWidth="1"/>
    <col min="2051" max="2051" width="10" style="3" customWidth="1"/>
    <col min="2052" max="2052" width="9.7265625" style="3" customWidth="1"/>
    <col min="2053" max="2055" width="0" style="3" hidden="1" customWidth="1"/>
    <col min="2056" max="2299" width="9.1796875" style="3"/>
    <col min="2300" max="2300" width="13.26953125" style="3" customWidth="1"/>
    <col min="2301" max="2301" width="27.453125" style="3" customWidth="1"/>
    <col min="2302" max="2303" width="9.54296875" style="3" customWidth="1"/>
    <col min="2304" max="2304" width="9.7265625" style="3" customWidth="1"/>
    <col min="2305" max="2305" width="9.54296875" style="3" customWidth="1"/>
    <col min="2306" max="2306" width="12.54296875" style="3" customWidth="1"/>
    <col min="2307" max="2307" width="10" style="3" customWidth="1"/>
    <col min="2308" max="2308" width="9.7265625" style="3" customWidth="1"/>
    <col min="2309" max="2311" width="0" style="3" hidden="1" customWidth="1"/>
    <col min="2312" max="2555" width="9.1796875" style="3"/>
    <col min="2556" max="2556" width="13.26953125" style="3" customWidth="1"/>
    <col min="2557" max="2557" width="27.453125" style="3" customWidth="1"/>
    <col min="2558" max="2559" width="9.54296875" style="3" customWidth="1"/>
    <col min="2560" max="2560" width="9.7265625" style="3" customWidth="1"/>
    <col min="2561" max="2561" width="9.54296875" style="3" customWidth="1"/>
    <col min="2562" max="2562" width="12.54296875" style="3" customWidth="1"/>
    <col min="2563" max="2563" width="10" style="3" customWidth="1"/>
    <col min="2564" max="2564" width="9.7265625" style="3" customWidth="1"/>
    <col min="2565" max="2567" width="0" style="3" hidden="1" customWidth="1"/>
    <col min="2568" max="2811" width="9.1796875" style="3"/>
    <col min="2812" max="2812" width="13.26953125" style="3" customWidth="1"/>
    <col min="2813" max="2813" width="27.453125" style="3" customWidth="1"/>
    <col min="2814" max="2815" width="9.54296875" style="3" customWidth="1"/>
    <col min="2816" max="2816" width="9.7265625" style="3" customWidth="1"/>
    <col min="2817" max="2817" width="9.54296875" style="3" customWidth="1"/>
    <col min="2818" max="2818" width="12.54296875" style="3" customWidth="1"/>
    <col min="2819" max="2819" width="10" style="3" customWidth="1"/>
    <col min="2820" max="2820" width="9.7265625" style="3" customWidth="1"/>
    <col min="2821" max="2823" width="0" style="3" hidden="1" customWidth="1"/>
    <col min="2824" max="3067" width="9.1796875" style="3"/>
    <col min="3068" max="3068" width="13.26953125" style="3" customWidth="1"/>
    <col min="3069" max="3069" width="27.453125" style="3" customWidth="1"/>
    <col min="3070" max="3071" width="9.54296875" style="3" customWidth="1"/>
    <col min="3072" max="3072" width="9.7265625" style="3" customWidth="1"/>
    <col min="3073" max="3073" width="9.54296875" style="3" customWidth="1"/>
    <col min="3074" max="3074" width="12.54296875" style="3" customWidth="1"/>
    <col min="3075" max="3075" width="10" style="3" customWidth="1"/>
    <col min="3076" max="3076" width="9.7265625" style="3" customWidth="1"/>
    <col min="3077" max="3079" width="0" style="3" hidden="1" customWidth="1"/>
    <col min="3080" max="3323" width="9.1796875" style="3"/>
    <col min="3324" max="3324" width="13.26953125" style="3" customWidth="1"/>
    <col min="3325" max="3325" width="27.453125" style="3" customWidth="1"/>
    <col min="3326" max="3327" width="9.54296875" style="3" customWidth="1"/>
    <col min="3328" max="3328" width="9.7265625" style="3" customWidth="1"/>
    <col min="3329" max="3329" width="9.54296875" style="3" customWidth="1"/>
    <col min="3330" max="3330" width="12.54296875" style="3" customWidth="1"/>
    <col min="3331" max="3331" width="10" style="3" customWidth="1"/>
    <col min="3332" max="3332" width="9.7265625" style="3" customWidth="1"/>
    <col min="3333" max="3335" width="0" style="3" hidden="1" customWidth="1"/>
    <col min="3336" max="3579" width="9.1796875" style="3"/>
    <col min="3580" max="3580" width="13.26953125" style="3" customWidth="1"/>
    <col min="3581" max="3581" width="27.453125" style="3" customWidth="1"/>
    <col min="3582" max="3583" width="9.54296875" style="3" customWidth="1"/>
    <col min="3584" max="3584" width="9.7265625" style="3" customWidth="1"/>
    <col min="3585" max="3585" width="9.54296875" style="3" customWidth="1"/>
    <col min="3586" max="3586" width="12.54296875" style="3" customWidth="1"/>
    <col min="3587" max="3587" width="10" style="3" customWidth="1"/>
    <col min="3588" max="3588" width="9.7265625" style="3" customWidth="1"/>
    <col min="3589" max="3591" width="0" style="3" hidden="1" customWidth="1"/>
    <col min="3592" max="3835" width="9.1796875" style="3"/>
    <col min="3836" max="3836" width="13.26953125" style="3" customWidth="1"/>
    <col min="3837" max="3837" width="27.453125" style="3" customWidth="1"/>
    <col min="3838" max="3839" width="9.54296875" style="3" customWidth="1"/>
    <col min="3840" max="3840" width="9.7265625" style="3" customWidth="1"/>
    <col min="3841" max="3841" width="9.54296875" style="3" customWidth="1"/>
    <col min="3842" max="3842" width="12.54296875" style="3" customWidth="1"/>
    <col min="3843" max="3843" width="10" style="3" customWidth="1"/>
    <col min="3844" max="3844" width="9.7265625" style="3" customWidth="1"/>
    <col min="3845" max="3847" width="0" style="3" hidden="1" customWidth="1"/>
    <col min="3848" max="4091" width="9.1796875" style="3"/>
    <col min="4092" max="4092" width="13.26953125" style="3" customWidth="1"/>
    <col min="4093" max="4093" width="27.453125" style="3" customWidth="1"/>
    <col min="4094" max="4095" width="9.54296875" style="3" customWidth="1"/>
    <col min="4096" max="4096" width="9.7265625" style="3" customWidth="1"/>
    <col min="4097" max="4097" width="9.54296875" style="3" customWidth="1"/>
    <col min="4098" max="4098" width="12.54296875" style="3" customWidth="1"/>
    <col min="4099" max="4099" width="10" style="3" customWidth="1"/>
    <col min="4100" max="4100" width="9.7265625" style="3" customWidth="1"/>
    <col min="4101" max="4103" width="0" style="3" hidden="1" customWidth="1"/>
    <col min="4104" max="4347" width="9.1796875" style="3"/>
    <col min="4348" max="4348" width="13.26953125" style="3" customWidth="1"/>
    <col min="4349" max="4349" width="27.453125" style="3" customWidth="1"/>
    <col min="4350" max="4351" width="9.54296875" style="3" customWidth="1"/>
    <col min="4352" max="4352" width="9.7265625" style="3" customWidth="1"/>
    <col min="4353" max="4353" width="9.54296875" style="3" customWidth="1"/>
    <col min="4354" max="4354" width="12.54296875" style="3" customWidth="1"/>
    <col min="4355" max="4355" width="10" style="3" customWidth="1"/>
    <col min="4356" max="4356" width="9.7265625" style="3" customWidth="1"/>
    <col min="4357" max="4359" width="0" style="3" hidden="1" customWidth="1"/>
    <col min="4360" max="4603" width="9.1796875" style="3"/>
    <col min="4604" max="4604" width="13.26953125" style="3" customWidth="1"/>
    <col min="4605" max="4605" width="27.453125" style="3" customWidth="1"/>
    <col min="4606" max="4607" width="9.54296875" style="3" customWidth="1"/>
    <col min="4608" max="4608" width="9.7265625" style="3" customWidth="1"/>
    <col min="4609" max="4609" width="9.54296875" style="3" customWidth="1"/>
    <col min="4610" max="4610" width="12.54296875" style="3" customWidth="1"/>
    <col min="4611" max="4611" width="10" style="3" customWidth="1"/>
    <col min="4612" max="4612" width="9.7265625" style="3" customWidth="1"/>
    <col min="4613" max="4615" width="0" style="3" hidden="1" customWidth="1"/>
    <col min="4616" max="4859" width="9.1796875" style="3"/>
    <col min="4860" max="4860" width="13.26953125" style="3" customWidth="1"/>
    <col min="4861" max="4861" width="27.453125" style="3" customWidth="1"/>
    <col min="4862" max="4863" width="9.54296875" style="3" customWidth="1"/>
    <col min="4864" max="4864" width="9.7265625" style="3" customWidth="1"/>
    <col min="4865" max="4865" width="9.54296875" style="3" customWidth="1"/>
    <col min="4866" max="4866" width="12.54296875" style="3" customWidth="1"/>
    <col min="4867" max="4867" width="10" style="3" customWidth="1"/>
    <col min="4868" max="4868" width="9.7265625" style="3" customWidth="1"/>
    <col min="4869" max="4871" width="0" style="3" hidden="1" customWidth="1"/>
    <col min="4872" max="5115" width="9.1796875" style="3"/>
    <col min="5116" max="5116" width="13.26953125" style="3" customWidth="1"/>
    <col min="5117" max="5117" width="27.453125" style="3" customWidth="1"/>
    <col min="5118" max="5119" width="9.54296875" style="3" customWidth="1"/>
    <col min="5120" max="5120" width="9.7265625" style="3" customWidth="1"/>
    <col min="5121" max="5121" width="9.54296875" style="3" customWidth="1"/>
    <col min="5122" max="5122" width="12.54296875" style="3" customWidth="1"/>
    <col min="5123" max="5123" width="10" style="3" customWidth="1"/>
    <col min="5124" max="5124" width="9.7265625" style="3" customWidth="1"/>
    <col min="5125" max="5127" width="0" style="3" hidden="1" customWidth="1"/>
    <col min="5128" max="5371" width="9.1796875" style="3"/>
    <col min="5372" max="5372" width="13.26953125" style="3" customWidth="1"/>
    <col min="5373" max="5373" width="27.453125" style="3" customWidth="1"/>
    <col min="5374" max="5375" width="9.54296875" style="3" customWidth="1"/>
    <col min="5376" max="5376" width="9.7265625" style="3" customWidth="1"/>
    <col min="5377" max="5377" width="9.54296875" style="3" customWidth="1"/>
    <col min="5378" max="5378" width="12.54296875" style="3" customWidth="1"/>
    <col min="5379" max="5379" width="10" style="3" customWidth="1"/>
    <col min="5380" max="5380" width="9.7265625" style="3" customWidth="1"/>
    <col min="5381" max="5383" width="0" style="3" hidden="1" customWidth="1"/>
    <col min="5384" max="5627" width="9.1796875" style="3"/>
    <col min="5628" max="5628" width="13.26953125" style="3" customWidth="1"/>
    <col min="5629" max="5629" width="27.453125" style="3" customWidth="1"/>
    <col min="5630" max="5631" width="9.54296875" style="3" customWidth="1"/>
    <col min="5632" max="5632" width="9.7265625" style="3" customWidth="1"/>
    <col min="5633" max="5633" width="9.54296875" style="3" customWidth="1"/>
    <col min="5634" max="5634" width="12.54296875" style="3" customWidth="1"/>
    <col min="5635" max="5635" width="10" style="3" customWidth="1"/>
    <col min="5636" max="5636" width="9.7265625" style="3" customWidth="1"/>
    <col min="5637" max="5639" width="0" style="3" hidden="1" customWidth="1"/>
    <col min="5640" max="5883" width="9.1796875" style="3"/>
    <col min="5884" max="5884" width="13.26953125" style="3" customWidth="1"/>
    <col min="5885" max="5885" width="27.453125" style="3" customWidth="1"/>
    <col min="5886" max="5887" width="9.54296875" style="3" customWidth="1"/>
    <col min="5888" max="5888" width="9.7265625" style="3" customWidth="1"/>
    <col min="5889" max="5889" width="9.54296875" style="3" customWidth="1"/>
    <col min="5890" max="5890" width="12.54296875" style="3" customWidth="1"/>
    <col min="5891" max="5891" width="10" style="3" customWidth="1"/>
    <col min="5892" max="5892" width="9.7265625" style="3" customWidth="1"/>
    <col min="5893" max="5895" width="0" style="3" hidden="1" customWidth="1"/>
    <col min="5896" max="6139" width="9.1796875" style="3"/>
    <col min="6140" max="6140" width="13.26953125" style="3" customWidth="1"/>
    <col min="6141" max="6141" width="27.453125" style="3" customWidth="1"/>
    <col min="6142" max="6143" width="9.54296875" style="3" customWidth="1"/>
    <col min="6144" max="6144" width="9.7265625" style="3" customWidth="1"/>
    <col min="6145" max="6145" width="9.54296875" style="3" customWidth="1"/>
    <col min="6146" max="6146" width="12.54296875" style="3" customWidth="1"/>
    <col min="6147" max="6147" width="10" style="3" customWidth="1"/>
    <col min="6148" max="6148" width="9.7265625" style="3" customWidth="1"/>
    <col min="6149" max="6151" width="0" style="3" hidden="1" customWidth="1"/>
    <col min="6152" max="6395" width="9.1796875" style="3"/>
    <col min="6396" max="6396" width="13.26953125" style="3" customWidth="1"/>
    <col min="6397" max="6397" width="27.453125" style="3" customWidth="1"/>
    <col min="6398" max="6399" width="9.54296875" style="3" customWidth="1"/>
    <col min="6400" max="6400" width="9.7265625" style="3" customWidth="1"/>
    <col min="6401" max="6401" width="9.54296875" style="3" customWidth="1"/>
    <col min="6402" max="6402" width="12.54296875" style="3" customWidth="1"/>
    <col min="6403" max="6403" width="10" style="3" customWidth="1"/>
    <col min="6404" max="6404" width="9.7265625" style="3" customWidth="1"/>
    <col min="6405" max="6407" width="0" style="3" hidden="1" customWidth="1"/>
    <col min="6408" max="6651" width="9.1796875" style="3"/>
    <col min="6652" max="6652" width="13.26953125" style="3" customWidth="1"/>
    <col min="6653" max="6653" width="27.453125" style="3" customWidth="1"/>
    <col min="6654" max="6655" width="9.54296875" style="3" customWidth="1"/>
    <col min="6656" max="6656" width="9.7265625" style="3" customWidth="1"/>
    <col min="6657" max="6657" width="9.54296875" style="3" customWidth="1"/>
    <col min="6658" max="6658" width="12.54296875" style="3" customWidth="1"/>
    <col min="6659" max="6659" width="10" style="3" customWidth="1"/>
    <col min="6660" max="6660" width="9.7265625" style="3" customWidth="1"/>
    <col min="6661" max="6663" width="0" style="3" hidden="1" customWidth="1"/>
    <col min="6664" max="6907" width="9.1796875" style="3"/>
    <col min="6908" max="6908" width="13.26953125" style="3" customWidth="1"/>
    <col min="6909" max="6909" width="27.453125" style="3" customWidth="1"/>
    <col min="6910" max="6911" width="9.54296875" style="3" customWidth="1"/>
    <col min="6912" max="6912" width="9.7265625" style="3" customWidth="1"/>
    <col min="6913" max="6913" width="9.54296875" style="3" customWidth="1"/>
    <col min="6914" max="6914" width="12.54296875" style="3" customWidth="1"/>
    <col min="6915" max="6915" width="10" style="3" customWidth="1"/>
    <col min="6916" max="6916" width="9.7265625" style="3" customWidth="1"/>
    <col min="6917" max="6919" width="0" style="3" hidden="1" customWidth="1"/>
    <col min="6920" max="7163" width="9.1796875" style="3"/>
    <col min="7164" max="7164" width="13.26953125" style="3" customWidth="1"/>
    <col min="7165" max="7165" width="27.453125" style="3" customWidth="1"/>
    <col min="7166" max="7167" width="9.54296875" style="3" customWidth="1"/>
    <col min="7168" max="7168" width="9.7265625" style="3" customWidth="1"/>
    <col min="7169" max="7169" width="9.54296875" style="3" customWidth="1"/>
    <col min="7170" max="7170" width="12.54296875" style="3" customWidth="1"/>
    <col min="7171" max="7171" width="10" style="3" customWidth="1"/>
    <col min="7172" max="7172" width="9.7265625" style="3" customWidth="1"/>
    <col min="7173" max="7175" width="0" style="3" hidden="1" customWidth="1"/>
    <col min="7176" max="7419" width="9.1796875" style="3"/>
    <col min="7420" max="7420" width="13.26953125" style="3" customWidth="1"/>
    <col min="7421" max="7421" width="27.453125" style="3" customWidth="1"/>
    <col min="7422" max="7423" width="9.54296875" style="3" customWidth="1"/>
    <col min="7424" max="7424" width="9.7265625" style="3" customWidth="1"/>
    <col min="7425" max="7425" width="9.54296875" style="3" customWidth="1"/>
    <col min="7426" max="7426" width="12.54296875" style="3" customWidth="1"/>
    <col min="7427" max="7427" width="10" style="3" customWidth="1"/>
    <col min="7428" max="7428" width="9.7265625" style="3" customWidth="1"/>
    <col min="7429" max="7431" width="0" style="3" hidden="1" customWidth="1"/>
    <col min="7432" max="7675" width="9.1796875" style="3"/>
    <col min="7676" max="7676" width="13.26953125" style="3" customWidth="1"/>
    <col min="7677" max="7677" width="27.453125" style="3" customWidth="1"/>
    <col min="7678" max="7679" width="9.54296875" style="3" customWidth="1"/>
    <col min="7680" max="7680" width="9.7265625" style="3" customWidth="1"/>
    <col min="7681" max="7681" width="9.54296875" style="3" customWidth="1"/>
    <col min="7682" max="7682" width="12.54296875" style="3" customWidth="1"/>
    <col min="7683" max="7683" width="10" style="3" customWidth="1"/>
    <col min="7684" max="7684" width="9.7265625" style="3" customWidth="1"/>
    <col min="7685" max="7687" width="0" style="3" hidden="1" customWidth="1"/>
    <col min="7688" max="7931" width="9.1796875" style="3"/>
    <col min="7932" max="7932" width="13.26953125" style="3" customWidth="1"/>
    <col min="7933" max="7933" width="27.453125" style="3" customWidth="1"/>
    <col min="7934" max="7935" width="9.54296875" style="3" customWidth="1"/>
    <col min="7936" max="7936" width="9.7265625" style="3" customWidth="1"/>
    <col min="7937" max="7937" width="9.54296875" style="3" customWidth="1"/>
    <col min="7938" max="7938" width="12.54296875" style="3" customWidth="1"/>
    <col min="7939" max="7939" width="10" style="3" customWidth="1"/>
    <col min="7940" max="7940" width="9.7265625" style="3" customWidth="1"/>
    <col min="7941" max="7943" width="0" style="3" hidden="1" customWidth="1"/>
    <col min="7944" max="8187" width="9.1796875" style="3"/>
    <col min="8188" max="8188" width="13.26953125" style="3" customWidth="1"/>
    <col min="8189" max="8189" width="27.453125" style="3" customWidth="1"/>
    <col min="8190" max="8191" width="9.54296875" style="3" customWidth="1"/>
    <col min="8192" max="8192" width="9.7265625" style="3" customWidth="1"/>
    <col min="8193" max="8193" width="9.54296875" style="3" customWidth="1"/>
    <col min="8194" max="8194" width="12.54296875" style="3" customWidth="1"/>
    <col min="8195" max="8195" width="10" style="3" customWidth="1"/>
    <col min="8196" max="8196" width="9.7265625" style="3" customWidth="1"/>
    <col min="8197" max="8199" width="0" style="3" hidden="1" customWidth="1"/>
    <col min="8200" max="8443" width="9.1796875" style="3"/>
    <col min="8444" max="8444" width="13.26953125" style="3" customWidth="1"/>
    <col min="8445" max="8445" width="27.453125" style="3" customWidth="1"/>
    <col min="8446" max="8447" width="9.54296875" style="3" customWidth="1"/>
    <col min="8448" max="8448" width="9.7265625" style="3" customWidth="1"/>
    <col min="8449" max="8449" width="9.54296875" style="3" customWidth="1"/>
    <col min="8450" max="8450" width="12.54296875" style="3" customWidth="1"/>
    <col min="8451" max="8451" width="10" style="3" customWidth="1"/>
    <col min="8452" max="8452" width="9.7265625" style="3" customWidth="1"/>
    <col min="8453" max="8455" width="0" style="3" hidden="1" customWidth="1"/>
    <col min="8456" max="8699" width="9.1796875" style="3"/>
    <col min="8700" max="8700" width="13.26953125" style="3" customWidth="1"/>
    <col min="8701" max="8701" width="27.453125" style="3" customWidth="1"/>
    <col min="8702" max="8703" width="9.54296875" style="3" customWidth="1"/>
    <col min="8704" max="8704" width="9.7265625" style="3" customWidth="1"/>
    <col min="8705" max="8705" width="9.54296875" style="3" customWidth="1"/>
    <col min="8706" max="8706" width="12.54296875" style="3" customWidth="1"/>
    <col min="8707" max="8707" width="10" style="3" customWidth="1"/>
    <col min="8708" max="8708" width="9.7265625" style="3" customWidth="1"/>
    <col min="8709" max="8711" width="0" style="3" hidden="1" customWidth="1"/>
    <col min="8712" max="8955" width="9.1796875" style="3"/>
    <col min="8956" max="8956" width="13.26953125" style="3" customWidth="1"/>
    <col min="8957" max="8957" width="27.453125" style="3" customWidth="1"/>
    <col min="8958" max="8959" width="9.54296875" style="3" customWidth="1"/>
    <col min="8960" max="8960" width="9.7265625" style="3" customWidth="1"/>
    <col min="8961" max="8961" width="9.54296875" style="3" customWidth="1"/>
    <col min="8962" max="8962" width="12.54296875" style="3" customWidth="1"/>
    <col min="8963" max="8963" width="10" style="3" customWidth="1"/>
    <col min="8964" max="8964" width="9.7265625" style="3" customWidth="1"/>
    <col min="8965" max="8967" width="0" style="3" hidden="1" customWidth="1"/>
    <col min="8968" max="9211" width="9.1796875" style="3"/>
    <col min="9212" max="9212" width="13.26953125" style="3" customWidth="1"/>
    <col min="9213" max="9213" width="27.453125" style="3" customWidth="1"/>
    <col min="9214" max="9215" width="9.54296875" style="3" customWidth="1"/>
    <col min="9216" max="9216" width="9.7265625" style="3" customWidth="1"/>
    <col min="9217" max="9217" width="9.54296875" style="3" customWidth="1"/>
    <col min="9218" max="9218" width="12.54296875" style="3" customWidth="1"/>
    <col min="9219" max="9219" width="10" style="3" customWidth="1"/>
    <col min="9220" max="9220" width="9.7265625" style="3" customWidth="1"/>
    <col min="9221" max="9223" width="0" style="3" hidden="1" customWidth="1"/>
    <col min="9224" max="9467" width="9.1796875" style="3"/>
    <col min="9468" max="9468" width="13.26953125" style="3" customWidth="1"/>
    <col min="9469" max="9469" width="27.453125" style="3" customWidth="1"/>
    <col min="9470" max="9471" width="9.54296875" style="3" customWidth="1"/>
    <col min="9472" max="9472" width="9.7265625" style="3" customWidth="1"/>
    <col min="9473" max="9473" width="9.54296875" style="3" customWidth="1"/>
    <col min="9474" max="9474" width="12.54296875" style="3" customWidth="1"/>
    <col min="9475" max="9475" width="10" style="3" customWidth="1"/>
    <col min="9476" max="9476" width="9.7265625" style="3" customWidth="1"/>
    <col min="9477" max="9479" width="0" style="3" hidden="1" customWidth="1"/>
    <col min="9480" max="9723" width="9.1796875" style="3"/>
    <col min="9724" max="9724" width="13.26953125" style="3" customWidth="1"/>
    <col min="9725" max="9725" width="27.453125" style="3" customWidth="1"/>
    <col min="9726" max="9727" width="9.54296875" style="3" customWidth="1"/>
    <col min="9728" max="9728" width="9.7265625" style="3" customWidth="1"/>
    <col min="9729" max="9729" width="9.54296875" style="3" customWidth="1"/>
    <col min="9730" max="9730" width="12.54296875" style="3" customWidth="1"/>
    <col min="9731" max="9731" width="10" style="3" customWidth="1"/>
    <col min="9732" max="9732" width="9.7265625" style="3" customWidth="1"/>
    <col min="9733" max="9735" width="0" style="3" hidden="1" customWidth="1"/>
    <col min="9736" max="9979" width="9.1796875" style="3"/>
    <col min="9980" max="9980" width="13.26953125" style="3" customWidth="1"/>
    <col min="9981" max="9981" width="27.453125" style="3" customWidth="1"/>
    <col min="9982" max="9983" width="9.54296875" style="3" customWidth="1"/>
    <col min="9984" max="9984" width="9.7265625" style="3" customWidth="1"/>
    <col min="9985" max="9985" width="9.54296875" style="3" customWidth="1"/>
    <col min="9986" max="9986" width="12.54296875" style="3" customWidth="1"/>
    <col min="9987" max="9987" width="10" style="3" customWidth="1"/>
    <col min="9988" max="9988" width="9.7265625" style="3" customWidth="1"/>
    <col min="9989" max="9991" width="0" style="3" hidden="1" customWidth="1"/>
    <col min="9992" max="10235" width="9.1796875" style="3"/>
    <col min="10236" max="10236" width="13.26953125" style="3" customWidth="1"/>
    <col min="10237" max="10237" width="27.453125" style="3" customWidth="1"/>
    <col min="10238" max="10239" width="9.54296875" style="3" customWidth="1"/>
    <col min="10240" max="10240" width="9.7265625" style="3" customWidth="1"/>
    <col min="10241" max="10241" width="9.54296875" style="3" customWidth="1"/>
    <col min="10242" max="10242" width="12.54296875" style="3" customWidth="1"/>
    <col min="10243" max="10243" width="10" style="3" customWidth="1"/>
    <col min="10244" max="10244" width="9.7265625" style="3" customWidth="1"/>
    <col min="10245" max="10247" width="0" style="3" hidden="1" customWidth="1"/>
    <col min="10248" max="10491" width="9.1796875" style="3"/>
    <col min="10492" max="10492" width="13.26953125" style="3" customWidth="1"/>
    <col min="10493" max="10493" width="27.453125" style="3" customWidth="1"/>
    <col min="10494" max="10495" width="9.54296875" style="3" customWidth="1"/>
    <col min="10496" max="10496" width="9.7265625" style="3" customWidth="1"/>
    <col min="10497" max="10497" width="9.54296875" style="3" customWidth="1"/>
    <col min="10498" max="10498" width="12.54296875" style="3" customWidth="1"/>
    <col min="10499" max="10499" width="10" style="3" customWidth="1"/>
    <col min="10500" max="10500" width="9.7265625" style="3" customWidth="1"/>
    <col min="10501" max="10503" width="0" style="3" hidden="1" customWidth="1"/>
    <col min="10504" max="10747" width="9.1796875" style="3"/>
    <col min="10748" max="10748" width="13.26953125" style="3" customWidth="1"/>
    <col min="10749" max="10749" width="27.453125" style="3" customWidth="1"/>
    <col min="10750" max="10751" width="9.54296875" style="3" customWidth="1"/>
    <col min="10752" max="10752" width="9.7265625" style="3" customWidth="1"/>
    <col min="10753" max="10753" width="9.54296875" style="3" customWidth="1"/>
    <col min="10754" max="10754" width="12.54296875" style="3" customWidth="1"/>
    <col min="10755" max="10755" width="10" style="3" customWidth="1"/>
    <col min="10756" max="10756" width="9.7265625" style="3" customWidth="1"/>
    <col min="10757" max="10759" width="0" style="3" hidden="1" customWidth="1"/>
    <col min="10760" max="11003" width="9.1796875" style="3"/>
    <col min="11004" max="11004" width="13.26953125" style="3" customWidth="1"/>
    <col min="11005" max="11005" width="27.453125" style="3" customWidth="1"/>
    <col min="11006" max="11007" width="9.54296875" style="3" customWidth="1"/>
    <col min="11008" max="11008" width="9.7265625" style="3" customWidth="1"/>
    <col min="11009" max="11009" width="9.54296875" style="3" customWidth="1"/>
    <col min="11010" max="11010" width="12.54296875" style="3" customWidth="1"/>
    <col min="11011" max="11011" width="10" style="3" customWidth="1"/>
    <col min="11012" max="11012" width="9.7265625" style="3" customWidth="1"/>
    <col min="11013" max="11015" width="0" style="3" hidden="1" customWidth="1"/>
    <col min="11016" max="11259" width="9.1796875" style="3"/>
    <col min="11260" max="11260" width="13.26953125" style="3" customWidth="1"/>
    <col min="11261" max="11261" width="27.453125" style="3" customWidth="1"/>
    <col min="11262" max="11263" width="9.54296875" style="3" customWidth="1"/>
    <col min="11264" max="11264" width="9.7265625" style="3" customWidth="1"/>
    <col min="11265" max="11265" width="9.54296875" style="3" customWidth="1"/>
    <col min="11266" max="11266" width="12.54296875" style="3" customWidth="1"/>
    <col min="11267" max="11267" width="10" style="3" customWidth="1"/>
    <col min="11268" max="11268" width="9.7265625" style="3" customWidth="1"/>
    <col min="11269" max="11271" width="0" style="3" hidden="1" customWidth="1"/>
    <col min="11272" max="11515" width="9.1796875" style="3"/>
    <col min="11516" max="11516" width="13.26953125" style="3" customWidth="1"/>
    <col min="11517" max="11517" width="27.453125" style="3" customWidth="1"/>
    <col min="11518" max="11519" width="9.54296875" style="3" customWidth="1"/>
    <col min="11520" max="11520" width="9.7265625" style="3" customWidth="1"/>
    <col min="11521" max="11521" width="9.54296875" style="3" customWidth="1"/>
    <col min="11522" max="11522" width="12.54296875" style="3" customWidth="1"/>
    <col min="11523" max="11523" width="10" style="3" customWidth="1"/>
    <col min="11524" max="11524" width="9.7265625" style="3" customWidth="1"/>
    <col min="11525" max="11527" width="0" style="3" hidden="1" customWidth="1"/>
    <col min="11528" max="11771" width="9.1796875" style="3"/>
    <col min="11772" max="11772" width="13.26953125" style="3" customWidth="1"/>
    <col min="11773" max="11773" width="27.453125" style="3" customWidth="1"/>
    <col min="11774" max="11775" width="9.54296875" style="3" customWidth="1"/>
    <col min="11776" max="11776" width="9.7265625" style="3" customWidth="1"/>
    <col min="11777" max="11777" width="9.54296875" style="3" customWidth="1"/>
    <col min="11778" max="11778" width="12.54296875" style="3" customWidth="1"/>
    <col min="11779" max="11779" width="10" style="3" customWidth="1"/>
    <col min="11780" max="11780" width="9.7265625" style="3" customWidth="1"/>
    <col min="11781" max="11783" width="0" style="3" hidden="1" customWidth="1"/>
    <col min="11784" max="12027" width="9.1796875" style="3"/>
    <col min="12028" max="12028" width="13.26953125" style="3" customWidth="1"/>
    <col min="12029" max="12029" width="27.453125" style="3" customWidth="1"/>
    <col min="12030" max="12031" width="9.54296875" style="3" customWidth="1"/>
    <col min="12032" max="12032" width="9.7265625" style="3" customWidth="1"/>
    <col min="12033" max="12033" width="9.54296875" style="3" customWidth="1"/>
    <col min="12034" max="12034" width="12.54296875" style="3" customWidth="1"/>
    <col min="12035" max="12035" width="10" style="3" customWidth="1"/>
    <col min="12036" max="12036" width="9.7265625" style="3" customWidth="1"/>
    <col min="12037" max="12039" width="0" style="3" hidden="1" customWidth="1"/>
    <col min="12040" max="12283" width="9.1796875" style="3"/>
    <col min="12284" max="12284" width="13.26953125" style="3" customWidth="1"/>
    <col min="12285" max="12285" width="27.453125" style="3" customWidth="1"/>
    <col min="12286" max="12287" width="9.54296875" style="3" customWidth="1"/>
    <col min="12288" max="12288" width="9.7265625" style="3" customWidth="1"/>
    <col min="12289" max="12289" width="9.54296875" style="3" customWidth="1"/>
    <col min="12290" max="12290" width="12.54296875" style="3" customWidth="1"/>
    <col min="12291" max="12291" width="10" style="3" customWidth="1"/>
    <col min="12292" max="12292" width="9.7265625" style="3" customWidth="1"/>
    <col min="12293" max="12295" width="0" style="3" hidden="1" customWidth="1"/>
    <col min="12296" max="12539" width="9.1796875" style="3"/>
    <col min="12540" max="12540" width="13.26953125" style="3" customWidth="1"/>
    <col min="12541" max="12541" width="27.453125" style="3" customWidth="1"/>
    <col min="12542" max="12543" width="9.54296875" style="3" customWidth="1"/>
    <col min="12544" max="12544" width="9.7265625" style="3" customWidth="1"/>
    <col min="12545" max="12545" width="9.54296875" style="3" customWidth="1"/>
    <col min="12546" max="12546" width="12.54296875" style="3" customWidth="1"/>
    <col min="12547" max="12547" width="10" style="3" customWidth="1"/>
    <col min="12548" max="12548" width="9.7265625" style="3" customWidth="1"/>
    <col min="12549" max="12551" width="0" style="3" hidden="1" customWidth="1"/>
    <col min="12552" max="12795" width="9.1796875" style="3"/>
    <col min="12796" max="12796" width="13.26953125" style="3" customWidth="1"/>
    <col min="12797" max="12797" width="27.453125" style="3" customWidth="1"/>
    <col min="12798" max="12799" width="9.54296875" style="3" customWidth="1"/>
    <col min="12800" max="12800" width="9.7265625" style="3" customWidth="1"/>
    <col min="12801" max="12801" width="9.54296875" style="3" customWidth="1"/>
    <col min="12802" max="12802" width="12.54296875" style="3" customWidth="1"/>
    <col min="12803" max="12803" width="10" style="3" customWidth="1"/>
    <col min="12804" max="12804" width="9.7265625" style="3" customWidth="1"/>
    <col min="12805" max="12807" width="0" style="3" hidden="1" customWidth="1"/>
    <col min="12808" max="13051" width="9.1796875" style="3"/>
    <col min="13052" max="13052" width="13.26953125" style="3" customWidth="1"/>
    <col min="13053" max="13053" width="27.453125" style="3" customWidth="1"/>
    <col min="13054" max="13055" width="9.54296875" style="3" customWidth="1"/>
    <col min="13056" max="13056" width="9.7265625" style="3" customWidth="1"/>
    <col min="13057" max="13057" width="9.54296875" style="3" customWidth="1"/>
    <col min="13058" max="13058" width="12.54296875" style="3" customWidth="1"/>
    <col min="13059" max="13059" width="10" style="3" customWidth="1"/>
    <col min="13060" max="13060" width="9.7265625" style="3" customWidth="1"/>
    <col min="13061" max="13063" width="0" style="3" hidden="1" customWidth="1"/>
    <col min="13064" max="13307" width="9.1796875" style="3"/>
    <col min="13308" max="13308" width="13.26953125" style="3" customWidth="1"/>
    <col min="13309" max="13309" width="27.453125" style="3" customWidth="1"/>
    <col min="13310" max="13311" width="9.54296875" style="3" customWidth="1"/>
    <col min="13312" max="13312" width="9.7265625" style="3" customWidth="1"/>
    <col min="13313" max="13313" width="9.54296875" style="3" customWidth="1"/>
    <col min="13314" max="13314" width="12.54296875" style="3" customWidth="1"/>
    <col min="13315" max="13315" width="10" style="3" customWidth="1"/>
    <col min="13316" max="13316" width="9.7265625" style="3" customWidth="1"/>
    <col min="13317" max="13319" width="0" style="3" hidden="1" customWidth="1"/>
    <col min="13320" max="13563" width="9.1796875" style="3"/>
    <col min="13564" max="13564" width="13.26953125" style="3" customWidth="1"/>
    <col min="13565" max="13565" width="27.453125" style="3" customWidth="1"/>
    <col min="13566" max="13567" width="9.54296875" style="3" customWidth="1"/>
    <col min="13568" max="13568" width="9.7265625" style="3" customWidth="1"/>
    <col min="13569" max="13569" width="9.54296875" style="3" customWidth="1"/>
    <col min="13570" max="13570" width="12.54296875" style="3" customWidth="1"/>
    <col min="13571" max="13571" width="10" style="3" customWidth="1"/>
    <col min="13572" max="13572" width="9.7265625" style="3" customWidth="1"/>
    <col min="13573" max="13575" width="0" style="3" hidden="1" customWidth="1"/>
    <col min="13576" max="13819" width="9.1796875" style="3"/>
    <col min="13820" max="13820" width="13.26953125" style="3" customWidth="1"/>
    <col min="13821" max="13821" width="27.453125" style="3" customWidth="1"/>
    <col min="13822" max="13823" width="9.54296875" style="3" customWidth="1"/>
    <col min="13824" max="13824" width="9.7265625" style="3" customWidth="1"/>
    <col min="13825" max="13825" width="9.54296875" style="3" customWidth="1"/>
    <col min="13826" max="13826" width="12.54296875" style="3" customWidth="1"/>
    <col min="13827" max="13827" width="10" style="3" customWidth="1"/>
    <col min="13828" max="13828" width="9.7265625" style="3" customWidth="1"/>
    <col min="13829" max="13831" width="0" style="3" hidden="1" customWidth="1"/>
    <col min="13832" max="14075" width="9.1796875" style="3"/>
    <col min="14076" max="14076" width="13.26953125" style="3" customWidth="1"/>
    <col min="14077" max="14077" width="27.453125" style="3" customWidth="1"/>
    <col min="14078" max="14079" width="9.54296875" style="3" customWidth="1"/>
    <col min="14080" max="14080" width="9.7265625" style="3" customWidth="1"/>
    <col min="14081" max="14081" width="9.54296875" style="3" customWidth="1"/>
    <col min="14082" max="14082" width="12.54296875" style="3" customWidth="1"/>
    <col min="14083" max="14083" width="10" style="3" customWidth="1"/>
    <col min="14084" max="14084" width="9.7265625" style="3" customWidth="1"/>
    <col min="14085" max="14087" width="0" style="3" hidden="1" customWidth="1"/>
    <col min="14088" max="14331" width="9.1796875" style="3"/>
    <col min="14332" max="14332" width="13.26953125" style="3" customWidth="1"/>
    <col min="14333" max="14333" width="27.453125" style="3" customWidth="1"/>
    <col min="14334" max="14335" width="9.54296875" style="3" customWidth="1"/>
    <col min="14336" max="14336" width="9.7265625" style="3" customWidth="1"/>
    <col min="14337" max="14337" width="9.54296875" style="3" customWidth="1"/>
    <col min="14338" max="14338" width="12.54296875" style="3" customWidth="1"/>
    <col min="14339" max="14339" width="10" style="3" customWidth="1"/>
    <col min="14340" max="14340" width="9.7265625" style="3" customWidth="1"/>
    <col min="14341" max="14343" width="0" style="3" hidden="1" customWidth="1"/>
    <col min="14344" max="14587" width="9.1796875" style="3"/>
    <col min="14588" max="14588" width="13.26953125" style="3" customWidth="1"/>
    <col min="14589" max="14589" width="27.453125" style="3" customWidth="1"/>
    <col min="14590" max="14591" width="9.54296875" style="3" customWidth="1"/>
    <col min="14592" max="14592" width="9.7265625" style="3" customWidth="1"/>
    <col min="14593" max="14593" width="9.54296875" style="3" customWidth="1"/>
    <col min="14594" max="14594" width="12.54296875" style="3" customWidth="1"/>
    <col min="14595" max="14595" width="10" style="3" customWidth="1"/>
    <col min="14596" max="14596" width="9.7265625" style="3" customWidth="1"/>
    <col min="14597" max="14599" width="0" style="3" hidden="1" customWidth="1"/>
    <col min="14600" max="14843" width="9.1796875" style="3"/>
    <col min="14844" max="14844" width="13.26953125" style="3" customWidth="1"/>
    <col min="14845" max="14845" width="27.453125" style="3" customWidth="1"/>
    <col min="14846" max="14847" width="9.54296875" style="3" customWidth="1"/>
    <col min="14848" max="14848" width="9.7265625" style="3" customWidth="1"/>
    <col min="14849" max="14849" width="9.54296875" style="3" customWidth="1"/>
    <col min="14850" max="14850" width="12.54296875" style="3" customWidth="1"/>
    <col min="14851" max="14851" width="10" style="3" customWidth="1"/>
    <col min="14852" max="14852" width="9.7265625" style="3" customWidth="1"/>
    <col min="14853" max="14855" width="0" style="3" hidden="1" customWidth="1"/>
    <col min="14856" max="15099" width="9.1796875" style="3"/>
    <col min="15100" max="15100" width="13.26953125" style="3" customWidth="1"/>
    <col min="15101" max="15101" width="27.453125" style="3" customWidth="1"/>
    <col min="15102" max="15103" width="9.54296875" style="3" customWidth="1"/>
    <col min="15104" max="15104" width="9.7265625" style="3" customWidth="1"/>
    <col min="15105" max="15105" width="9.54296875" style="3" customWidth="1"/>
    <col min="15106" max="15106" width="12.54296875" style="3" customWidth="1"/>
    <col min="15107" max="15107" width="10" style="3" customWidth="1"/>
    <col min="15108" max="15108" width="9.7265625" style="3" customWidth="1"/>
    <col min="15109" max="15111" width="0" style="3" hidden="1" customWidth="1"/>
    <col min="15112" max="15355" width="9.1796875" style="3"/>
    <col min="15356" max="15356" width="13.26953125" style="3" customWidth="1"/>
    <col min="15357" max="15357" width="27.453125" style="3" customWidth="1"/>
    <col min="15358" max="15359" width="9.54296875" style="3" customWidth="1"/>
    <col min="15360" max="15360" width="9.7265625" style="3" customWidth="1"/>
    <col min="15361" max="15361" width="9.54296875" style="3" customWidth="1"/>
    <col min="15362" max="15362" width="12.54296875" style="3" customWidth="1"/>
    <col min="15363" max="15363" width="10" style="3" customWidth="1"/>
    <col min="15364" max="15364" width="9.7265625" style="3" customWidth="1"/>
    <col min="15365" max="15367" width="0" style="3" hidden="1" customWidth="1"/>
    <col min="15368" max="15611" width="9.1796875" style="3"/>
    <col min="15612" max="15612" width="13.26953125" style="3" customWidth="1"/>
    <col min="15613" max="15613" width="27.453125" style="3" customWidth="1"/>
    <col min="15614" max="15615" width="9.54296875" style="3" customWidth="1"/>
    <col min="15616" max="15616" width="9.7265625" style="3" customWidth="1"/>
    <col min="15617" max="15617" width="9.54296875" style="3" customWidth="1"/>
    <col min="15618" max="15618" width="12.54296875" style="3" customWidth="1"/>
    <col min="15619" max="15619" width="10" style="3" customWidth="1"/>
    <col min="15620" max="15620" width="9.7265625" style="3" customWidth="1"/>
    <col min="15621" max="15623" width="0" style="3" hidden="1" customWidth="1"/>
    <col min="15624" max="15867" width="9.1796875" style="3"/>
    <col min="15868" max="15868" width="13.26953125" style="3" customWidth="1"/>
    <col min="15869" max="15869" width="27.453125" style="3" customWidth="1"/>
    <col min="15870" max="15871" width="9.54296875" style="3" customWidth="1"/>
    <col min="15872" max="15872" width="9.7265625" style="3" customWidth="1"/>
    <col min="15873" max="15873" width="9.54296875" style="3" customWidth="1"/>
    <col min="15874" max="15874" width="12.54296875" style="3" customWidth="1"/>
    <col min="15875" max="15875" width="10" style="3" customWidth="1"/>
    <col min="15876" max="15876" width="9.7265625" style="3" customWidth="1"/>
    <col min="15877" max="15879" width="0" style="3" hidden="1" customWidth="1"/>
    <col min="15880" max="16123" width="9.1796875" style="3"/>
    <col min="16124" max="16124" width="13.26953125" style="3" customWidth="1"/>
    <col min="16125" max="16125" width="27.453125" style="3" customWidth="1"/>
    <col min="16126" max="16127" width="9.54296875" style="3" customWidth="1"/>
    <col min="16128" max="16128" width="9.7265625" style="3" customWidth="1"/>
    <col min="16129" max="16129" width="9.54296875" style="3" customWidth="1"/>
    <col min="16130" max="16130" width="12.54296875" style="3" customWidth="1"/>
    <col min="16131" max="16131" width="10" style="3" customWidth="1"/>
    <col min="16132" max="16132" width="9.7265625" style="3" customWidth="1"/>
    <col min="16133" max="16135" width="0" style="3" hidden="1" customWidth="1"/>
    <col min="16136" max="16384" width="9.1796875" style="3"/>
  </cols>
  <sheetData>
    <row r="1" spans="1:18" s="1" customFormat="1" x14ac:dyDescent="0.35">
      <c r="B1" s="279" t="s">
        <v>0</v>
      </c>
      <c r="C1" s="279"/>
      <c r="D1" s="279"/>
      <c r="E1" s="279"/>
      <c r="F1" s="279"/>
    </row>
    <row r="2" spans="1:18" s="1" customFormat="1" x14ac:dyDescent="0.35">
      <c r="B2" s="279" t="s">
        <v>1</v>
      </c>
      <c r="C2" s="279"/>
      <c r="D2" s="279"/>
      <c r="E2" s="279"/>
      <c r="F2" s="279"/>
    </row>
    <row r="3" spans="1:18" s="1" customFormat="1" x14ac:dyDescent="0.35">
      <c r="B3" s="279" t="s">
        <v>2</v>
      </c>
      <c r="C3" s="279"/>
      <c r="D3" s="279"/>
      <c r="E3" s="279"/>
      <c r="F3" s="279"/>
    </row>
    <row r="4" spans="1:18" ht="6.75" customHeight="1" x14ac:dyDescent="0.35"/>
    <row r="5" spans="1:18" ht="9" customHeight="1" thickBot="1" x14ac:dyDescent="0.4"/>
    <row r="6" spans="1:18" s="1" customFormat="1" x14ac:dyDescent="0.35">
      <c r="B6" s="1217" t="s">
        <v>3</v>
      </c>
      <c r="C6" s="1218"/>
      <c r="D6" s="1218"/>
      <c r="E6" s="1218"/>
      <c r="F6" s="1218"/>
      <c r="G6" s="4"/>
    </row>
    <row r="7" spans="1:18" s="1" customFormat="1" x14ac:dyDescent="0.35">
      <c r="B7" s="2"/>
      <c r="C7" s="2"/>
      <c r="D7" s="5"/>
      <c r="E7" s="5"/>
      <c r="F7" s="3"/>
      <c r="R7" s="3" t="s">
        <v>4</v>
      </c>
    </row>
    <row r="8" spans="1:18" s="1" customFormat="1" ht="21" hidden="1" customHeight="1" x14ac:dyDescent="0.35">
      <c r="B8" s="1301" t="s">
        <v>5</v>
      </c>
      <c r="C8" s="1220" t="s">
        <v>6</v>
      </c>
      <c r="D8" s="1210" t="s">
        <v>7</v>
      </c>
      <c r="E8" s="6" t="s">
        <v>8</v>
      </c>
      <c r="F8" s="1303" t="s">
        <v>9</v>
      </c>
      <c r="R8" s="3" t="s">
        <v>10</v>
      </c>
    </row>
    <row r="9" spans="1:18" s="1" customFormat="1" ht="21" hidden="1" customHeight="1" thickBot="1" x14ac:dyDescent="0.4">
      <c r="B9" s="1302"/>
      <c r="C9" s="1221"/>
      <c r="D9" s="1211"/>
      <c r="E9" s="7" t="s">
        <v>11</v>
      </c>
      <c r="F9" s="1304"/>
      <c r="R9" s="3" t="s">
        <v>12</v>
      </c>
    </row>
    <row r="10" spans="1:18" ht="17.149999999999999" hidden="1" customHeight="1" x14ac:dyDescent="0.35">
      <c r="A10" s="3">
        <v>1</v>
      </c>
      <c r="B10" s="8" t="s">
        <v>13</v>
      </c>
      <c r="C10" s="9" t="s">
        <v>14</v>
      </c>
      <c r="D10" s="10">
        <v>29</v>
      </c>
      <c r="E10" s="11" t="s">
        <v>15</v>
      </c>
      <c r="F10" s="12" t="s">
        <v>12</v>
      </c>
      <c r="H10" s="3">
        <v>8</v>
      </c>
    </row>
    <row r="11" spans="1:18" s="16" customFormat="1" ht="17.149999999999999" hidden="1" customHeight="1" x14ac:dyDescent="0.35">
      <c r="A11" s="16">
        <v>2</v>
      </c>
      <c r="B11" s="13" t="s">
        <v>16</v>
      </c>
      <c r="C11" s="14" t="s">
        <v>17</v>
      </c>
      <c r="D11" s="15">
        <v>45</v>
      </c>
      <c r="E11" s="11" t="s">
        <v>18</v>
      </c>
      <c r="F11" s="12" t="s">
        <v>10</v>
      </c>
    </row>
    <row r="12" spans="1:18" s="16" customFormat="1" ht="17.149999999999999" hidden="1" customHeight="1" x14ac:dyDescent="0.35">
      <c r="A12" s="16">
        <v>3</v>
      </c>
      <c r="B12" s="13" t="s">
        <v>19</v>
      </c>
      <c r="C12" s="14" t="s">
        <v>20</v>
      </c>
      <c r="D12" s="15">
        <v>18</v>
      </c>
      <c r="E12" s="11" t="s">
        <v>15</v>
      </c>
      <c r="F12" s="12" t="s">
        <v>12</v>
      </c>
    </row>
    <row r="13" spans="1:18" s="16" customFormat="1" ht="17.149999999999999" hidden="1" customHeight="1" x14ac:dyDescent="0.35">
      <c r="A13" s="16">
        <v>4</v>
      </c>
      <c r="B13" s="13"/>
      <c r="C13" s="14" t="s">
        <v>21</v>
      </c>
      <c r="D13" s="15">
        <v>27</v>
      </c>
      <c r="E13" s="11" t="s">
        <v>15</v>
      </c>
      <c r="F13" s="12" t="s">
        <v>12</v>
      </c>
    </row>
    <row r="14" spans="1:18" s="16" customFormat="1" ht="17.149999999999999" hidden="1" customHeight="1" x14ac:dyDescent="0.35">
      <c r="A14" s="16">
        <v>5</v>
      </c>
      <c r="B14" s="13"/>
      <c r="C14" s="14" t="s">
        <v>22</v>
      </c>
      <c r="D14" s="15">
        <v>42</v>
      </c>
      <c r="E14" s="11" t="s">
        <v>15</v>
      </c>
      <c r="F14" s="12" t="s">
        <v>12</v>
      </c>
    </row>
    <row r="15" spans="1:18" s="16" customFormat="1" ht="17.149999999999999" hidden="1" customHeight="1" x14ac:dyDescent="0.35">
      <c r="A15" s="16">
        <v>6</v>
      </c>
      <c r="B15" s="13" t="s">
        <v>23</v>
      </c>
      <c r="C15" s="14" t="s">
        <v>24</v>
      </c>
      <c r="D15" s="15">
        <v>21</v>
      </c>
      <c r="E15" s="11" t="s">
        <v>15</v>
      </c>
      <c r="F15" s="12" t="s">
        <v>12</v>
      </c>
    </row>
    <row r="16" spans="1:18" s="16" customFormat="1" ht="17.149999999999999" hidden="1" customHeight="1" x14ac:dyDescent="0.35">
      <c r="A16" s="16">
        <v>7</v>
      </c>
      <c r="B16" s="13" t="s">
        <v>25</v>
      </c>
      <c r="C16" s="14" t="s">
        <v>26</v>
      </c>
      <c r="D16" s="15">
        <v>26</v>
      </c>
      <c r="E16" s="11" t="s">
        <v>18</v>
      </c>
      <c r="F16" s="12" t="s">
        <v>10</v>
      </c>
    </row>
    <row r="17" spans="1:34" s="16" customFormat="1" ht="16.149999999999999" hidden="1" customHeight="1" x14ac:dyDescent="0.35">
      <c r="A17" s="16">
        <v>8</v>
      </c>
      <c r="B17" s="13" t="s">
        <v>27</v>
      </c>
      <c r="C17" s="14"/>
      <c r="D17" s="15">
        <v>44</v>
      </c>
      <c r="E17" s="11" t="s">
        <v>18</v>
      </c>
      <c r="F17" s="12" t="s">
        <v>10</v>
      </c>
    </row>
    <row r="18" spans="1:34" s="1" customFormat="1" ht="22.5" customHeight="1" thickBot="1" x14ac:dyDescent="0.4">
      <c r="B18" s="17"/>
      <c r="C18" s="18"/>
      <c r="D18" s="19">
        <f>SUM(D10:D17)</f>
        <v>252</v>
      </c>
      <c r="E18" s="19"/>
      <c r="F18" s="20"/>
      <c r="AH18" s="22">
        <f>D18</f>
        <v>252</v>
      </c>
    </row>
    <row r="19" spans="1:34" s="1" customFormat="1" ht="16" thickBot="1" x14ac:dyDescent="0.4">
      <c r="B19" s="21"/>
      <c r="C19" s="21"/>
      <c r="D19" s="22"/>
      <c r="E19" s="22"/>
    </row>
    <row r="20" spans="1:34" s="1" customFormat="1" x14ac:dyDescent="0.35">
      <c r="B20" s="1217" t="s">
        <v>342</v>
      </c>
      <c r="C20" s="1218"/>
      <c r="D20" s="1218"/>
      <c r="E20" s="1218"/>
      <c r="F20" s="1218"/>
    </row>
    <row r="21" spans="1:34" s="1" customFormat="1" x14ac:dyDescent="0.35">
      <c r="B21" s="2"/>
      <c r="C21" s="2"/>
      <c r="D21" s="5"/>
      <c r="E21" s="5"/>
      <c r="F21" s="3"/>
    </row>
    <row r="22" spans="1:34" s="1" customFormat="1" ht="21" hidden="1" customHeight="1" x14ac:dyDescent="0.35">
      <c r="B22" s="1301" t="s">
        <v>28</v>
      </c>
      <c r="C22" s="1220" t="str">
        <f>C8</f>
        <v>NAME OF BRIDGE/ LOCATION (KM POST)</v>
      </c>
      <c r="D22" s="1210" t="str">
        <f>D8</f>
        <v>LENGTH                         (m)</v>
      </c>
      <c r="E22" s="6" t="str">
        <f>E8</f>
        <v>DESCRIPTION</v>
      </c>
      <c r="F22" s="1303" t="s">
        <v>29</v>
      </c>
    </row>
    <row r="23" spans="1:34" s="1" customFormat="1" ht="21" hidden="1" customHeight="1" thickBot="1" x14ac:dyDescent="0.4">
      <c r="B23" s="1302"/>
      <c r="C23" s="1221"/>
      <c r="D23" s="1211"/>
      <c r="E23" s="7" t="str">
        <f>E9</f>
        <v>BRIDGE TYPE</v>
      </c>
      <c r="F23" s="1304"/>
    </row>
    <row r="24" spans="1:34" s="26" customFormat="1" ht="16.5" hidden="1" customHeight="1" x14ac:dyDescent="0.35">
      <c r="A24" s="26">
        <v>9</v>
      </c>
      <c r="B24" s="23" t="s">
        <v>30</v>
      </c>
      <c r="C24" s="24" t="s">
        <v>31</v>
      </c>
      <c r="D24" s="15">
        <v>60</v>
      </c>
      <c r="E24" s="10" t="s">
        <v>32</v>
      </c>
      <c r="F24" s="25" t="s">
        <v>33</v>
      </c>
      <c r="H24" s="26">
        <v>3</v>
      </c>
    </row>
    <row r="25" spans="1:34" s="1" customFormat="1" ht="16.5" hidden="1" customHeight="1" x14ac:dyDescent="0.35">
      <c r="A25" s="1">
        <v>10</v>
      </c>
      <c r="B25" s="27" t="s">
        <v>34</v>
      </c>
      <c r="C25" s="28" t="s">
        <v>35</v>
      </c>
      <c r="D25" s="10">
        <v>29</v>
      </c>
      <c r="E25" s="10" t="s">
        <v>18</v>
      </c>
      <c r="F25" s="25" t="s">
        <v>12</v>
      </c>
    </row>
    <row r="26" spans="1:34" s="26" customFormat="1" ht="16.5" hidden="1" customHeight="1" x14ac:dyDescent="0.35">
      <c r="A26" s="26">
        <v>11</v>
      </c>
      <c r="B26" s="23" t="s">
        <v>36</v>
      </c>
      <c r="C26" s="24" t="s">
        <v>37</v>
      </c>
      <c r="D26" s="15">
        <v>76</v>
      </c>
      <c r="E26" s="10" t="s">
        <v>15</v>
      </c>
      <c r="F26" s="25" t="s">
        <v>33</v>
      </c>
    </row>
    <row r="27" spans="1:34" s="1" customFormat="1" ht="24" customHeight="1" thickBot="1" x14ac:dyDescent="0.4">
      <c r="B27" s="29"/>
      <c r="C27" s="30"/>
      <c r="D27" s="31">
        <f>SUM(D24:D26)</f>
        <v>165</v>
      </c>
      <c r="E27" s="31"/>
      <c r="F27" s="20"/>
      <c r="AH27" s="22">
        <f>D27</f>
        <v>165</v>
      </c>
    </row>
    <row r="28" spans="1:34" s="1" customFormat="1" x14ac:dyDescent="0.35">
      <c r="B28" s="1217" t="s">
        <v>380</v>
      </c>
      <c r="C28" s="1218"/>
      <c r="D28" s="1218"/>
      <c r="E28" s="1218"/>
      <c r="F28" s="1218"/>
    </row>
    <row r="29" spans="1:34" s="1" customFormat="1" x14ac:dyDescent="0.35">
      <c r="B29" s="2"/>
      <c r="C29" s="2"/>
      <c r="D29" s="5"/>
      <c r="E29" s="5"/>
      <c r="F29" s="3"/>
    </row>
    <row r="30" spans="1:34" s="1" customFormat="1" ht="21" hidden="1" customHeight="1" x14ac:dyDescent="0.35">
      <c r="B30" s="1301" t="s">
        <v>28</v>
      </c>
      <c r="C30" s="1220" t="str">
        <f>C22</f>
        <v>NAME OF BRIDGE/ LOCATION (KM POST)</v>
      </c>
      <c r="D30" s="1210" t="str">
        <f>D22</f>
        <v>LENGTH                         (m)</v>
      </c>
      <c r="E30" s="6" t="str">
        <f>E22</f>
        <v>DESCRIPTION</v>
      </c>
      <c r="F30" s="1303" t="s">
        <v>29</v>
      </c>
    </row>
    <row r="31" spans="1:34" s="1" customFormat="1" ht="21" hidden="1" customHeight="1" thickBot="1" x14ac:dyDescent="0.4">
      <c r="B31" s="1302"/>
      <c r="C31" s="1221"/>
      <c r="D31" s="1211"/>
      <c r="E31" s="7" t="str">
        <f>E23</f>
        <v>BRIDGE TYPE</v>
      </c>
      <c r="F31" s="1304"/>
    </row>
    <row r="32" spans="1:34" s="26" customFormat="1" ht="16.5" hidden="1" customHeight="1" x14ac:dyDescent="0.35">
      <c r="A32" s="26">
        <v>12</v>
      </c>
      <c r="B32" s="23" t="s">
        <v>38</v>
      </c>
      <c r="C32" s="24" t="s">
        <v>39</v>
      </c>
      <c r="D32" s="15">
        <v>19.5</v>
      </c>
      <c r="E32" s="15" t="s">
        <v>15</v>
      </c>
      <c r="F32" s="32" t="s">
        <v>12</v>
      </c>
      <c r="H32" s="26">
        <v>2</v>
      </c>
    </row>
    <row r="33" spans="1:34" s="26" customFormat="1" ht="16.5" hidden="1" customHeight="1" x14ac:dyDescent="0.35">
      <c r="A33" s="26">
        <v>13</v>
      </c>
      <c r="B33" s="23"/>
      <c r="C33" s="24" t="s">
        <v>40</v>
      </c>
      <c r="D33" s="15">
        <v>16</v>
      </c>
      <c r="E33" s="15" t="s">
        <v>32</v>
      </c>
      <c r="F33" s="32" t="s">
        <v>41</v>
      </c>
    </row>
    <row r="34" spans="1:34" s="1" customFormat="1" ht="23.25" customHeight="1" thickBot="1" x14ac:dyDescent="0.4">
      <c r="B34" s="33"/>
      <c r="C34" s="34"/>
      <c r="D34" s="31">
        <f>SUM(D32:D33)</f>
        <v>35.5</v>
      </c>
      <c r="E34" s="31"/>
      <c r="F34" s="20"/>
      <c r="AH34" s="22">
        <f>D34</f>
        <v>35.5</v>
      </c>
    </row>
    <row r="35" spans="1:34" s="1" customFormat="1" ht="15" customHeight="1" thickBot="1" x14ac:dyDescent="0.4">
      <c r="B35" s="35"/>
      <c r="C35" s="35"/>
      <c r="D35" s="22"/>
      <c r="E35" s="22"/>
    </row>
    <row r="36" spans="1:34" s="1" customFormat="1" x14ac:dyDescent="0.35">
      <c r="B36" s="1218">
        <f>'[45]UPDATED (2019)'!A84:K84</f>
        <v>0</v>
      </c>
      <c r="C36" s="1218"/>
      <c r="D36" s="1218"/>
      <c r="E36" s="1218"/>
      <c r="F36" s="1218"/>
    </row>
    <row r="37" spans="1:34" s="1" customFormat="1" x14ac:dyDescent="0.35">
      <c r="B37" s="2"/>
      <c r="C37" s="2"/>
      <c r="D37" s="5"/>
      <c r="E37" s="5"/>
      <c r="F37" s="3"/>
    </row>
    <row r="38" spans="1:34" s="1" customFormat="1" ht="21" hidden="1" customHeight="1" x14ac:dyDescent="0.35">
      <c r="B38" s="1301" t="s">
        <v>28</v>
      </c>
      <c r="C38" s="1220" t="str">
        <f>C30</f>
        <v>NAME OF BRIDGE/ LOCATION (KM POST)</v>
      </c>
      <c r="D38" s="1210" t="str">
        <f>D30</f>
        <v>LENGTH                         (m)</v>
      </c>
      <c r="E38" s="6" t="str">
        <f>E30</f>
        <v>DESCRIPTION</v>
      </c>
      <c r="F38" s="1303" t="s">
        <v>29</v>
      </c>
    </row>
    <row r="39" spans="1:34" s="1" customFormat="1" ht="21" hidden="1" customHeight="1" thickBot="1" x14ac:dyDescent="0.4">
      <c r="B39" s="1302"/>
      <c r="C39" s="1221"/>
      <c r="D39" s="1211"/>
      <c r="E39" s="7" t="str">
        <f>E31</f>
        <v>BRIDGE TYPE</v>
      </c>
      <c r="F39" s="1304"/>
    </row>
    <row r="40" spans="1:34" s="1" customFormat="1" ht="26.25" customHeight="1" thickBot="1" x14ac:dyDescent="0.4">
      <c r="B40" s="33"/>
      <c r="C40" s="34"/>
      <c r="D40" s="31">
        <v>0</v>
      </c>
      <c r="E40" s="31"/>
      <c r="F40" s="36"/>
    </row>
    <row r="41" spans="1:34" s="1" customFormat="1" ht="14.25" customHeight="1" thickBot="1" x14ac:dyDescent="0.4">
      <c r="B41" s="37"/>
      <c r="C41" s="37"/>
      <c r="D41" s="38"/>
      <c r="E41" s="38"/>
      <c r="F41" s="3"/>
    </row>
    <row r="42" spans="1:34" s="1" customFormat="1" x14ac:dyDescent="0.35">
      <c r="B42" s="1217" t="s">
        <v>397</v>
      </c>
      <c r="C42" s="1218"/>
      <c r="D42" s="1218"/>
      <c r="E42" s="1218"/>
      <c r="F42" s="1218"/>
    </row>
    <row r="43" spans="1:34" s="1" customFormat="1" ht="6.75" customHeight="1" x14ac:dyDescent="0.35">
      <c r="B43" s="2"/>
      <c r="C43" s="2"/>
      <c r="D43" s="5"/>
      <c r="E43" s="5"/>
      <c r="F43" s="3"/>
    </row>
    <row r="44" spans="1:34" s="1" customFormat="1" ht="21" hidden="1" customHeight="1" x14ac:dyDescent="0.35">
      <c r="B44" s="1301" t="s">
        <v>28</v>
      </c>
      <c r="C44" s="1220" t="str">
        <f>C38</f>
        <v>NAME OF BRIDGE/ LOCATION (KM POST)</v>
      </c>
      <c r="D44" s="1210" t="str">
        <f>D38</f>
        <v>LENGTH                         (m)</v>
      </c>
      <c r="E44" s="6" t="str">
        <f>E38</f>
        <v>DESCRIPTION</v>
      </c>
      <c r="F44" s="1303" t="s">
        <v>29</v>
      </c>
    </row>
    <row r="45" spans="1:34" s="1" customFormat="1" ht="21" hidden="1" customHeight="1" thickBot="1" x14ac:dyDescent="0.4">
      <c r="B45" s="1302"/>
      <c r="C45" s="1221"/>
      <c r="D45" s="1211"/>
      <c r="E45" s="7" t="str">
        <f>E39</f>
        <v>BRIDGE TYPE</v>
      </c>
      <c r="F45" s="1304"/>
    </row>
    <row r="46" spans="1:34" s="1" customFormat="1" ht="16.5" hidden="1" customHeight="1" x14ac:dyDescent="0.35">
      <c r="A46" s="1">
        <v>14</v>
      </c>
      <c r="B46" s="27" t="s">
        <v>42</v>
      </c>
      <c r="C46" s="28" t="s">
        <v>43</v>
      </c>
      <c r="D46" s="10">
        <v>22.3</v>
      </c>
      <c r="E46" s="10" t="s">
        <v>15</v>
      </c>
      <c r="F46" s="12" t="s">
        <v>10</v>
      </c>
      <c r="H46" s="1">
        <v>9</v>
      </c>
    </row>
    <row r="47" spans="1:34" s="1" customFormat="1" ht="16.5" hidden="1" customHeight="1" x14ac:dyDescent="0.35">
      <c r="A47" s="1">
        <v>15</v>
      </c>
      <c r="B47" s="27" t="s">
        <v>44</v>
      </c>
      <c r="C47" s="28"/>
      <c r="D47" s="10">
        <v>26.5</v>
      </c>
      <c r="E47" s="10" t="s">
        <v>15</v>
      </c>
      <c r="F47" s="12" t="s">
        <v>10</v>
      </c>
    </row>
    <row r="48" spans="1:34" s="26" customFormat="1" ht="16.5" hidden="1" customHeight="1" x14ac:dyDescent="0.35">
      <c r="A48" s="26">
        <v>16</v>
      </c>
      <c r="B48" s="23" t="s">
        <v>45</v>
      </c>
      <c r="C48" s="24" t="s">
        <v>46</v>
      </c>
      <c r="D48" s="15">
        <v>45.6</v>
      </c>
      <c r="E48" s="10" t="s">
        <v>15</v>
      </c>
      <c r="F48" s="12" t="s">
        <v>10</v>
      </c>
    </row>
    <row r="49" spans="1:34" s="26" customFormat="1" ht="16.5" hidden="1" customHeight="1" x14ac:dyDescent="0.35">
      <c r="A49" s="26">
        <v>17</v>
      </c>
      <c r="B49" s="23" t="s">
        <v>47</v>
      </c>
      <c r="C49" s="24" t="s">
        <v>48</v>
      </c>
      <c r="D49" s="15">
        <v>24.5</v>
      </c>
      <c r="E49" s="10" t="s">
        <v>15</v>
      </c>
      <c r="F49" s="12" t="s">
        <v>10</v>
      </c>
    </row>
    <row r="50" spans="1:34" s="26" customFormat="1" ht="16.5" hidden="1" customHeight="1" x14ac:dyDescent="0.35">
      <c r="A50" s="26">
        <v>18</v>
      </c>
      <c r="B50" s="23"/>
      <c r="C50" s="24" t="s">
        <v>49</v>
      </c>
      <c r="D50" s="15">
        <v>15</v>
      </c>
      <c r="E50" s="10" t="s">
        <v>15</v>
      </c>
      <c r="F50" s="12" t="s">
        <v>10</v>
      </c>
    </row>
    <row r="51" spans="1:34" s="26" customFormat="1" ht="16.5" hidden="1" customHeight="1" x14ac:dyDescent="0.35">
      <c r="A51" s="26">
        <v>19</v>
      </c>
      <c r="B51" s="23"/>
      <c r="C51" s="24"/>
      <c r="D51" s="15">
        <v>24.5</v>
      </c>
      <c r="E51" s="10" t="s">
        <v>15</v>
      </c>
      <c r="F51" s="12" t="s">
        <v>12</v>
      </c>
    </row>
    <row r="52" spans="1:34" s="1" customFormat="1" ht="16.5" hidden="1" customHeight="1" x14ac:dyDescent="0.35">
      <c r="A52" s="1">
        <v>20</v>
      </c>
      <c r="B52" s="27" t="s">
        <v>50</v>
      </c>
      <c r="C52" s="28"/>
      <c r="D52" s="10">
        <v>24.5</v>
      </c>
      <c r="E52" s="10" t="s">
        <v>15</v>
      </c>
      <c r="F52" s="12" t="s">
        <v>10</v>
      </c>
    </row>
    <row r="53" spans="1:34" s="1" customFormat="1" ht="16.5" hidden="1" customHeight="1" x14ac:dyDescent="0.35">
      <c r="A53" s="1">
        <v>21</v>
      </c>
      <c r="B53" s="39"/>
      <c r="C53" s="40"/>
      <c r="D53" s="41">
        <v>15</v>
      </c>
      <c r="E53" s="10" t="s">
        <v>15</v>
      </c>
      <c r="F53" s="12" t="s">
        <v>10</v>
      </c>
    </row>
    <row r="54" spans="1:34" s="1" customFormat="1" ht="16.5" hidden="1" customHeight="1" x14ac:dyDescent="0.35">
      <c r="A54" s="1">
        <v>22</v>
      </c>
      <c r="B54" s="39"/>
      <c r="C54" s="40"/>
      <c r="D54" s="41">
        <v>24.5</v>
      </c>
      <c r="E54" s="10" t="s">
        <v>15</v>
      </c>
      <c r="F54" s="12" t="s">
        <v>12</v>
      </c>
    </row>
    <row r="55" spans="1:34" s="1" customFormat="1" ht="22.5" customHeight="1" thickBot="1" x14ac:dyDescent="0.4">
      <c r="B55" s="33"/>
      <c r="C55" s="34"/>
      <c r="D55" s="31">
        <f>SUM(D46:D54)</f>
        <v>222.4</v>
      </c>
      <c r="E55" s="31"/>
      <c r="F55" s="20"/>
      <c r="AH55" s="22">
        <f>D55</f>
        <v>222.4</v>
      </c>
    </row>
    <row r="56" spans="1:34" s="1" customFormat="1" ht="8.25" customHeight="1" thickBot="1" x14ac:dyDescent="0.4">
      <c r="B56" s="35"/>
      <c r="C56" s="35"/>
      <c r="D56" s="22"/>
      <c r="E56" s="22"/>
    </row>
    <row r="57" spans="1:34" s="1" customFormat="1" x14ac:dyDescent="0.35">
      <c r="B57" s="1217" t="s">
        <v>411</v>
      </c>
      <c r="C57" s="1218"/>
      <c r="D57" s="1218"/>
      <c r="E57" s="1218"/>
      <c r="F57" s="1218"/>
    </row>
    <row r="58" spans="1:34" s="1" customFormat="1" ht="2.25" customHeight="1" x14ac:dyDescent="0.35">
      <c r="B58" s="2"/>
      <c r="C58" s="2"/>
      <c r="D58" s="5"/>
      <c r="E58" s="5"/>
      <c r="F58" s="3"/>
    </row>
    <row r="59" spans="1:34" s="1" customFormat="1" ht="21" hidden="1" customHeight="1" x14ac:dyDescent="0.35">
      <c r="B59" s="1301" t="s">
        <v>28</v>
      </c>
      <c r="C59" s="1220" t="str">
        <f>C44</f>
        <v>NAME OF BRIDGE/ LOCATION (KM POST)</v>
      </c>
      <c r="D59" s="1210" t="str">
        <f>D44</f>
        <v>LENGTH                         (m)</v>
      </c>
      <c r="E59" s="6" t="str">
        <f>E44</f>
        <v>DESCRIPTION</v>
      </c>
      <c r="F59" s="1303" t="s">
        <v>29</v>
      </c>
    </row>
    <row r="60" spans="1:34" s="1" customFormat="1" ht="21" hidden="1" customHeight="1" thickBot="1" x14ac:dyDescent="0.4">
      <c r="B60" s="1302"/>
      <c r="C60" s="1221"/>
      <c r="D60" s="1211"/>
      <c r="E60" s="7" t="str">
        <f>E45</f>
        <v>BRIDGE TYPE</v>
      </c>
      <c r="F60" s="1304"/>
    </row>
    <row r="61" spans="1:34" s="26" customFormat="1" ht="16" hidden="1" customHeight="1" x14ac:dyDescent="0.35">
      <c r="A61" s="26">
        <v>23</v>
      </c>
      <c r="B61" s="42" t="s">
        <v>51</v>
      </c>
      <c r="C61" s="43" t="s">
        <v>52</v>
      </c>
      <c r="D61" s="15">
        <v>24</v>
      </c>
      <c r="E61" s="15" t="s">
        <v>15</v>
      </c>
      <c r="F61" s="32" t="s">
        <v>12</v>
      </c>
      <c r="H61" s="26">
        <v>4</v>
      </c>
    </row>
    <row r="62" spans="1:34" s="26" customFormat="1" ht="16" hidden="1" customHeight="1" x14ac:dyDescent="0.35">
      <c r="A62" s="26">
        <v>24</v>
      </c>
      <c r="B62" s="42"/>
      <c r="C62" s="43" t="s">
        <v>53</v>
      </c>
      <c r="D62" s="15">
        <v>15</v>
      </c>
      <c r="E62" s="15" t="s">
        <v>15</v>
      </c>
      <c r="F62" s="32" t="s">
        <v>12</v>
      </c>
    </row>
    <row r="63" spans="1:34" s="26" customFormat="1" ht="16" hidden="1" customHeight="1" x14ac:dyDescent="0.35">
      <c r="A63" s="26">
        <v>25</v>
      </c>
      <c r="B63" s="42" t="s">
        <v>54</v>
      </c>
      <c r="C63" s="43" t="s">
        <v>55</v>
      </c>
      <c r="D63" s="15">
        <v>29</v>
      </c>
      <c r="E63" s="15" t="s">
        <v>15</v>
      </c>
      <c r="F63" s="32" t="s">
        <v>10</v>
      </c>
    </row>
    <row r="64" spans="1:34" s="26" customFormat="1" ht="16" hidden="1" customHeight="1" x14ac:dyDescent="0.35">
      <c r="A64" s="26">
        <v>26</v>
      </c>
      <c r="B64" s="42" t="s">
        <v>56</v>
      </c>
      <c r="C64" s="43" t="s">
        <v>57</v>
      </c>
      <c r="D64" s="15">
        <v>36</v>
      </c>
      <c r="E64" s="15" t="s">
        <v>15</v>
      </c>
      <c r="F64" s="32" t="s">
        <v>12</v>
      </c>
    </row>
    <row r="65" spans="1:34" s="1" customFormat="1" ht="18" customHeight="1" thickBot="1" x14ac:dyDescent="0.4">
      <c r="B65" s="33"/>
      <c r="C65" s="34"/>
      <c r="D65" s="31">
        <f>SUM(D61:D64)</f>
        <v>104</v>
      </c>
      <c r="E65" s="31"/>
      <c r="F65" s="20"/>
      <c r="AH65" s="22">
        <f>D65</f>
        <v>104</v>
      </c>
    </row>
    <row r="66" spans="1:34" s="1" customFormat="1" ht="5.25" customHeight="1" thickBot="1" x14ac:dyDescent="0.4">
      <c r="B66" s="35"/>
      <c r="C66" s="35"/>
      <c r="D66" s="22"/>
      <c r="E66" s="22"/>
    </row>
    <row r="67" spans="1:34" s="1" customFormat="1" x14ac:dyDescent="0.35">
      <c r="B67" s="1217" t="s">
        <v>441</v>
      </c>
      <c r="C67" s="1218"/>
      <c r="D67" s="1218"/>
      <c r="E67" s="1218"/>
      <c r="F67" s="1218"/>
    </row>
    <row r="68" spans="1:34" s="1" customFormat="1" ht="5.25" customHeight="1" x14ac:dyDescent="0.35">
      <c r="B68" s="2"/>
      <c r="C68" s="2"/>
      <c r="D68" s="5"/>
      <c r="E68" s="5"/>
      <c r="F68" s="3"/>
    </row>
    <row r="69" spans="1:34" s="1" customFormat="1" ht="21" hidden="1" customHeight="1" x14ac:dyDescent="0.35">
      <c r="B69" s="1301" t="s">
        <v>28</v>
      </c>
      <c r="C69" s="1220" t="str">
        <f>C38</f>
        <v>NAME OF BRIDGE/ LOCATION (KM POST)</v>
      </c>
      <c r="D69" s="1210" t="str">
        <f>D59</f>
        <v>LENGTH                         (m)</v>
      </c>
      <c r="E69" s="6" t="str">
        <f>E59</f>
        <v>DESCRIPTION</v>
      </c>
      <c r="F69" s="1303" t="s">
        <v>29</v>
      </c>
    </row>
    <row r="70" spans="1:34" s="1" customFormat="1" ht="21" hidden="1" customHeight="1" thickBot="1" x14ac:dyDescent="0.4">
      <c r="B70" s="1302"/>
      <c r="C70" s="1221"/>
      <c r="D70" s="1211"/>
      <c r="E70" s="7" t="str">
        <f>E60</f>
        <v>BRIDGE TYPE</v>
      </c>
      <c r="F70" s="1304"/>
    </row>
    <row r="71" spans="1:34" s="1" customFormat="1" hidden="1" x14ac:dyDescent="0.35">
      <c r="A71" s="1">
        <v>27</v>
      </c>
      <c r="B71" s="44" t="s">
        <v>58</v>
      </c>
      <c r="C71" s="45" t="s">
        <v>59</v>
      </c>
      <c r="D71" s="10">
        <v>28.8</v>
      </c>
      <c r="E71" s="10" t="s">
        <v>15</v>
      </c>
      <c r="F71" s="12" t="s">
        <v>10</v>
      </c>
      <c r="H71" s="1">
        <v>1</v>
      </c>
    </row>
    <row r="72" spans="1:34" ht="18" customHeight="1" thickBot="1" x14ac:dyDescent="0.4">
      <c r="B72" s="33"/>
      <c r="C72" s="34"/>
      <c r="D72" s="31">
        <f>SUM(D71:D71)</f>
        <v>28.8</v>
      </c>
      <c r="E72" s="31"/>
      <c r="F72" s="20"/>
      <c r="AH72" s="38">
        <f>D72</f>
        <v>28.8</v>
      </c>
    </row>
    <row r="73" spans="1:34" ht="6" customHeight="1" thickBot="1" x14ac:dyDescent="0.4">
      <c r="B73" s="35"/>
      <c r="C73" s="35"/>
      <c r="D73" s="22"/>
      <c r="E73" s="22"/>
      <c r="F73" s="1"/>
      <c r="N73" s="3" t="s">
        <v>18</v>
      </c>
      <c r="Q73" s="3" t="s">
        <v>4</v>
      </c>
    </row>
    <row r="74" spans="1:34" s="1" customFormat="1" x14ac:dyDescent="0.35">
      <c r="B74" s="1217" t="s">
        <v>455</v>
      </c>
      <c r="C74" s="1218"/>
      <c r="D74" s="1218"/>
      <c r="E74" s="1218"/>
      <c r="F74" s="1218"/>
      <c r="N74" s="3" t="s">
        <v>32</v>
      </c>
      <c r="Q74" s="3" t="s">
        <v>10</v>
      </c>
    </row>
    <row r="75" spans="1:34" s="1" customFormat="1" ht="3.75" customHeight="1" x14ac:dyDescent="0.35">
      <c r="B75" s="2"/>
      <c r="C75" s="2"/>
      <c r="D75" s="5"/>
      <c r="E75" s="5"/>
      <c r="F75" s="3"/>
      <c r="N75" s="3" t="s">
        <v>15</v>
      </c>
      <c r="Q75" s="3" t="s">
        <v>12</v>
      </c>
    </row>
    <row r="76" spans="1:34" s="1" customFormat="1" ht="21" hidden="1" customHeight="1" x14ac:dyDescent="0.35">
      <c r="B76" s="1301" t="s">
        <v>28</v>
      </c>
      <c r="C76" s="1220" t="str">
        <f>C69</f>
        <v>NAME OF BRIDGE/ LOCATION (KM POST)</v>
      </c>
      <c r="D76" s="1210" t="str">
        <f>D69</f>
        <v>LENGTH                         (m)</v>
      </c>
      <c r="E76" s="6" t="str">
        <f>E69</f>
        <v>DESCRIPTION</v>
      </c>
      <c r="F76" s="1303" t="s">
        <v>29</v>
      </c>
      <c r="N76" s="3" t="s">
        <v>60</v>
      </c>
      <c r="Q76" s="3" t="s">
        <v>33</v>
      </c>
    </row>
    <row r="77" spans="1:34" s="1" customFormat="1" ht="21" hidden="1" customHeight="1" thickBot="1" x14ac:dyDescent="0.4">
      <c r="B77" s="1302"/>
      <c r="C77" s="1221"/>
      <c r="D77" s="1211"/>
      <c r="E77" s="7" t="str">
        <f>E70</f>
        <v>BRIDGE TYPE</v>
      </c>
      <c r="F77" s="1304"/>
      <c r="N77" s="3" t="s">
        <v>61</v>
      </c>
      <c r="Q77" s="3" t="s">
        <v>41</v>
      </c>
    </row>
    <row r="78" spans="1:34" hidden="1" x14ac:dyDescent="0.35">
      <c r="A78" s="3">
        <v>28</v>
      </c>
      <c r="B78" s="46" t="s">
        <v>62</v>
      </c>
      <c r="C78" s="47" t="s">
        <v>63</v>
      </c>
      <c r="D78" s="11">
        <v>25</v>
      </c>
      <c r="E78" s="11" t="s">
        <v>18</v>
      </c>
      <c r="F78" s="48" t="s">
        <v>10</v>
      </c>
      <c r="H78" s="3">
        <v>1</v>
      </c>
    </row>
    <row r="79" spans="1:34" ht="4.5" customHeight="1" x14ac:dyDescent="0.35">
      <c r="B79" s="49"/>
      <c r="C79" s="50"/>
      <c r="D79" s="51"/>
      <c r="E79" s="51"/>
      <c r="F79" s="52"/>
    </row>
    <row r="80" spans="1:34" ht="18" customHeight="1" thickBot="1" x14ac:dyDescent="0.4">
      <c r="B80" s="53"/>
      <c r="C80" s="54"/>
      <c r="D80" s="31">
        <f>SUM(D78:D79)</f>
        <v>25</v>
      </c>
      <c r="E80" s="31"/>
      <c r="F80" s="20"/>
      <c r="AH80" s="38">
        <f>D80</f>
        <v>25</v>
      </c>
    </row>
    <row r="81" spans="1:33" ht="18" customHeight="1" thickBot="1" x14ac:dyDescent="0.4">
      <c r="B81" s="55" t="s">
        <v>64</v>
      </c>
      <c r="C81" s="56">
        <v>28</v>
      </c>
      <c r="D81" s="57">
        <f>D18+D27+D34+D55+D65+D72+D80</f>
        <v>832.69999999999993</v>
      </c>
      <c r="E81" s="57"/>
      <c r="F81" s="58"/>
    </row>
    <row r="82" spans="1:33" ht="11.25" customHeight="1" thickBot="1" x14ac:dyDescent="0.4">
      <c r="B82" s="35"/>
      <c r="C82" s="35"/>
      <c r="D82" s="22"/>
      <c r="E82" s="22"/>
      <c r="F82" s="1"/>
    </row>
    <row r="83" spans="1:33" s="1" customFormat="1" x14ac:dyDescent="0.35">
      <c r="B83" s="1217" t="s">
        <v>461</v>
      </c>
      <c r="C83" s="1218"/>
      <c r="D83" s="1218"/>
      <c r="E83" s="1218"/>
      <c r="F83" s="1218"/>
    </row>
    <row r="84" spans="1:33" s="1" customFormat="1" ht="3.75" customHeight="1" x14ac:dyDescent="0.35">
      <c r="B84" s="2"/>
      <c r="C84" s="2"/>
      <c r="D84" s="5"/>
      <c r="E84" s="5"/>
      <c r="F84" s="3"/>
    </row>
    <row r="85" spans="1:33" s="1" customFormat="1" ht="21" hidden="1" customHeight="1" x14ac:dyDescent="0.35">
      <c r="B85" s="1301" t="s">
        <v>28</v>
      </c>
      <c r="C85" s="1220" t="str">
        <f>C76</f>
        <v>NAME OF BRIDGE/ LOCATION (KM POST)</v>
      </c>
      <c r="D85" s="1210" t="str">
        <f>D76</f>
        <v>LENGTH                         (m)</v>
      </c>
      <c r="E85" s="6" t="str">
        <f>E76</f>
        <v>DESCRIPTION</v>
      </c>
      <c r="F85" s="1303" t="s">
        <v>29</v>
      </c>
    </row>
    <row r="86" spans="1:33" s="1" customFormat="1" ht="21" hidden="1" customHeight="1" thickBot="1" x14ac:dyDescent="0.4">
      <c r="B86" s="1302"/>
      <c r="C86" s="1221"/>
      <c r="D86" s="1211"/>
      <c r="E86" s="7" t="str">
        <f>E77</f>
        <v>BRIDGE TYPE</v>
      </c>
      <c r="F86" s="1304"/>
    </row>
    <row r="87" spans="1:33" hidden="1" x14ac:dyDescent="0.35">
      <c r="A87" s="3">
        <v>1</v>
      </c>
      <c r="B87" s="27" t="s">
        <v>65</v>
      </c>
      <c r="C87" s="28"/>
      <c r="D87" s="10">
        <v>7</v>
      </c>
      <c r="E87" s="10" t="s">
        <v>60</v>
      </c>
      <c r="F87" s="12" t="s">
        <v>33</v>
      </c>
      <c r="H87" s="3">
        <v>22</v>
      </c>
      <c r="AG87" s="3">
        <v>1</v>
      </c>
    </row>
    <row r="88" spans="1:33" ht="31" hidden="1" x14ac:dyDescent="0.35">
      <c r="A88" s="3">
        <v>2</v>
      </c>
      <c r="B88" s="27" t="s">
        <v>66</v>
      </c>
      <c r="C88" s="28" t="s">
        <v>67</v>
      </c>
      <c r="D88" s="10">
        <v>15</v>
      </c>
      <c r="E88" s="10" t="s">
        <v>15</v>
      </c>
      <c r="F88" s="12" t="s">
        <v>10</v>
      </c>
      <c r="AG88" s="3">
        <v>2</v>
      </c>
    </row>
    <row r="89" spans="1:33" hidden="1" x14ac:dyDescent="0.35">
      <c r="A89" s="3">
        <v>3</v>
      </c>
      <c r="B89" s="27"/>
      <c r="C89" s="28" t="s">
        <v>68</v>
      </c>
      <c r="D89" s="10">
        <v>15.7</v>
      </c>
      <c r="E89" s="10" t="s">
        <v>32</v>
      </c>
      <c r="F89" s="12" t="s">
        <v>33</v>
      </c>
      <c r="AG89" s="3">
        <v>3</v>
      </c>
    </row>
    <row r="90" spans="1:33" hidden="1" x14ac:dyDescent="0.35">
      <c r="A90" s="3">
        <v>4</v>
      </c>
      <c r="B90" s="27"/>
      <c r="C90" s="28" t="s">
        <v>69</v>
      </c>
      <c r="D90" s="10">
        <v>12.6</v>
      </c>
      <c r="E90" s="10" t="s">
        <v>15</v>
      </c>
      <c r="F90" s="12" t="s">
        <v>10</v>
      </c>
      <c r="AG90" s="3">
        <v>4</v>
      </c>
    </row>
    <row r="91" spans="1:33" hidden="1" x14ac:dyDescent="0.35">
      <c r="A91" s="3">
        <v>5</v>
      </c>
      <c r="B91" s="27"/>
      <c r="C91" s="28" t="s">
        <v>70</v>
      </c>
      <c r="D91" s="10">
        <v>12.3</v>
      </c>
      <c r="E91" s="10" t="s">
        <v>15</v>
      </c>
      <c r="F91" s="12" t="s">
        <v>10</v>
      </c>
      <c r="AG91" s="3">
        <v>5</v>
      </c>
    </row>
    <row r="92" spans="1:33" hidden="1" x14ac:dyDescent="0.35">
      <c r="A92" s="3">
        <v>6</v>
      </c>
      <c r="B92" s="27"/>
      <c r="C92" s="28" t="s">
        <v>71</v>
      </c>
      <c r="D92" s="10">
        <v>18.8</v>
      </c>
      <c r="E92" s="10" t="s">
        <v>15</v>
      </c>
      <c r="F92" s="12" t="s">
        <v>10</v>
      </c>
      <c r="AG92" s="3">
        <v>6</v>
      </c>
    </row>
    <row r="93" spans="1:33" hidden="1" x14ac:dyDescent="0.35">
      <c r="A93" s="3">
        <v>7</v>
      </c>
      <c r="B93" s="27"/>
      <c r="C93" s="28" t="s">
        <v>72</v>
      </c>
      <c r="D93" s="10">
        <v>19</v>
      </c>
      <c r="E93" s="10" t="s">
        <v>15</v>
      </c>
      <c r="F93" s="12" t="s">
        <v>10</v>
      </c>
      <c r="AG93" s="3">
        <v>7</v>
      </c>
    </row>
    <row r="94" spans="1:33" s="16" customFormat="1" hidden="1" x14ac:dyDescent="0.35">
      <c r="A94" s="16">
        <v>8</v>
      </c>
      <c r="B94" s="23" t="s">
        <v>73</v>
      </c>
      <c r="C94" s="24" t="s">
        <v>74</v>
      </c>
      <c r="D94" s="15">
        <v>21.6</v>
      </c>
      <c r="E94" s="10" t="s">
        <v>15</v>
      </c>
      <c r="F94" s="12" t="s">
        <v>10</v>
      </c>
      <c r="AG94" s="16">
        <v>8</v>
      </c>
    </row>
    <row r="95" spans="1:33" s="16" customFormat="1" hidden="1" x14ac:dyDescent="0.35">
      <c r="A95" s="16">
        <v>9</v>
      </c>
      <c r="B95" s="23"/>
      <c r="C95" s="24"/>
      <c r="D95" s="15">
        <v>5.2</v>
      </c>
      <c r="E95" s="10" t="s">
        <v>60</v>
      </c>
      <c r="F95" s="12" t="s">
        <v>33</v>
      </c>
      <c r="AG95" s="16">
        <v>9</v>
      </c>
    </row>
    <row r="96" spans="1:33" hidden="1" x14ac:dyDescent="0.35">
      <c r="A96" s="3">
        <v>10</v>
      </c>
      <c r="B96" s="27" t="s">
        <v>75</v>
      </c>
      <c r="C96" s="28" t="s">
        <v>76</v>
      </c>
      <c r="D96" s="10">
        <v>20</v>
      </c>
      <c r="E96" s="10" t="s">
        <v>60</v>
      </c>
      <c r="F96" s="12" t="s">
        <v>12</v>
      </c>
      <c r="AG96" s="3">
        <v>10</v>
      </c>
    </row>
    <row r="97" spans="1:34" s="16" customFormat="1" ht="18" hidden="1" customHeight="1" x14ac:dyDescent="0.35">
      <c r="A97" s="16">
        <v>11</v>
      </c>
      <c r="B97" s="23" t="s">
        <v>77</v>
      </c>
      <c r="C97" s="24" t="s">
        <v>78</v>
      </c>
      <c r="D97" s="15">
        <v>26</v>
      </c>
      <c r="E97" s="10" t="s">
        <v>15</v>
      </c>
      <c r="F97" s="12" t="s">
        <v>10</v>
      </c>
      <c r="AG97" s="16">
        <v>11</v>
      </c>
    </row>
    <row r="98" spans="1:34" ht="18" hidden="1" customHeight="1" x14ac:dyDescent="0.35">
      <c r="A98" s="3">
        <v>12</v>
      </c>
      <c r="B98" s="27" t="s">
        <v>79</v>
      </c>
      <c r="C98" s="28" t="s">
        <v>80</v>
      </c>
      <c r="D98" s="10">
        <v>24.5</v>
      </c>
      <c r="E98" s="10" t="s">
        <v>15</v>
      </c>
      <c r="F98" s="12" t="s">
        <v>10</v>
      </c>
      <c r="AG98" s="3">
        <v>12</v>
      </c>
    </row>
    <row r="99" spans="1:34" ht="18" hidden="1" customHeight="1" x14ac:dyDescent="0.35">
      <c r="A99" s="3">
        <v>13</v>
      </c>
      <c r="B99" s="27"/>
      <c r="C99" s="28" t="s">
        <v>81</v>
      </c>
      <c r="D99" s="10">
        <v>15</v>
      </c>
      <c r="E99" s="10" t="s">
        <v>15</v>
      </c>
      <c r="F99" s="12" t="s">
        <v>10</v>
      </c>
      <c r="AG99" s="3">
        <v>13</v>
      </c>
    </row>
    <row r="100" spans="1:34" ht="18" hidden="1" customHeight="1" x14ac:dyDescent="0.35">
      <c r="A100" s="3">
        <v>14</v>
      </c>
      <c r="B100" s="27"/>
      <c r="C100" s="28" t="s">
        <v>82</v>
      </c>
      <c r="D100" s="10">
        <v>24.5</v>
      </c>
      <c r="E100" s="10" t="s">
        <v>15</v>
      </c>
      <c r="F100" s="12" t="s">
        <v>12</v>
      </c>
      <c r="AG100" s="3">
        <v>14</v>
      </c>
    </row>
    <row r="101" spans="1:34" hidden="1" x14ac:dyDescent="0.35">
      <c r="A101" s="3">
        <v>15</v>
      </c>
      <c r="B101" s="27" t="s">
        <v>83</v>
      </c>
      <c r="C101" s="28" t="s">
        <v>84</v>
      </c>
      <c r="D101" s="10">
        <v>6.5</v>
      </c>
      <c r="E101" s="10" t="s">
        <v>60</v>
      </c>
      <c r="F101" s="12" t="s">
        <v>33</v>
      </c>
      <c r="AG101" s="3">
        <v>15</v>
      </c>
    </row>
    <row r="102" spans="1:34" s="16" customFormat="1" hidden="1" x14ac:dyDescent="0.35">
      <c r="A102" s="16">
        <v>16</v>
      </c>
      <c r="B102" s="23" t="s">
        <v>85</v>
      </c>
      <c r="C102" s="24" t="s">
        <v>84</v>
      </c>
      <c r="D102" s="15">
        <v>45</v>
      </c>
      <c r="E102" s="10" t="s">
        <v>15</v>
      </c>
      <c r="F102" s="12" t="s">
        <v>10</v>
      </c>
      <c r="AG102" s="16">
        <v>16</v>
      </c>
    </row>
    <row r="103" spans="1:34" s="16" customFormat="1" hidden="1" x14ac:dyDescent="0.35">
      <c r="A103" s="16">
        <v>17</v>
      </c>
      <c r="B103" s="59"/>
      <c r="C103" s="60" t="s">
        <v>86</v>
      </c>
      <c r="D103" s="61">
        <v>16.8</v>
      </c>
      <c r="E103" s="10" t="s">
        <v>15</v>
      </c>
      <c r="F103" s="12" t="s">
        <v>10</v>
      </c>
      <c r="AG103" s="16">
        <v>17</v>
      </c>
    </row>
    <row r="104" spans="1:34" s="16" customFormat="1" ht="18" hidden="1" customHeight="1" x14ac:dyDescent="0.35">
      <c r="A104" s="16">
        <v>18</v>
      </c>
      <c r="B104" s="23" t="s">
        <v>87</v>
      </c>
      <c r="C104" s="24" t="s">
        <v>88</v>
      </c>
      <c r="D104" s="15">
        <v>20.3</v>
      </c>
      <c r="E104" s="15" t="s">
        <v>15</v>
      </c>
      <c r="F104" s="32" t="s">
        <v>10</v>
      </c>
      <c r="AG104" s="16">
        <v>18</v>
      </c>
    </row>
    <row r="105" spans="1:34" s="16" customFormat="1" ht="18" hidden="1" customHeight="1" x14ac:dyDescent="0.35">
      <c r="A105" s="16">
        <v>19</v>
      </c>
      <c r="B105" s="23"/>
      <c r="C105" s="24" t="s">
        <v>89</v>
      </c>
      <c r="D105" s="15">
        <v>10</v>
      </c>
      <c r="E105" s="15" t="s">
        <v>15</v>
      </c>
      <c r="F105" s="32" t="s">
        <v>10</v>
      </c>
      <c r="AG105" s="16">
        <v>19</v>
      </c>
    </row>
    <row r="106" spans="1:34" s="16" customFormat="1" ht="18" hidden="1" customHeight="1" x14ac:dyDescent="0.35">
      <c r="A106" s="16">
        <v>20</v>
      </c>
      <c r="B106" s="23" t="s">
        <v>90</v>
      </c>
      <c r="C106" s="24"/>
      <c r="D106" s="15">
        <v>5</v>
      </c>
      <c r="E106" s="15" t="s">
        <v>60</v>
      </c>
      <c r="F106" s="32" t="s">
        <v>41</v>
      </c>
      <c r="AG106" s="16">
        <v>20</v>
      </c>
    </row>
    <row r="107" spans="1:34" s="16" customFormat="1" ht="18" hidden="1" customHeight="1" x14ac:dyDescent="0.35">
      <c r="A107" s="16">
        <v>21</v>
      </c>
      <c r="B107" s="23" t="s">
        <v>91</v>
      </c>
      <c r="C107" s="24" t="s">
        <v>92</v>
      </c>
      <c r="D107" s="15">
        <v>18.5</v>
      </c>
      <c r="E107" s="15" t="s">
        <v>15</v>
      </c>
      <c r="F107" s="32" t="s">
        <v>10</v>
      </c>
      <c r="AG107" s="16">
        <v>21</v>
      </c>
    </row>
    <row r="108" spans="1:34" s="16" customFormat="1" ht="18" hidden="1" customHeight="1" x14ac:dyDescent="0.35">
      <c r="A108" s="16">
        <v>22</v>
      </c>
      <c r="B108" s="23"/>
      <c r="C108" s="24" t="s">
        <v>49</v>
      </c>
      <c r="D108" s="15">
        <v>12.3</v>
      </c>
      <c r="E108" s="15" t="s">
        <v>15</v>
      </c>
      <c r="F108" s="32" t="s">
        <v>10</v>
      </c>
      <c r="AG108" s="16">
        <v>22</v>
      </c>
    </row>
    <row r="109" spans="1:34" ht="18" customHeight="1" thickBot="1" x14ac:dyDescent="0.4">
      <c r="B109" s="33"/>
      <c r="C109" s="34"/>
      <c r="D109" s="31">
        <f>SUM(D87:D108)</f>
        <v>371.6</v>
      </c>
      <c r="E109" s="31"/>
      <c r="F109" s="20"/>
      <c r="AH109" s="38">
        <f>D109</f>
        <v>371.6</v>
      </c>
    </row>
    <row r="110" spans="1:34" ht="18" customHeight="1" thickBot="1" x14ac:dyDescent="0.4"/>
    <row r="111" spans="1:34" s="1" customFormat="1" x14ac:dyDescent="0.35">
      <c r="B111" s="1217" t="s">
        <v>479</v>
      </c>
      <c r="C111" s="1218"/>
      <c r="D111" s="1218"/>
      <c r="E111" s="1218"/>
      <c r="F111" s="1218"/>
      <c r="O111" s="3" t="s">
        <v>18</v>
      </c>
      <c r="P111" s="3"/>
      <c r="Q111" s="3"/>
      <c r="R111" s="3" t="s">
        <v>4</v>
      </c>
    </row>
    <row r="112" spans="1:34" s="1" customFormat="1" x14ac:dyDescent="0.35">
      <c r="B112" s="2"/>
      <c r="C112" s="2"/>
      <c r="D112" s="5"/>
      <c r="E112" s="5"/>
      <c r="F112" s="3"/>
      <c r="O112" s="3" t="s">
        <v>32</v>
      </c>
      <c r="R112" s="3" t="s">
        <v>10</v>
      </c>
    </row>
    <row r="113" spans="1:34" s="1" customFormat="1" ht="21" hidden="1" customHeight="1" x14ac:dyDescent="0.35">
      <c r="B113" s="1301" t="s">
        <v>28</v>
      </c>
      <c r="C113" s="1220" t="str">
        <f>C85</f>
        <v>NAME OF BRIDGE/ LOCATION (KM POST)</v>
      </c>
      <c r="D113" s="1210" t="str">
        <f>D85</f>
        <v>LENGTH                         (m)</v>
      </c>
      <c r="E113" s="6" t="str">
        <f>E85</f>
        <v>DESCRIPTION</v>
      </c>
      <c r="F113" s="1303" t="s">
        <v>29</v>
      </c>
      <c r="O113" s="3" t="s">
        <v>15</v>
      </c>
      <c r="R113" s="3" t="s">
        <v>12</v>
      </c>
    </row>
    <row r="114" spans="1:34" s="1" customFormat="1" ht="21" hidden="1" customHeight="1" thickBot="1" x14ac:dyDescent="0.4">
      <c r="B114" s="1302"/>
      <c r="C114" s="1221"/>
      <c r="D114" s="1211"/>
      <c r="E114" s="7" t="str">
        <f>E86</f>
        <v>BRIDGE TYPE</v>
      </c>
      <c r="F114" s="1304"/>
      <c r="O114" s="3" t="s">
        <v>60</v>
      </c>
      <c r="R114" s="3" t="s">
        <v>33</v>
      </c>
    </row>
    <row r="115" spans="1:34" s="16" customFormat="1" ht="18" hidden="1" customHeight="1" x14ac:dyDescent="0.35">
      <c r="A115" s="16">
        <v>23</v>
      </c>
      <c r="B115" s="23" t="s">
        <v>93</v>
      </c>
      <c r="C115" s="24" t="s">
        <v>94</v>
      </c>
      <c r="D115" s="15">
        <v>22.5</v>
      </c>
      <c r="E115" s="15" t="s">
        <v>15</v>
      </c>
      <c r="F115" s="62" t="s">
        <v>10</v>
      </c>
      <c r="H115" s="16">
        <v>9</v>
      </c>
      <c r="O115" s="3" t="s">
        <v>61</v>
      </c>
      <c r="P115" s="1"/>
      <c r="Q115" s="1"/>
      <c r="R115" s="3" t="s">
        <v>41</v>
      </c>
      <c r="AG115" s="16">
        <v>23</v>
      </c>
    </row>
    <row r="116" spans="1:34" s="16" customFormat="1" ht="18" hidden="1" customHeight="1" x14ac:dyDescent="0.35">
      <c r="A116" s="16">
        <v>24</v>
      </c>
      <c r="B116" s="23" t="s">
        <v>95</v>
      </c>
      <c r="C116" s="24" t="s">
        <v>96</v>
      </c>
      <c r="D116" s="15">
        <v>43</v>
      </c>
      <c r="E116" s="15" t="s">
        <v>15</v>
      </c>
      <c r="F116" s="62" t="s">
        <v>10</v>
      </c>
      <c r="AG116" s="16">
        <v>24</v>
      </c>
    </row>
    <row r="117" spans="1:34" ht="18" hidden="1" customHeight="1" x14ac:dyDescent="0.35">
      <c r="A117" s="3">
        <v>25</v>
      </c>
      <c r="B117" s="27" t="s">
        <v>97</v>
      </c>
      <c r="C117" s="28" t="s">
        <v>98</v>
      </c>
      <c r="D117" s="10">
        <v>21</v>
      </c>
      <c r="E117" s="15" t="s">
        <v>60</v>
      </c>
      <c r="F117" s="62" t="s">
        <v>33</v>
      </c>
      <c r="AG117" s="3">
        <v>25</v>
      </c>
    </row>
    <row r="118" spans="1:34" s="16" customFormat="1" hidden="1" x14ac:dyDescent="0.35">
      <c r="A118" s="16">
        <v>26</v>
      </c>
      <c r="B118" s="23" t="s">
        <v>99</v>
      </c>
      <c r="C118" s="24" t="s">
        <v>100</v>
      </c>
      <c r="D118" s="15">
        <v>16.8</v>
      </c>
      <c r="E118" s="15" t="s">
        <v>15</v>
      </c>
      <c r="F118" s="62" t="s">
        <v>10</v>
      </c>
      <c r="AG118" s="16">
        <v>26</v>
      </c>
    </row>
    <row r="119" spans="1:34" s="16" customFormat="1" ht="31" hidden="1" x14ac:dyDescent="0.35">
      <c r="A119" s="16">
        <v>27</v>
      </c>
      <c r="B119" s="23" t="s">
        <v>101</v>
      </c>
      <c r="C119" s="24"/>
      <c r="D119" s="15">
        <v>15.8</v>
      </c>
      <c r="E119" s="15" t="s">
        <v>15</v>
      </c>
      <c r="F119" s="62" t="s">
        <v>10</v>
      </c>
      <c r="AG119" s="16">
        <v>27</v>
      </c>
    </row>
    <row r="120" spans="1:34" s="16" customFormat="1" hidden="1" x14ac:dyDescent="0.35">
      <c r="A120" s="16">
        <v>28</v>
      </c>
      <c r="B120" s="23"/>
      <c r="C120" s="24"/>
      <c r="D120" s="15">
        <v>24.6</v>
      </c>
      <c r="E120" s="15" t="s">
        <v>32</v>
      </c>
      <c r="F120" s="62" t="s">
        <v>33</v>
      </c>
      <c r="AG120" s="16">
        <v>28</v>
      </c>
    </row>
    <row r="121" spans="1:34" s="16" customFormat="1" hidden="1" x14ac:dyDescent="0.35">
      <c r="A121" s="16">
        <v>29</v>
      </c>
      <c r="B121" s="23"/>
      <c r="C121" s="24" t="s">
        <v>102</v>
      </c>
      <c r="D121" s="15">
        <v>24.8</v>
      </c>
      <c r="E121" s="15" t="s">
        <v>32</v>
      </c>
      <c r="F121" s="62" t="s">
        <v>33</v>
      </c>
      <c r="AG121" s="16">
        <v>29</v>
      </c>
    </row>
    <row r="122" spans="1:34" s="16" customFormat="1" hidden="1" x14ac:dyDescent="0.35">
      <c r="A122" s="16">
        <v>30</v>
      </c>
      <c r="B122" s="23"/>
      <c r="C122" s="24"/>
      <c r="D122" s="15">
        <v>16</v>
      </c>
      <c r="E122" s="15" t="s">
        <v>32</v>
      </c>
      <c r="F122" s="62" t="s">
        <v>33</v>
      </c>
      <c r="AG122" s="16">
        <v>30</v>
      </c>
    </row>
    <row r="123" spans="1:34" hidden="1" x14ac:dyDescent="0.35">
      <c r="A123" s="3">
        <v>31</v>
      </c>
      <c r="B123" s="27" t="s">
        <v>103</v>
      </c>
      <c r="C123" s="28"/>
      <c r="D123" s="10">
        <v>16.5</v>
      </c>
      <c r="E123" s="15" t="s">
        <v>15</v>
      </c>
      <c r="F123" s="62" t="s">
        <v>10</v>
      </c>
      <c r="AG123" s="3">
        <v>31</v>
      </c>
    </row>
    <row r="124" spans="1:34" ht="18" customHeight="1" thickBot="1" x14ac:dyDescent="0.4">
      <c r="B124" s="33"/>
      <c r="C124" s="34"/>
      <c r="D124" s="31">
        <f>SUM(D115:D123)</f>
        <v>201</v>
      </c>
      <c r="E124" s="31"/>
      <c r="F124" s="20"/>
      <c r="AH124" s="38">
        <f>D124</f>
        <v>201</v>
      </c>
    </row>
    <row r="125" spans="1:34" ht="10.5" customHeight="1" thickBot="1" x14ac:dyDescent="0.4"/>
    <row r="126" spans="1:34" s="1" customFormat="1" x14ac:dyDescent="0.35">
      <c r="B126" s="1217" t="s">
        <v>488</v>
      </c>
      <c r="C126" s="1218"/>
      <c r="D126" s="1218"/>
      <c r="E126" s="1218"/>
      <c r="F126" s="1218"/>
    </row>
    <row r="127" spans="1:34" s="1" customFormat="1" ht="4.5" customHeight="1" x14ac:dyDescent="0.35">
      <c r="B127" s="2"/>
      <c r="C127" s="2"/>
      <c r="D127" s="5"/>
      <c r="E127" s="5"/>
      <c r="F127" s="3"/>
    </row>
    <row r="128" spans="1:34" s="1" customFormat="1" ht="21" hidden="1" customHeight="1" x14ac:dyDescent="0.35">
      <c r="B128" s="1301" t="s">
        <v>28</v>
      </c>
      <c r="C128" s="1220" t="str">
        <f>C113</f>
        <v>NAME OF BRIDGE/ LOCATION (KM POST)</v>
      </c>
      <c r="D128" s="1210" t="str">
        <f>D113</f>
        <v>LENGTH                         (m)</v>
      </c>
      <c r="E128" s="6" t="str">
        <f>E113</f>
        <v>DESCRIPTION</v>
      </c>
      <c r="F128" s="1303" t="s">
        <v>29</v>
      </c>
    </row>
    <row r="129" spans="1:34" s="1" customFormat="1" ht="21" hidden="1" customHeight="1" thickBot="1" x14ac:dyDescent="0.4">
      <c r="B129" s="1302"/>
      <c r="C129" s="1221"/>
      <c r="D129" s="1211"/>
      <c r="E129" s="7" t="str">
        <f>E114</f>
        <v>BRIDGE TYPE</v>
      </c>
      <c r="F129" s="1304"/>
    </row>
    <row r="130" spans="1:34" s="16" customFormat="1" hidden="1" x14ac:dyDescent="0.35">
      <c r="A130" s="16">
        <v>32</v>
      </c>
      <c r="B130" s="23" t="s">
        <v>104</v>
      </c>
      <c r="C130" s="24" t="s">
        <v>105</v>
      </c>
      <c r="D130" s="15">
        <v>10</v>
      </c>
      <c r="E130" s="10" t="s">
        <v>15</v>
      </c>
      <c r="F130" s="12" t="s">
        <v>10</v>
      </c>
      <c r="H130" s="16">
        <v>12</v>
      </c>
      <c r="AG130" s="16">
        <v>32</v>
      </c>
    </row>
    <row r="131" spans="1:34" s="16" customFormat="1" hidden="1" x14ac:dyDescent="0.35">
      <c r="A131" s="16">
        <v>33</v>
      </c>
      <c r="B131" s="23"/>
      <c r="C131" s="24" t="s">
        <v>106</v>
      </c>
      <c r="D131" s="15">
        <v>36</v>
      </c>
      <c r="E131" s="10" t="s">
        <v>32</v>
      </c>
      <c r="F131" s="12" t="s">
        <v>33</v>
      </c>
      <c r="AG131" s="16">
        <v>33</v>
      </c>
    </row>
    <row r="132" spans="1:34" s="16" customFormat="1" hidden="1" x14ac:dyDescent="0.35">
      <c r="A132" s="16">
        <v>34</v>
      </c>
      <c r="B132" s="23"/>
      <c r="C132" s="24" t="s">
        <v>107</v>
      </c>
      <c r="D132" s="15">
        <v>18</v>
      </c>
      <c r="E132" s="10" t="s">
        <v>15</v>
      </c>
      <c r="F132" s="12" t="s">
        <v>10</v>
      </c>
      <c r="AG132" s="16">
        <v>34</v>
      </c>
    </row>
    <row r="133" spans="1:34" s="16" customFormat="1" hidden="1" x14ac:dyDescent="0.35">
      <c r="A133" s="16">
        <v>35</v>
      </c>
      <c r="B133" s="23"/>
      <c r="C133" s="24" t="s">
        <v>108</v>
      </c>
      <c r="D133" s="15">
        <v>15</v>
      </c>
      <c r="E133" s="10" t="s">
        <v>15</v>
      </c>
      <c r="F133" s="12" t="s">
        <v>10</v>
      </c>
      <c r="AG133" s="16">
        <v>35</v>
      </c>
    </row>
    <row r="134" spans="1:34" ht="18" hidden="1" customHeight="1" x14ac:dyDescent="0.35">
      <c r="A134" s="3">
        <v>36</v>
      </c>
      <c r="B134" s="27" t="s">
        <v>109</v>
      </c>
      <c r="C134" s="28"/>
      <c r="D134" s="10">
        <v>18</v>
      </c>
      <c r="E134" s="10" t="s">
        <v>32</v>
      </c>
      <c r="F134" s="12" t="s">
        <v>33</v>
      </c>
      <c r="AG134" s="3">
        <v>36</v>
      </c>
    </row>
    <row r="135" spans="1:34" s="16" customFormat="1" ht="18" hidden="1" customHeight="1" x14ac:dyDescent="0.35">
      <c r="A135" s="16">
        <v>37</v>
      </c>
      <c r="B135" s="23" t="s">
        <v>110</v>
      </c>
      <c r="C135" s="24" t="s">
        <v>111</v>
      </c>
      <c r="D135" s="15">
        <v>11</v>
      </c>
      <c r="E135" s="10" t="s">
        <v>15</v>
      </c>
      <c r="F135" s="12" t="s">
        <v>10</v>
      </c>
      <c r="AG135" s="16">
        <v>37</v>
      </c>
    </row>
    <row r="136" spans="1:34" s="16" customFormat="1" ht="18" hidden="1" customHeight="1" x14ac:dyDescent="0.35">
      <c r="A136" s="16">
        <v>38</v>
      </c>
      <c r="B136" s="23"/>
      <c r="C136" s="24" t="s">
        <v>112</v>
      </c>
      <c r="D136" s="15">
        <v>16</v>
      </c>
      <c r="E136" s="10" t="s">
        <v>15</v>
      </c>
      <c r="F136" s="12" t="s">
        <v>10</v>
      </c>
      <c r="AG136" s="16">
        <v>38</v>
      </c>
    </row>
    <row r="137" spans="1:34" s="16" customFormat="1" ht="18" hidden="1" customHeight="1" x14ac:dyDescent="0.35">
      <c r="A137" s="16">
        <v>39</v>
      </c>
      <c r="B137" s="23"/>
      <c r="C137" s="24" t="s">
        <v>113</v>
      </c>
      <c r="D137" s="15">
        <v>13</v>
      </c>
      <c r="E137" s="10" t="s">
        <v>15</v>
      </c>
      <c r="F137" s="12" t="s">
        <v>10</v>
      </c>
      <c r="AG137" s="16">
        <v>39</v>
      </c>
    </row>
    <row r="138" spans="1:34" s="16" customFormat="1" ht="18" hidden="1" customHeight="1" x14ac:dyDescent="0.35">
      <c r="A138" s="16">
        <v>40</v>
      </c>
      <c r="B138" s="23"/>
      <c r="C138" s="24" t="s">
        <v>114</v>
      </c>
      <c r="D138" s="15">
        <v>12</v>
      </c>
      <c r="E138" s="10" t="s">
        <v>15</v>
      </c>
      <c r="F138" s="12" t="s">
        <v>10</v>
      </c>
      <c r="AG138" s="16">
        <v>40</v>
      </c>
    </row>
    <row r="139" spans="1:34" s="16" customFormat="1" hidden="1" x14ac:dyDescent="0.35">
      <c r="A139" s="16">
        <v>41</v>
      </c>
      <c r="B139" s="23" t="s">
        <v>115</v>
      </c>
      <c r="C139" s="24"/>
      <c r="D139" s="15">
        <v>18</v>
      </c>
      <c r="E139" s="10" t="s">
        <v>15</v>
      </c>
      <c r="F139" s="12" t="s">
        <v>12</v>
      </c>
      <c r="AG139" s="16">
        <v>41</v>
      </c>
    </row>
    <row r="140" spans="1:34" s="16" customFormat="1" hidden="1" x14ac:dyDescent="0.35">
      <c r="A140" s="16">
        <v>42</v>
      </c>
      <c r="B140" s="23"/>
      <c r="C140" s="24"/>
      <c r="D140" s="15">
        <v>27</v>
      </c>
      <c r="E140" s="10" t="s">
        <v>15</v>
      </c>
      <c r="F140" s="12" t="s">
        <v>12</v>
      </c>
      <c r="AG140" s="16">
        <v>42</v>
      </c>
    </row>
    <row r="141" spans="1:34" s="16" customFormat="1" hidden="1" x14ac:dyDescent="0.35">
      <c r="A141" s="16">
        <v>43</v>
      </c>
      <c r="B141" s="23"/>
      <c r="C141" s="24"/>
      <c r="D141" s="15">
        <v>42</v>
      </c>
      <c r="E141" s="10" t="s">
        <v>15</v>
      </c>
      <c r="F141" s="12" t="s">
        <v>12</v>
      </c>
      <c r="AG141" s="16">
        <v>43</v>
      </c>
    </row>
    <row r="142" spans="1:34" ht="18" customHeight="1" thickBot="1" x14ac:dyDescent="0.4">
      <c r="B142" s="33"/>
      <c r="C142" s="34"/>
      <c r="D142" s="31">
        <f>SUM(D130:D141)</f>
        <v>236</v>
      </c>
      <c r="E142" s="31"/>
      <c r="F142" s="20"/>
      <c r="AH142" s="38">
        <f>D142</f>
        <v>236</v>
      </c>
    </row>
    <row r="143" spans="1:34" ht="18" customHeight="1" thickBot="1" x14ac:dyDescent="0.4"/>
    <row r="144" spans="1:34" s="1" customFormat="1" x14ac:dyDescent="0.35">
      <c r="B144" s="1217" t="s">
        <v>494</v>
      </c>
      <c r="C144" s="1218"/>
      <c r="D144" s="1218"/>
      <c r="E144" s="1218"/>
      <c r="F144" s="1218"/>
    </row>
    <row r="145" spans="1:34" s="1" customFormat="1" x14ac:dyDescent="0.35">
      <c r="B145" s="2"/>
      <c r="C145" s="2"/>
      <c r="D145" s="5"/>
      <c r="E145" s="5"/>
      <c r="F145" s="3"/>
    </row>
    <row r="146" spans="1:34" s="1" customFormat="1" ht="21" hidden="1" customHeight="1" x14ac:dyDescent="0.35">
      <c r="B146" s="1301" t="s">
        <v>28</v>
      </c>
      <c r="C146" s="1220" t="str">
        <f>C128</f>
        <v>NAME OF BRIDGE/ LOCATION (KM POST)</v>
      </c>
      <c r="D146" s="1210" t="str">
        <f>D128</f>
        <v>LENGTH                         (m)</v>
      </c>
      <c r="E146" s="6" t="str">
        <f>E128</f>
        <v>DESCRIPTION</v>
      </c>
      <c r="F146" s="1303" t="s">
        <v>29</v>
      </c>
    </row>
    <row r="147" spans="1:34" s="1" customFormat="1" ht="21" hidden="1" customHeight="1" thickBot="1" x14ac:dyDescent="0.4">
      <c r="B147" s="1302"/>
      <c r="C147" s="1221"/>
      <c r="D147" s="1211"/>
      <c r="E147" s="7" t="str">
        <f>E129</f>
        <v>BRIDGE TYPE</v>
      </c>
      <c r="F147" s="1304"/>
    </row>
    <row r="148" spans="1:34" ht="18" hidden="1" customHeight="1" x14ac:dyDescent="0.35">
      <c r="A148" s="3">
        <v>44</v>
      </c>
      <c r="B148" s="27" t="s">
        <v>116</v>
      </c>
      <c r="C148" s="28" t="s">
        <v>117</v>
      </c>
      <c r="D148" s="10">
        <v>26</v>
      </c>
      <c r="E148" s="10" t="s">
        <v>15</v>
      </c>
      <c r="F148" s="12" t="s">
        <v>10</v>
      </c>
      <c r="H148" s="3">
        <v>4</v>
      </c>
      <c r="AG148" s="3">
        <v>44</v>
      </c>
    </row>
    <row r="149" spans="1:34" ht="18" hidden="1" customHeight="1" x14ac:dyDescent="0.35">
      <c r="A149" s="3">
        <v>45</v>
      </c>
      <c r="B149" s="27"/>
      <c r="C149" s="28" t="s">
        <v>118</v>
      </c>
      <c r="D149" s="10">
        <v>26</v>
      </c>
      <c r="E149" s="10" t="s">
        <v>15</v>
      </c>
      <c r="F149" s="12" t="s">
        <v>12</v>
      </c>
      <c r="AG149" s="3">
        <v>45</v>
      </c>
    </row>
    <row r="150" spans="1:34" ht="18" hidden="1" customHeight="1" x14ac:dyDescent="0.35">
      <c r="A150" s="3">
        <v>46</v>
      </c>
      <c r="B150" s="27"/>
      <c r="C150" s="28" t="s">
        <v>119</v>
      </c>
      <c r="D150" s="10">
        <v>33</v>
      </c>
      <c r="E150" s="10" t="s">
        <v>32</v>
      </c>
      <c r="F150" s="12" t="s">
        <v>10</v>
      </c>
      <c r="AG150" s="3">
        <v>46</v>
      </c>
    </row>
    <row r="151" spans="1:34" ht="18" hidden="1" customHeight="1" x14ac:dyDescent="0.35">
      <c r="A151" s="3">
        <v>47</v>
      </c>
      <c r="B151" s="27" t="s">
        <v>120</v>
      </c>
      <c r="C151" s="28"/>
      <c r="D151" s="10">
        <v>45</v>
      </c>
      <c r="E151" s="10" t="s">
        <v>32</v>
      </c>
      <c r="F151" s="12" t="s">
        <v>10</v>
      </c>
      <c r="AG151" s="3">
        <v>47</v>
      </c>
    </row>
    <row r="152" spans="1:34" ht="18" hidden="1" customHeight="1" thickBot="1" x14ac:dyDescent="0.4">
      <c r="B152" s="33"/>
      <c r="C152" s="34"/>
      <c r="D152" s="31">
        <f>SUM(D148:D151)</f>
        <v>130</v>
      </c>
      <c r="E152" s="31">
        <f>SUM(E148:E151)</f>
        <v>0</v>
      </c>
      <c r="F152" s="20"/>
      <c r="AH152" s="38">
        <f>D152</f>
        <v>130</v>
      </c>
    </row>
    <row r="153" spans="1:34" ht="18" customHeight="1" thickBot="1" x14ac:dyDescent="0.4"/>
    <row r="154" spans="1:34" s="1" customFormat="1" x14ac:dyDescent="0.35">
      <c r="B154" s="1217" t="s">
        <v>501</v>
      </c>
      <c r="C154" s="1218"/>
      <c r="D154" s="1218"/>
      <c r="E154" s="1218"/>
      <c r="F154" s="1218"/>
    </row>
    <row r="155" spans="1:34" s="1" customFormat="1" x14ac:dyDescent="0.35">
      <c r="B155" s="2"/>
      <c r="C155" s="2"/>
      <c r="D155" s="5"/>
      <c r="E155" s="5"/>
      <c r="F155" s="3"/>
    </row>
    <row r="156" spans="1:34" s="1" customFormat="1" ht="21" hidden="1" customHeight="1" x14ac:dyDescent="0.35">
      <c r="B156" s="1301" t="s">
        <v>28</v>
      </c>
      <c r="C156" s="1220" t="str">
        <f>C146</f>
        <v>NAME OF BRIDGE/ LOCATION (KM POST)</v>
      </c>
      <c r="D156" s="1210" t="str">
        <f>D146</f>
        <v>LENGTH                         (m)</v>
      </c>
      <c r="E156" s="6" t="str">
        <f>E146</f>
        <v>DESCRIPTION</v>
      </c>
      <c r="F156" s="1303" t="s">
        <v>29</v>
      </c>
    </row>
    <row r="157" spans="1:34" s="1" customFormat="1" ht="21" hidden="1" customHeight="1" thickBot="1" x14ac:dyDescent="0.4">
      <c r="B157" s="1302"/>
      <c r="C157" s="1221"/>
      <c r="D157" s="1211"/>
      <c r="E157" s="7" t="str">
        <f>E147</f>
        <v>BRIDGE TYPE</v>
      </c>
      <c r="F157" s="1304"/>
    </row>
    <row r="158" spans="1:34" s="16" customFormat="1" ht="18" hidden="1" customHeight="1" x14ac:dyDescent="0.35">
      <c r="A158" s="16">
        <v>48</v>
      </c>
      <c r="B158" s="23" t="s">
        <v>121</v>
      </c>
      <c r="C158" s="24" t="s">
        <v>122</v>
      </c>
      <c r="D158" s="15">
        <v>15.6</v>
      </c>
      <c r="E158" s="15" t="s">
        <v>15</v>
      </c>
      <c r="F158" s="32" t="s">
        <v>10</v>
      </c>
      <c r="H158" s="16">
        <v>14</v>
      </c>
      <c r="AG158" s="16">
        <v>48</v>
      </c>
    </row>
    <row r="159" spans="1:34" s="16" customFormat="1" ht="18" hidden="1" customHeight="1" x14ac:dyDescent="0.35">
      <c r="A159" s="16">
        <v>49</v>
      </c>
      <c r="B159" s="23"/>
      <c r="C159" s="24" t="s">
        <v>123</v>
      </c>
      <c r="D159" s="15">
        <v>18.8</v>
      </c>
      <c r="E159" s="15" t="s">
        <v>15</v>
      </c>
      <c r="F159" s="32" t="s">
        <v>33</v>
      </c>
      <c r="AG159" s="16">
        <v>49</v>
      </c>
    </row>
    <row r="160" spans="1:34" s="16" customFormat="1" ht="18" hidden="1" customHeight="1" x14ac:dyDescent="0.35">
      <c r="A160" s="16">
        <v>50</v>
      </c>
      <c r="B160" s="23"/>
      <c r="C160" s="24" t="s">
        <v>124</v>
      </c>
      <c r="D160" s="15">
        <v>18.600000000000001</v>
      </c>
      <c r="E160" s="15" t="s">
        <v>15</v>
      </c>
      <c r="F160" s="32" t="s">
        <v>33</v>
      </c>
      <c r="AG160" s="16">
        <v>50</v>
      </c>
    </row>
    <row r="161" spans="1:34" s="16" customFormat="1" ht="18" hidden="1" customHeight="1" x14ac:dyDescent="0.35">
      <c r="A161" s="16">
        <v>51</v>
      </c>
      <c r="B161" s="23" t="s">
        <v>125</v>
      </c>
      <c r="C161" s="24" t="s">
        <v>126</v>
      </c>
      <c r="D161" s="15">
        <v>15.8</v>
      </c>
      <c r="E161" s="15" t="s">
        <v>60</v>
      </c>
      <c r="F161" s="32" t="s">
        <v>33</v>
      </c>
      <c r="AG161" s="16">
        <v>51</v>
      </c>
    </row>
    <row r="162" spans="1:34" s="16" customFormat="1" ht="18" hidden="1" customHeight="1" x14ac:dyDescent="0.35">
      <c r="A162" s="16">
        <v>52</v>
      </c>
      <c r="B162" s="23" t="s">
        <v>127</v>
      </c>
      <c r="C162" s="24" t="s">
        <v>128</v>
      </c>
      <c r="D162" s="15">
        <v>15.4</v>
      </c>
      <c r="E162" s="15" t="s">
        <v>15</v>
      </c>
      <c r="F162" s="32" t="s">
        <v>10</v>
      </c>
      <c r="AG162" s="16">
        <v>52</v>
      </c>
    </row>
    <row r="163" spans="1:34" s="16" customFormat="1" ht="18" hidden="1" customHeight="1" thickBot="1" x14ac:dyDescent="0.4">
      <c r="A163" s="16">
        <v>53</v>
      </c>
      <c r="B163" s="63"/>
      <c r="C163" s="64" t="s">
        <v>129</v>
      </c>
      <c r="D163" s="65">
        <v>15.2</v>
      </c>
      <c r="E163" s="15" t="s">
        <v>15</v>
      </c>
      <c r="F163" s="32" t="s">
        <v>12</v>
      </c>
      <c r="AG163" s="16">
        <v>53</v>
      </c>
    </row>
    <row r="164" spans="1:34" s="16" customFormat="1" ht="18" hidden="1" customHeight="1" x14ac:dyDescent="0.35">
      <c r="A164" s="16">
        <v>54</v>
      </c>
      <c r="B164" s="23" t="s">
        <v>130</v>
      </c>
      <c r="C164" s="24" t="s">
        <v>131</v>
      </c>
      <c r="D164" s="15">
        <v>15.4</v>
      </c>
      <c r="E164" s="15" t="s">
        <v>15</v>
      </c>
      <c r="F164" s="32" t="s">
        <v>10</v>
      </c>
      <c r="AG164" s="16">
        <v>54</v>
      </c>
    </row>
    <row r="165" spans="1:34" s="16" customFormat="1" ht="18" hidden="1" customHeight="1" x14ac:dyDescent="0.35">
      <c r="A165" s="16">
        <v>55</v>
      </c>
      <c r="B165" s="23"/>
      <c r="C165" s="24" t="s">
        <v>132</v>
      </c>
      <c r="D165" s="15">
        <v>22</v>
      </c>
      <c r="E165" s="15" t="s">
        <v>15</v>
      </c>
      <c r="F165" s="32" t="s">
        <v>10</v>
      </c>
      <c r="AG165" s="16">
        <v>55</v>
      </c>
    </row>
    <row r="166" spans="1:34" s="16" customFormat="1" ht="18" hidden="1" customHeight="1" x14ac:dyDescent="0.35">
      <c r="A166" s="16">
        <v>56</v>
      </c>
      <c r="B166" s="23"/>
      <c r="C166" s="24" t="s">
        <v>133</v>
      </c>
      <c r="D166" s="15">
        <v>12.48</v>
      </c>
      <c r="E166" s="15" t="s">
        <v>15</v>
      </c>
      <c r="F166" s="32" t="s">
        <v>10</v>
      </c>
      <c r="AG166" s="16">
        <v>56</v>
      </c>
    </row>
    <row r="167" spans="1:34" s="16" customFormat="1" ht="18" hidden="1" customHeight="1" x14ac:dyDescent="0.35">
      <c r="A167" s="16">
        <v>57</v>
      </c>
      <c r="B167" s="23"/>
      <c r="C167" s="24" t="s">
        <v>134</v>
      </c>
      <c r="D167" s="15">
        <v>12.7</v>
      </c>
      <c r="E167" s="15" t="s">
        <v>15</v>
      </c>
      <c r="F167" s="32" t="s">
        <v>10</v>
      </c>
      <c r="AG167" s="16">
        <v>57</v>
      </c>
    </row>
    <row r="168" spans="1:34" s="16" customFormat="1" ht="18" hidden="1" customHeight="1" x14ac:dyDescent="0.35">
      <c r="A168" s="16">
        <v>58</v>
      </c>
      <c r="B168" s="23"/>
      <c r="C168" s="24" t="s">
        <v>135</v>
      </c>
      <c r="D168" s="15">
        <v>12.7</v>
      </c>
      <c r="E168" s="15" t="s">
        <v>15</v>
      </c>
      <c r="F168" s="32" t="s">
        <v>10</v>
      </c>
      <c r="AG168" s="16">
        <v>58</v>
      </c>
    </row>
    <row r="169" spans="1:34" s="16" customFormat="1" ht="18" hidden="1" customHeight="1" x14ac:dyDescent="0.35">
      <c r="A169" s="16">
        <v>59</v>
      </c>
      <c r="B169" s="23"/>
      <c r="C169" s="24" t="s">
        <v>136</v>
      </c>
      <c r="D169" s="15">
        <v>18.7</v>
      </c>
      <c r="E169" s="15" t="s">
        <v>15</v>
      </c>
      <c r="F169" s="32" t="s">
        <v>10</v>
      </c>
      <c r="AG169" s="16">
        <v>59</v>
      </c>
    </row>
    <row r="170" spans="1:34" s="16" customFormat="1" ht="18" hidden="1" customHeight="1" x14ac:dyDescent="0.35">
      <c r="A170" s="16">
        <v>60</v>
      </c>
      <c r="B170" s="23"/>
      <c r="C170" s="24" t="s">
        <v>137</v>
      </c>
      <c r="D170" s="15">
        <v>12.6</v>
      </c>
      <c r="E170" s="15" t="s">
        <v>15</v>
      </c>
      <c r="F170" s="32" t="s">
        <v>10</v>
      </c>
      <c r="AG170" s="16">
        <v>60</v>
      </c>
    </row>
    <row r="171" spans="1:34" s="16" customFormat="1" ht="18" hidden="1" customHeight="1" x14ac:dyDescent="0.35">
      <c r="A171" s="16">
        <v>61</v>
      </c>
      <c r="B171" s="23"/>
      <c r="C171" s="24" t="s">
        <v>138</v>
      </c>
      <c r="D171" s="15">
        <v>15.8</v>
      </c>
      <c r="E171" s="15" t="s">
        <v>15</v>
      </c>
      <c r="F171" s="32" t="s">
        <v>10</v>
      </c>
      <c r="AG171" s="16">
        <v>61</v>
      </c>
    </row>
    <row r="172" spans="1:34" s="16" customFormat="1" ht="18" hidden="1" customHeight="1" x14ac:dyDescent="0.35">
      <c r="A172" s="16">
        <v>62</v>
      </c>
      <c r="B172" s="59" t="s">
        <v>139</v>
      </c>
      <c r="C172" s="60" t="s">
        <v>140</v>
      </c>
      <c r="D172" s="61">
        <v>30</v>
      </c>
      <c r="E172" s="61" t="s">
        <v>60</v>
      </c>
      <c r="F172" s="66" t="s">
        <v>33</v>
      </c>
      <c r="AG172" s="16">
        <v>62</v>
      </c>
    </row>
    <row r="173" spans="1:34" ht="18" customHeight="1" thickBot="1" x14ac:dyDescent="0.4">
      <c r="B173" s="33"/>
      <c r="C173" s="34"/>
      <c r="D173" s="31">
        <f>SUM(D158:D172)</f>
        <v>251.77999999999997</v>
      </c>
      <c r="E173" s="31"/>
      <c r="F173" s="20"/>
      <c r="AH173" s="38">
        <f>D173</f>
        <v>251.77999999999997</v>
      </c>
    </row>
    <row r="174" spans="1:34" ht="9.75" customHeight="1" thickBot="1" x14ac:dyDescent="0.4"/>
    <row r="175" spans="1:34" s="1" customFormat="1" x14ac:dyDescent="0.35">
      <c r="B175" s="1217" t="s">
        <v>526</v>
      </c>
      <c r="C175" s="1218"/>
      <c r="D175" s="1218"/>
      <c r="E175" s="1218"/>
      <c r="F175" s="1218"/>
    </row>
    <row r="176" spans="1:34" s="1" customFormat="1" ht="8.25" customHeight="1" x14ac:dyDescent="0.35">
      <c r="B176" s="2"/>
      <c r="C176" s="2"/>
      <c r="D176" s="5"/>
      <c r="E176" s="5"/>
      <c r="F176" s="3"/>
    </row>
    <row r="177" spans="1:34" s="1" customFormat="1" ht="21" hidden="1" customHeight="1" x14ac:dyDescent="0.35">
      <c r="B177" s="1301" t="s">
        <v>28</v>
      </c>
      <c r="C177" s="1220" t="str">
        <f>C156</f>
        <v>NAME OF BRIDGE/ LOCATION (KM POST)</v>
      </c>
      <c r="D177" s="1210" t="str">
        <f>D156</f>
        <v>LENGTH                         (m)</v>
      </c>
      <c r="E177" s="6" t="str">
        <f>E156</f>
        <v>DESCRIPTION</v>
      </c>
      <c r="F177" s="1303" t="s">
        <v>29</v>
      </c>
    </row>
    <row r="178" spans="1:34" s="1" customFormat="1" ht="21" hidden="1" customHeight="1" thickBot="1" x14ac:dyDescent="0.4">
      <c r="B178" s="1302"/>
      <c r="C178" s="1221"/>
      <c r="D178" s="1211"/>
      <c r="E178" s="7" t="str">
        <f>E157</f>
        <v>BRIDGE TYPE</v>
      </c>
      <c r="F178" s="1304"/>
    </row>
    <row r="179" spans="1:34" s="16" customFormat="1" ht="18" hidden="1" customHeight="1" x14ac:dyDescent="0.35">
      <c r="A179" s="16">
        <v>63</v>
      </c>
      <c r="B179" s="67" t="str">
        <f>'[45]list of bridge'!B389</f>
        <v xml:space="preserve"> Araceli - Dumaran Road A</v>
      </c>
      <c r="C179" s="24" t="str">
        <f>'[45]list of bridge'!C389</f>
        <v>Araceli Bridge I</v>
      </c>
      <c r="D179" s="15">
        <v>7.7</v>
      </c>
      <c r="E179" s="15" t="s">
        <v>15</v>
      </c>
      <c r="F179" s="32" t="s">
        <v>12</v>
      </c>
      <c r="H179" s="16">
        <v>5</v>
      </c>
      <c r="AG179" s="16">
        <v>63</v>
      </c>
    </row>
    <row r="180" spans="1:34" s="16" customFormat="1" ht="18" customHeight="1" x14ac:dyDescent="0.35">
      <c r="A180" s="16">
        <v>64</v>
      </c>
      <c r="B180" s="23"/>
      <c r="C180" s="24" t="str">
        <f>'[45]list of bridge'!C390</f>
        <v>Km. Sta. 5+900</v>
      </c>
      <c r="D180" s="15"/>
      <c r="E180" s="15"/>
      <c r="F180" s="32"/>
    </row>
    <row r="181" spans="1:34" s="16" customFormat="1" ht="18" hidden="1" customHeight="1" x14ac:dyDescent="0.35">
      <c r="A181" s="16">
        <v>65</v>
      </c>
      <c r="B181" s="23"/>
      <c r="C181" s="24" t="str">
        <f>'[45]list of bridge'!C392</f>
        <v>Araceli Bridge 2</v>
      </c>
      <c r="D181" s="15">
        <v>7.9</v>
      </c>
      <c r="E181" s="15" t="str">
        <f>E179</f>
        <v>R.C Girder</v>
      </c>
      <c r="F181" s="32" t="s">
        <v>12</v>
      </c>
      <c r="AG181" s="16">
        <v>64</v>
      </c>
    </row>
    <row r="182" spans="1:34" ht="18" customHeight="1" x14ac:dyDescent="0.35">
      <c r="A182" s="3">
        <v>66</v>
      </c>
      <c r="B182" s="27"/>
      <c r="C182" s="24" t="str">
        <f>'[45]list of bridge'!C393</f>
        <v>Km. Sta. 6+200</v>
      </c>
      <c r="D182" s="10"/>
      <c r="E182" s="10"/>
      <c r="F182" s="12"/>
    </row>
    <row r="183" spans="1:34" s="16" customFormat="1" ht="18" hidden="1" customHeight="1" x14ac:dyDescent="0.35">
      <c r="A183" s="16">
        <v>67</v>
      </c>
      <c r="B183" s="23"/>
      <c r="C183" s="24" t="str">
        <f>'[45]list of bridge'!C395</f>
        <v>Araceli Bridge 3</v>
      </c>
      <c r="D183" s="15">
        <v>14.8</v>
      </c>
      <c r="E183" s="15" t="str">
        <f>E181</f>
        <v>R.C Girder</v>
      </c>
      <c r="F183" s="32" t="s">
        <v>12</v>
      </c>
      <c r="AG183" s="16">
        <v>65</v>
      </c>
    </row>
    <row r="184" spans="1:34" ht="18" customHeight="1" x14ac:dyDescent="0.35">
      <c r="A184" s="3">
        <v>68</v>
      </c>
      <c r="B184" s="27"/>
      <c r="C184" s="24" t="str">
        <f>'[45]list of bridge'!C396</f>
        <v>Km. Sta. 18+100</v>
      </c>
      <c r="D184" s="10"/>
      <c r="E184" s="10"/>
      <c r="F184" s="12"/>
    </row>
    <row r="185" spans="1:34" s="16" customFormat="1" ht="18" hidden="1" customHeight="1" x14ac:dyDescent="0.35">
      <c r="A185" s="16">
        <v>69</v>
      </c>
      <c r="B185" s="67" t="str">
        <f>'[45]list of bridge'!B398</f>
        <v xml:space="preserve"> Mauringen - Balogo Road</v>
      </c>
      <c r="C185" s="24" t="str">
        <f>'[45]list of bridge'!C398</f>
        <v>Mauringen Bridge</v>
      </c>
      <c r="D185" s="15">
        <v>11</v>
      </c>
      <c r="E185" s="15" t="s">
        <v>60</v>
      </c>
      <c r="F185" s="32" t="s">
        <v>33</v>
      </c>
      <c r="AG185" s="16">
        <v>66</v>
      </c>
    </row>
    <row r="186" spans="1:34" ht="18" customHeight="1" x14ac:dyDescent="0.35">
      <c r="A186" s="3">
        <v>70</v>
      </c>
      <c r="B186" s="67"/>
      <c r="C186" s="24" t="str">
        <f>'[45]list of bridge'!C399</f>
        <v>Km. Sta. 0+600</v>
      </c>
      <c r="D186" s="10"/>
      <c r="E186" s="10"/>
      <c r="F186" s="12"/>
    </row>
    <row r="187" spans="1:34" ht="18" hidden="1" customHeight="1" x14ac:dyDescent="0.35">
      <c r="A187" s="3">
        <v>71</v>
      </c>
      <c r="B187" s="67" t="str">
        <f>'[45]list of bridge'!B401</f>
        <v xml:space="preserve"> Baeng - Balogo Road</v>
      </c>
      <c r="C187" s="24" t="str">
        <f>'[45]list of bridge'!C401</f>
        <v>Balogo Bridge</v>
      </c>
      <c r="D187" s="10">
        <v>10</v>
      </c>
      <c r="E187" s="10" t="str">
        <f>E185</f>
        <v>Timber</v>
      </c>
      <c r="F187" s="12" t="s">
        <v>33</v>
      </c>
      <c r="AG187" s="3">
        <v>67</v>
      </c>
    </row>
    <row r="188" spans="1:34" ht="18" customHeight="1" x14ac:dyDescent="0.35">
      <c r="A188" s="3">
        <v>72</v>
      </c>
      <c r="B188" s="27"/>
      <c r="C188" s="24" t="str">
        <f>'[45]list of bridge'!C402</f>
        <v>Km. Sta. 2+500</v>
      </c>
      <c r="D188" s="10"/>
      <c r="E188" s="10"/>
      <c r="F188" s="12"/>
    </row>
    <row r="189" spans="1:34" ht="18" customHeight="1" thickBot="1" x14ac:dyDescent="0.4">
      <c r="B189" s="33"/>
      <c r="C189" s="34"/>
      <c r="D189" s="31">
        <f>SUM(D179:D188)</f>
        <v>51.400000000000006</v>
      </c>
      <c r="E189" s="31"/>
      <c r="F189" s="20"/>
      <c r="AH189" s="38">
        <f>D189</f>
        <v>51.400000000000006</v>
      </c>
    </row>
    <row r="190" spans="1:34" ht="18" customHeight="1" thickBot="1" x14ac:dyDescent="0.4"/>
    <row r="191" spans="1:34" s="1" customFormat="1" x14ac:dyDescent="0.35">
      <c r="B191" s="1217" t="s">
        <v>547</v>
      </c>
      <c r="C191" s="1218"/>
      <c r="D191" s="1218"/>
      <c r="E191" s="1218"/>
      <c r="F191" s="1218"/>
    </row>
    <row r="192" spans="1:34" s="1" customFormat="1" x14ac:dyDescent="0.35">
      <c r="B192" s="2"/>
      <c r="C192" s="2"/>
      <c r="D192" s="5"/>
      <c r="E192" s="5"/>
      <c r="F192" s="3"/>
    </row>
    <row r="193" spans="1:34" s="1" customFormat="1" ht="21" hidden="1" customHeight="1" x14ac:dyDescent="0.35">
      <c r="B193" s="1301" t="s">
        <v>28</v>
      </c>
      <c r="C193" s="1220" t="str">
        <f>C177</f>
        <v>NAME OF BRIDGE/ LOCATION (KM POST)</v>
      </c>
      <c r="D193" s="1210" t="str">
        <f>D177</f>
        <v>LENGTH                         (m)</v>
      </c>
      <c r="E193" s="6" t="str">
        <f>E177</f>
        <v>DESCRIPTION</v>
      </c>
      <c r="F193" s="1303" t="s">
        <v>29</v>
      </c>
    </row>
    <row r="194" spans="1:34" s="1" customFormat="1" ht="21" hidden="1" customHeight="1" thickBot="1" x14ac:dyDescent="0.4">
      <c r="B194" s="1302"/>
      <c r="C194" s="1221"/>
      <c r="D194" s="1211"/>
      <c r="E194" s="7" t="str">
        <f>E178</f>
        <v>BRIDGE TYPE</v>
      </c>
      <c r="F194" s="1304"/>
    </row>
    <row r="195" spans="1:34" ht="30.75" hidden="1" customHeight="1" x14ac:dyDescent="0.35">
      <c r="A195" s="3">
        <v>73</v>
      </c>
      <c r="B195" s="27" t="s">
        <v>141</v>
      </c>
      <c r="C195" s="28" t="str">
        <f>'[45]list of bridge'!C409</f>
        <v>Km. Sta. 0+100</v>
      </c>
      <c r="D195" s="10">
        <v>6</v>
      </c>
      <c r="E195" s="10" t="s">
        <v>15</v>
      </c>
      <c r="F195" s="12" t="s">
        <v>10</v>
      </c>
      <c r="H195" s="3">
        <v>2</v>
      </c>
      <c r="AG195" s="3">
        <v>68</v>
      </c>
    </row>
    <row r="196" spans="1:34" ht="18" hidden="1" customHeight="1" x14ac:dyDescent="0.35">
      <c r="A196" s="3">
        <v>74</v>
      </c>
      <c r="B196" s="27"/>
      <c r="C196" s="28" t="str">
        <f>'[45]list of bridge'!C412</f>
        <v>Km. Sta. 0+700</v>
      </c>
      <c r="D196" s="10">
        <v>6</v>
      </c>
      <c r="E196" s="10" t="s">
        <v>15</v>
      </c>
      <c r="F196" s="12" t="s">
        <v>10</v>
      </c>
      <c r="AG196" s="3">
        <v>69</v>
      </c>
    </row>
    <row r="197" spans="1:34" ht="18" customHeight="1" thickBot="1" x14ac:dyDescent="0.4">
      <c r="B197" s="33"/>
      <c r="C197" s="34"/>
      <c r="D197" s="31">
        <f>SUM(D195:D196)</f>
        <v>12</v>
      </c>
      <c r="E197" s="31"/>
      <c r="F197" s="20"/>
      <c r="AH197" s="38">
        <f>D197</f>
        <v>12</v>
      </c>
    </row>
    <row r="198" spans="1:34" ht="16" thickBot="1" x14ac:dyDescent="0.4"/>
    <row r="199" spans="1:34" s="1" customFormat="1" x14ac:dyDescent="0.35">
      <c r="B199" s="1218">
        <f>'[45]UPDATED (2019)'!A305:K305</f>
        <v>0</v>
      </c>
      <c r="C199" s="1218"/>
      <c r="D199" s="1218"/>
      <c r="E199" s="1218"/>
      <c r="F199" s="1218"/>
    </row>
    <row r="200" spans="1:34" s="1" customFormat="1" x14ac:dyDescent="0.35">
      <c r="B200" s="2"/>
      <c r="C200" s="2"/>
      <c r="D200" s="5"/>
      <c r="E200" s="5"/>
      <c r="F200" s="3"/>
    </row>
    <row r="201" spans="1:34" s="1" customFormat="1" ht="21" hidden="1" customHeight="1" x14ac:dyDescent="0.35">
      <c r="B201" s="1301" t="s">
        <v>28</v>
      </c>
      <c r="C201" s="1220" t="str">
        <f>C193</f>
        <v>NAME OF BRIDGE/ LOCATION (KM POST)</v>
      </c>
      <c r="D201" s="1210" t="str">
        <f>D193</f>
        <v>LENGTH                         (m)</v>
      </c>
      <c r="E201" s="6" t="str">
        <f>E193</f>
        <v>DESCRIPTION</v>
      </c>
      <c r="F201" s="1303" t="s">
        <v>29</v>
      </c>
    </row>
    <row r="202" spans="1:34" s="1" customFormat="1" ht="21" hidden="1" customHeight="1" thickBot="1" x14ac:dyDescent="0.4">
      <c r="B202" s="1302"/>
      <c r="C202" s="1221"/>
      <c r="D202" s="1211"/>
      <c r="E202" s="7" t="str">
        <f>E194</f>
        <v>BRIDGE TYPE</v>
      </c>
      <c r="F202" s="1304"/>
    </row>
    <row r="203" spans="1:34" ht="18" customHeight="1" x14ac:dyDescent="0.35">
      <c r="B203" s="27"/>
      <c r="C203" s="28"/>
      <c r="D203" s="10"/>
      <c r="E203" s="10"/>
      <c r="F203" s="12"/>
    </row>
    <row r="204" spans="1:34" s="16" customFormat="1" ht="18" customHeight="1" x14ac:dyDescent="0.35">
      <c r="B204" s="23"/>
      <c r="C204" s="24"/>
      <c r="D204" s="15"/>
      <c r="E204" s="15"/>
      <c r="F204" s="32"/>
    </row>
    <row r="205" spans="1:34" s="16" customFormat="1" x14ac:dyDescent="0.35">
      <c r="B205" s="23"/>
      <c r="C205" s="24"/>
      <c r="D205" s="15"/>
      <c r="E205" s="15"/>
      <c r="F205" s="32"/>
    </row>
    <row r="206" spans="1:34" ht="18" customHeight="1" x14ac:dyDescent="0.35">
      <c r="B206" s="27"/>
      <c r="C206" s="28"/>
      <c r="D206" s="10"/>
      <c r="E206" s="10"/>
      <c r="F206" s="12"/>
    </row>
    <row r="207" spans="1:34" x14ac:dyDescent="0.35">
      <c r="B207" s="27"/>
      <c r="C207" s="28"/>
      <c r="D207" s="10"/>
      <c r="E207" s="10"/>
      <c r="F207" s="12"/>
    </row>
    <row r="208" spans="1:34" ht="18" customHeight="1" thickBot="1" x14ac:dyDescent="0.4">
      <c r="B208" s="33"/>
      <c r="C208" s="34"/>
      <c r="D208" s="31">
        <f>SUM(D203:D207)</f>
        <v>0</v>
      </c>
      <c r="E208" s="31"/>
      <c r="F208" s="20"/>
    </row>
    <row r="209" spans="1:33" ht="18" customHeight="1" thickBot="1" x14ac:dyDescent="0.4"/>
    <row r="210" spans="1:33" s="1" customFormat="1" x14ac:dyDescent="0.35">
      <c r="B210" s="1218">
        <f>'[45]UPDATED (2019)'!A326:K326</f>
        <v>0</v>
      </c>
      <c r="C210" s="1218"/>
      <c r="D210" s="1218"/>
      <c r="E210" s="1218"/>
      <c r="F210" s="1218"/>
    </row>
    <row r="211" spans="1:33" s="1" customFormat="1" x14ac:dyDescent="0.35">
      <c r="B211" s="2"/>
      <c r="C211" s="2"/>
      <c r="D211" s="5"/>
      <c r="E211" s="5"/>
      <c r="F211" s="3"/>
    </row>
    <row r="212" spans="1:33" s="1" customFormat="1" ht="21" hidden="1" customHeight="1" x14ac:dyDescent="0.35">
      <c r="B212" s="1301" t="s">
        <v>28</v>
      </c>
      <c r="C212" s="1220" t="str">
        <f>C201</f>
        <v>NAME OF BRIDGE/ LOCATION (KM POST)</v>
      </c>
      <c r="D212" s="1210" t="str">
        <f>D201</f>
        <v>LENGTH                         (m)</v>
      </c>
      <c r="E212" s="6" t="str">
        <f>E201</f>
        <v>DESCRIPTION</v>
      </c>
      <c r="F212" s="1303" t="s">
        <v>29</v>
      </c>
    </row>
    <row r="213" spans="1:33" s="1" customFormat="1" ht="21" hidden="1" customHeight="1" thickBot="1" x14ac:dyDescent="0.4">
      <c r="B213" s="1302"/>
      <c r="C213" s="1221"/>
      <c r="D213" s="1211"/>
      <c r="E213" s="7" t="str">
        <f>E202</f>
        <v>BRIDGE TYPE</v>
      </c>
      <c r="F213" s="1304"/>
    </row>
    <row r="214" spans="1:33" s="16" customFormat="1" ht="18" customHeight="1" x14ac:dyDescent="0.35">
      <c r="B214" s="23"/>
      <c r="C214" s="24"/>
      <c r="D214" s="15"/>
      <c r="E214" s="15"/>
      <c r="F214" s="32"/>
    </row>
    <row r="215" spans="1:33" s="16" customFormat="1" ht="18" customHeight="1" x14ac:dyDescent="0.35">
      <c r="B215" s="23"/>
      <c r="C215" s="24"/>
      <c r="D215" s="15"/>
      <c r="E215" s="15"/>
      <c r="F215" s="32"/>
    </row>
    <row r="216" spans="1:33" ht="18" hidden="1" customHeight="1" thickBot="1" x14ac:dyDescent="0.4">
      <c r="B216" s="68"/>
      <c r="C216" s="69"/>
      <c r="D216" s="31">
        <f>SUM(D214:D215)</f>
        <v>0</v>
      </c>
      <c r="E216" s="31">
        <f>SUM(E214:E215)</f>
        <v>0</v>
      </c>
      <c r="F216" s="20"/>
    </row>
    <row r="217" spans="1:33" ht="18" customHeight="1" thickBot="1" x14ac:dyDescent="0.4"/>
    <row r="218" spans="1:33" s="1" customFormat="1" x14ac:dyDescent="0.35">
      <c r="B218" s="1217" t="s">
        <v>583</v>
      </c>
      <c r="C218" s="1218"/>
      <c r="D218" s="1218"/>
      <c r="E218" s="1218"/>
      <c r="F218" s="1218"/>
    </row>
    <row r="219" spans="1:33" s="1" customFormat="1" x14ac:dyDescent="0.35">
      <c r="B219" s="2"/>
      <c r="C219" s="2"/>
      <c r="D219" s="5"/>
      <c r="E219" s="5"/>
      <c r="F219" s="3"/>
    </row>
    <row r="220" spans="1:33" s="1" customFormat="1" ht="21" hidden="1" customHeight="1" x14ac:dyDescent="0.35">
      <c r="B220" s="1301" t="s">
        <v>28</v>
      </c>
      <c r="C220" s="1220" t="str">
        <f>C212</f>
        <v>NAME OF BRIDGE/ LOCATION (KM POST)</v>
      </c>
      <c r="D220" s="1210" t="str">
        <f>D212</f>
        <v>LENGTH                         (m)</v>
      </c>
      <c r="E220" s="6" t="str">
        <f>E212</f>
        <v>DESCRIPTION</v>
      </c>
      <c r="F220" s="1303" t="s">
        <v>29</v>
      </c>
    </row>
    <row r="221" spans="1:33" s="1" customFormat="1" ht="21" hidden="1" customHeight="1" thickBot="1" x14ac:dyDescent="0.4">
      <c r="B221" s="1302"/>
      <c r="C221" s="1221"/>
      <c r="D221" s="1211"/>
      <c r="E221" s="7" t="str">
        <f>E213</f>
        <v>BRIDGE TYPE</v>
      </c>
      <c r="F221" s="1304"/>
    </row>
    <row r="222" spans="1:33" s="16" customFormat="1" ht="18" hidden="1" customHeight="1" x14ac:dyDescent="0.35">
      <c r="A222" s="16">
        <v>75</v>
      </c>
      <c r="B222" s="67" t="str">
        <f>'[45]list of bridge'!B417</f>
        <v xml:space="preserve"> San Nicolas - Borac Road</v>
      </c>
      <c r="C222" s="24" t="str">
        <f>'[45]list of bridge'!C417</f>
        <v>Borac Bridge</v>
      </c>
      <c r="D222" s="15">
        <v>12</v>
      </c>
      <c r="E222" s="10" t="s">
        <v>60</v>
      </c>
      <c r="F222" s="32" t="s">
        <v>12</v>
      </c>
      <c r="H222" s="16">
        <v>5</v>
      </c>
      <c r="AG222" s="16">
        <v>70</v>
      </c>
    </row>
    <row r="223" spans="1:33" s="16" customFormat="1" ht="18" customHeight="1" x14ac:dyDescent="0.35">
      <c r="B223" s="23"/>
      <c r="C223" s="24" t="str">
        <f>'[45]list of bridge'!C418</f>
        <v>Km. Sta. 4+200</v>
      </c>
      <c r="D223" s="15"/>
      <c r="E223" s="15"/>
      <c r="F223" s="62"/>
    </row>
    <row r="224" spans="1:33" s="16" customFormat="1" ht="18" hidden="1" customHeight="1" x14ac:dyDescent="0.35">
      <c r="A224" s="16">
        <v>76</v>
      </c>
      <c r="B224" s="23"/>
      <c r="C224" s="24" t="str">
        <f>'[45]list of bridge'!C420</f>
        <v>San Nicolas Bridge</v>
      </c>
      <c r="D224" s="15">
        <v>8</v>
      </c>
      <c r="E224" s="10" t="s">
        <v>60</v>
      </c>
      <c r="F224" s="62" t="s">
        <v>33</v>
      </c>
      <c r="AG224" s="16">
        <v>71</v>
      </c>
    </row>
    <row r="225" spans="1:34" s="16" customFormat="1" ht="18" customHeight="1" x14ac:dyDescent="0.35">
      <c r="B225" s="23"/>
      <c r="C225" s="24" t="str">
        <f>'[45]list of bridge'!C421</f>
        <v>Km. Sta. 18+200</v>
      </c>
      <c r="D225" s="15"/>
      <c r="E225" s="15"/>
      <c r="F225" s="62"/>
    </row>
    <row r="226" spans="1:34" s="16" customFormat="1" ht="18" hidden="1" customHeight="1" x14ac:dyDescent="0.35">
      <c r="A226" s="16">
        <v>77</v>
      </c>
      <c r="B226" s="67" t="str">
        <f>'[45]list of bridge'!B423</f>
        <v xml:space="preserve"> YKR Busuanga Airport Road</v>
      </c>
      <c r="C226" s="24" t="str">
        <f>'[45]list of bridge'!C423</f>
        <v>Guadalupe Bridge 1</v>
      </c>
      <c r="D226" s="15">
        <v>16</v>
      </c>
      <c r="E226" s="10" t="s">
        <v>15</v>
      </c>
      <c r="F226" s="32" t="s">
        <v>12</v>
      </c>
      <c r="AG226" s="16">
        <v>72</v>
      </c>
    </row>
    <row r="227" spans="1:34" ht="18" customHeight="1" x14ac:dyDescent="0.35">
      <c r="B227" s="27"/>
      <c r="C227" s="24" t="str">
        <f>'[45]list of bridge'!C424</f>
        <v>Km. Sta. 1+600</v>
      </c>
      <c r="D227" s="10"/>
      <c r="E227" s="10"/>
      <c r="F227" s="12"/>
    </row>
    <row r="228" spans="1:34" hidden="1" x14ac:dyDescent="0.35">
      <c r="A228" s="3">
        <v>78</v>
      </c>
      <c r="B228" s="27"/>
      <c r="C228" s="24" t="str">
        <f>'[45]list of bridge'!C426</f>
        <v>Guadalupe Bridge 2</v>
      </c>
      <c r="D228" s="10">
        <v>18</v>
      </c>
      <c r="E228" s="10" t="s">
        <v>32</v>
      </c>
      <c r="F228" s="25" t="s">
        <v>12</v>
      </c>
      <c r="AG228" s="3">
        <v>73</v>
      </c>
    </row>
    <row r="229" spans="1:34" ht="18" customHeight="1" x14ac:dyDescent="0.35">
      <c r="B229" s="27"/>
      <c r="C229" s="24" t="str">
        <f>'[45]list of bridge'!C427</f>
        <v>Km. Sta. 10+700</v>
      </c>
      <c r="D229" s="10"/>
      <c r="E229" s="10"/>
      <c r="F229" s="12"/>
    </row>
    <row r="230" spans="1:34" s="16" customFormat="1" ht="18" hidden="1" customHeight="1" x14ac:dyDescent="0.35">
      <c r="A230" s="16">
        <v>79</v>
      </c>
      <c r="B230" s="67" t="str">
        <f>'[45]list of bridge'!B429</f>
        <v xml:space="preserve"> San Nicolas - Decabobo Road</v>
      </c>
      <c r="C230" s="24" t="str">
        <f>'[45]list of bridge'!C429</f>
        <v>San Nicolas Bridge</v>
      </c>
      <c r="D230" s="15">
        <v>25</v>
      </c>
      <c r="E230" s="10" t="s">
        <v>60</v>
      </c>
      <c r="F230" s="62" t="s">
        <v>12</v>
      </c>
      <c r="AG230" s="16">
        <v>74</v>
      </c>
    </row>
    <row r="231" spans="1:34" x14ac:dyDescent="0.35">
      <c r="B231" s="27"/>
      <c r="C231" s="24" t="str">
        <f>'[45]list of bridge'!C430</f>
        <v>Km. Sta. 0+500</v>
      </c>
      <c r="D231" s="10"/>
      <c r="E231" s="10"/>
      <c r="F231" s="12"/>
    </row>
    <row r="232" spans="1:34" ht="18" customHeight="1" thickBot="1" x14ac:dyDescent="0.4">
      <c r="B232" s="33"/>
      <c r="C232" s="34"/>
      <c r="D232" s="31">
        <f>SUM(D222:D231)</f>
        <v>79</v>
      </c>
      <c r="E232" s="31"/>
      <c r="F232" s="20"/>
      <c r="AH232" s="38">
        <f>D232</f>
        <v>79</v>
      </c>
    </row>
    <row r="233" spans="1:34" ht="18" customHeight="1" thickBot="1" x14ac:dyDescent="0.4"/>
    <row r="234" spans="1:34" s="1" customFormat="1" x14ac:dyDescent="0.35">
      <c r="B234" s="1217" t="s">
        <v>596</v>
      </c>
      <c r="C234" s="1218"/>
      <c r="D234" s="1218"/>
      <c r="E234" s="1218"/>
      <c r="F234" s="1218"/>
    </row>
    <row r="235" spans="1:34" s="1" customFormat="1" x14ac:dyDescent="0.35">
      <c r="B235" s="2"/>
      <c r="C235" s="2"/>
      <c r="D235" s="5"/>
      <c r="E235" s="5"/>
      <c r="F235" s="3"/>
    </row>
    <row r="236" spans="1:34" s="1" customFormat="1" ht="21" hidden="1" customHeight="1" x14ac:dyDescent="0.35">
      <c r="B236" s="1301" t="s">
        <v>28</v>
      </c>
      <c r="C236" s="1220" t="str">
        <f>C220</f>
        <v>NAME OF BRIDGE/ LOCATION (KM POST)</v>
      </c>
      <c r="D236" s="1210" t="str">
        <f>D220</f>
        <v>LENGTH                         (m)</v>
      </c>
      <c r="E236" s="6" t="str">
        <f>E220</f>
        <v>DESCRIPTION</v>
      </c>
      <c r="F236" s="1303" t="s">
        <v>29</v>
      </c>
    </row>
    <row r="237" spans="1:34" s="1" customFormat="1" ht="21" hidden="1" customHeight="1" thickBot="1" x14ac:dyDescent="0.4">
      <c r="B237" s="1302"/>
      <c r="C237" s="1221"/>
      <c r="D237" s="1211"/>
      <c r="E237" s="7" t="str">
        <f>E221</f>
        <v>BRIDGE TYPE</v>
      </c>
      <c r="F237" s="1304"/>
    </row>
    <row r="238" spans="1:34" s="16" customFormat="1" ht="27" hidden="1" customHeight="1" x14ac:dyDescent="0.35">
      <c r="A238" s="16">
        <v>80</v>
      </c>
      <c r="B238" s="67" t="str">
        <f>'[45]list of bridge'!B436</f>
        <v xml:space="preserve"> New Busuanga - New Quezon Road</v>
      </c>
      <c r="C238" s="24" t="str">
        <f>'[45]list of bridge'!C436</f>
        <v>New Busuanga Bridge 1</v>
      </c>
      <c r="D238" s="70">
        <v>13</v>
      </c>
      <c r="E238" s="10" t="s">
        <v>15</v>
      </c>
      <c r="F238" s="62" t="s">
        <v>12</v>
      </c>
      <c r="H238" s="16">
        <v>7</v>
      </c>
      <c r="AG238" s="16">
        <v>75</v>
      </c>
    </row>
    <row r="239" spans="1:34" s="16" customFormat="1" ht="18" customHeight="1" x14ac:dyDescent="0.35">
      <c r="B239" s="23"/>
      <c r="C239" s="24" t="str">
        <f>'[45]list of bridge'!C437</f>
        <v>Km. Sta. 3+700</v>
      </c>
      <c r="D239" s="70"/>
      <c r="E239" s="15"/>
      <c r="F239" s="62"/>
    </row>
    <row r="240" spans="1:34" s="16" customFormat="1" ht="18" hidden="1" customHeight="1" x14ac:dyDescent="0.35">
      <c r="A240" s="16">
        <v>81</v>
      </c>
      <c r="B240" s="23"/>
      <c r="C240" s="24" t="str">
        <f>'[45]list of bridge'!C439</f>
        <v>New Busuanga Bridge 2</v>
      </c>
      <c r="D240" s="70">
        <v>15</v>
      </c>
      <c r="E240" s="10" t="s">
        <v>15</v>
      </c>
      <c r="F240" s="62" t="s">
        <v>12</v>
      </c>
      <c r="AG240" s="16">
        <v>76</v>
      </c>
    </row>
    <row r="241" spans="1:35" s="16" customFormat="1" x14ac:dyDescent="0.35">
      <c r="B241" s="23"/>
      <c r="C241" s="24" t="str">
        <f>'[45]list of bridge'!C440</f>
        <v>Km. Sta. 6+600</v>
      </c>
      <c r="D241" s="70"/>
      <c r="E241" s="15"/>
      <c r="F241" s="62"/>
    </row>
    <row r="242" spans="1:35" s="16" customFormat="1" ht="18" hidden="1" customHeight="1" x14ac:dyDescent="0.35">
      <c r="A242" s="16">
        <v>82</v>
      </c>
      <c r="B242" s="67" t="str">
        <f>'[45]list of bridge'!B441</f>
        <v xml:space="preserve"> New Quezon Cheey Road</v>
      </c>
      <c r="C242" s="24" t="str">
        <f>'[45]list of bridge'!C441</f>
        <v>New Quezon Bridge</v>
      </c>
      <c r="D242" s="70">
        <v>30</v>
      </c>
      <c r="E242" s="10" t="s">
        <v>60</v>
      </c>
      <c r="F242" s="62" t="s">
        <v>12</v>
      </c>
      <c r="AG242" s="16">
        <v>77</v>
      </c>
    </row>
    <row r="243" spans="1:35" s="16" customFormat="1" ht="18" hidden="1" customHeight="1" x14ac:dyDescent="0.35">
      <c r="A243" s="16">
        <v>83</v>
      </c>
      <c r="B243" s="67" t="str">
        <f>'[45]list of bridge'!B444</f>
        <v xml:space="preserve"> Cheey San Jose Road</v>
      </c>
      <c r="C243" s="24" t="str">
        <f>'[45]list of bridge'!C444</f>
        <v>Cheey Bridge 1</v>
      </c>
      <c r="D243" s="70">
        <v>30</v>
      </c>
      <c r="E243" s="10" t="s">
        <v>60</v>
      </c>
      <c r="F243" s="62" t="s">
        <v>12</v>
      </c>
      <c r="AG243" s="16">
        <v>78</v>
      </c>
    </row>
    <row r="244" spans="1:35" s="16" customFormat="1" ht="18" customHeight="1" x14ac:dyDescent="0.35">
      <c r="B244" s="23"/>
      <c r="C244" s="24" t="str">
        <f>'[45]list of bridge'!C445</f>
        <v>Km. Sta. 6+800</v>
      </c>
      <c r="D244" s="70"/>
      <c r="E244" s="15"/>
      <c r="F244" s="62"/>
    </row>
    <row r="245" spans="1:35" s="16" customFormat="1" ht="18" hidden="1" customHeight="1" x14ac:dyDescent="0.35">
      <c r="A245" s="16">
        <v>84</v>
      </c>
      <c r="B245" s="23"/>
      <c r="C245" s="24" t="str">
        <f>'[45]list of bridge'!C447</f>
        <v>Cheey Bridge 2</v>
      </c>
      <c r="D245" s="70">
        <v>12</v>
      </c>
      <c r="E245" s="10" t="s">
        <v>60</v>
      </c>
      <c r="F245" s="62" t="s">
        <v>12</v>
      </c>
      <c r="AG245" s="16">
        <v>79</v>
      </c>
    </row>
    <row r="246" spans="1:35" s="16" customFormat="1" ht="18" customHeight="1" x14ac:dyDescent="0.35">
      <c r="B246" s="23"/>
      <c r="C246" s="24" t="str">
        <f>'[45]list of bridge'!C448</f>
        <v>Km. Sta. 7+500</v>
      </c>
      <c r="D246" s="70"/>
      <c r="E246" s="15"/>
      <c r="F246" s="62"/>
    </row>
    <row r="247" spans="1:35" s="16" customFormat="1" ht="18" hidden="1" customHeight="1" x14ac:dyDescent="0.35">
      <c r="A247" s="16">
        <v>85</v>
      </c>
      <c r="B247" s="23"/>
      <c r="C247" s="24" t="str">
        <f>'[45]list of bridge'!C450</f>
        <v>Cheey Bridge 3</v>
      </c>
      <c r="D247" s="70">
        <v>6</v>
      </c>
      <c r="E247" s="10" t="s">
        <v>60</v>
      </c>
      <c r="F247" s="62" t="s">
        <v>12</v>
      </c>
      <c r="AG247" s="16">
        <v>80</v>
      </c>
    </row>
    <row r="248" spans="1:35" s="16" customFormat="1" ht="18" customHeight="1" x14ac:dyDescent="0.35">
      <c r="B248" s="23"/>
      <c r="C248" s="24" t="str">
        <f>'[45]list of bridge'!C451</f>
        <v>Km. Sta. 8+100</v>
      </c>
      <c r="D248" s="70"/>
      <c r="E248" s="15"/>
      <c r="F248" s="62"/>
    </row>
    <row r="249" spans="1:35" s="16" customFormat="1" ht="18" customHeight="1" x14ac:dyDescent="0.35">
      <c r="A249" s="16">
        <v>86</v>
      </c>
      <c r="B249" s="67" t="str">
        <f>'[45]list of bridge'!B453</f>
        <v xml:space="preserve"> Sinabayan - Patache Road</v>
      </c>
      <c r="C249" s="71" t="str">
        <f>'[45]list of bridge'!C453</f>
        <v xml:space="preserve"> Sinabayan Bridge</v>
      </c>
      <c r="D249" s="70">
        <v>1</v>
      </c>
      <c r="E249" s="15"/>
      <c r="F249" s="62" t="s">
        <v>41</v>
      </c>
      <c r="AG249" s="16">
        <v>81</v>
      </c>
      <c r="AI249" s="16" t="s">
        <v>664</v>
      </c>
    </row>
    <row r="250" spans="1:35" ht="18" customHeight="1" thickBot="1" x14ac:dyDescent="0.4">
      <c r="B250" s="33"/>
      <c r="C250" s="34"/>
      <c r="D250" s="72">
        <f>SUM(D238:D249)</f>
        <v>107</v>
      </c>
      <c r="E250" s="31"/>
      <c r="F250" s="20"/>
      <c r="AH250" s="282">
        <f>D250</f>
        <v>107</v>
      </c>
    </row>
    <row r="251" spans="1:35" ht="18" customHeight="1" thickBot="1" x14ac:dyDescent="0.4"/>
    <row r="252" spans="1:35" s="1" customFormat="1" x14ac:dyDescent="0.35">
      <c r="B252" s="1217" t="s">
        <v>605</v>
      </c>
      <c r="C252" s="1218"/>
      <c r="D252" s="1218"/>
      <c r="E252" s="1218"/>
      <c r="F252" s="1218"/>
    </row>
    <row r="253" spans="1:35" s="1" customFormat="1" x14ac:dyDescent="0.35">
      <c r="B253" s="2"/>
      <c r="C253" s="2"/>
      <c r="D253" s="5"/>
      <c r="E253" s="5"/>
      <c r="F253" s="3"/>
    </row>
    <row r="254" spans="1:35" s="1" customFormat="1" ht="21" hidden="1" customHeight="1" x14ac:dyDescent="0.35">
      <c r="B254" s="1301" t="s">
        <v>28</v>
      </c>
      <c r="C254" s="1220" t="str">
        <f>C236</f>
        <v>NAME OF BRIDGE/ LOCATION (KM POST)</v>
      </c>
      <c r="D254" s="1210" t="str">
        <f>D236</f>
        <v>LENGTH                         (m)</v>
      </c>
      <c r="E254" s="6" t="str">
        <f>E236</f>
        <v>DESCRIPTION</v>
      </c>
      <c r="F254" s="1303" t="s">
        <v>29</v>
      </c>
    </row>
    <row r="255" spans="1:35" s="1" customFormat="1" ht="21" hidden="1" customHeight="1" thickBot="1" x14ac:dyDescent="0.4">
      <c r="B255" s="1302"/>
      <c r="C255" s="1221"/>
      <c r="D255" s="1211"/>
      <c r="E255" s="7" t="str">
        <f>E237</f>
        <v>BRIDGE TYPE</v>
      </c>
      <c r="F255" s="1304"/>
    </row>
    <row r="256" spans="1:35" s="16" customFormat="1" hidden="1" x14ac:dyDescent="0.35">
      <c r="A256" s="16">
        <v>87</v>
      </c>
      <c r="B256" s="67" t="str">
        <f>'[45]list of bridge'!B460</f>
        <v xml:space="preserve"> Balala - Malaking Patag Road</v>
      </c>
      <c r="C256" s="24" t="str">
        <f>'[45]list of bridge'!C460</f>
        <v>Malaking Patag Bridge</v>
      </c>
      <c r="D256" s="73">
        <v>30</v>
      </c>
      <c r="E256" s="10" t="s">
        <v>32</v>
      </c>
      <c r="F256" s="62" t="s">
        <v>12</v>
      </c>
      <c r="H256" s="16">
        <v>3</v>
      </c>
      <c r="AG256" s="16">
        <v>82</v>
      </c>
    </row>
    <row r="257" spans="1:37" s="16" customFormat="1" x14ac:dyDescent="0.35">
      <c r="B257" s="23"/>
      <c r="C257" s="24" t="str">
        <f>'[45]list of bridge'!C461</f>
        <v xml:space="preserve"> Km. Sta. 10+300 </v>
      </c>
      <c r="D257" s="73"/>
      <c r="E257" s="15"/>
      <c r="F257" s="62"/>
      <c r="H257" s="16">
        <f>SUM(H87:H256)</f>
        <v>83</v>
      </c>
    </row>
    <row r="258" spans="1:37" s="16" customFormat="1" hidden="1" x14ac:dyDescent="0.35">
      <c r="A258" s="16">
        <v>88</v>
      </c>
      <c r="B258" s="74" t="str">
        <f>'[45]list of bridge'!B463</f>
        <v xml:space="preserve"> Cabulihan Malaking Patag Road</v>
      </c>
      <c r="C258" s="60" t="str">
        <f>'[45]list of bridge'!C463</f>
        <v>Malaking Patag Bridge</v>
      </c>
      <c r="D258" s="75">
        <v>21</v>
      </c>
      <c r="E258" s="10" t="s">
        <v>32</v>
      </c>
      <c r="F258" s="76" t="s">
        <v>12</v>
      </c>
      <c r="AG258" s="16">
        <v>83</v>
      </c>
    </row>
    <row r="259" spans="1:37" s="16" customFormat="1" x14ac:dyDescent="0.35">
      <c r="B259" s="59"/>
      <c r="C259" s="60" t="str">
        <f>'[45]list of bridge'!C464</f>
        <v xml:space="preserve"> Km. Sta. 4+500 </v>
      </c>
      <c r="D259" s="75"/>
      <c r="E259" s="61"/>
      <c r="F259" s="76"/>
    </row>
    <row r="260" spans="1:37" s="16" customFormat="1" ht="33.75" hidden="1" customHeight="1" thickBot="1" x14ac:dyDescent="0.4">
      <c r="A260" s="16">
        <v>89</v>
      </c>
      <c r="B260" s="77" t="str">
        <f>'[45]list of bridge'!B466</f>
        <v xml:space="preserve"> Binudac - Botnogan - Malaking Patag Road</v>
      </c>
      <c r="C260" s="64" t="str">
        <f>'[45]list of bridge'!C466</f>
        <v>Binudac Bridge</v>
      </c>
      <c r="D260" s="78">
        <v>8</v>
      </c>
      <c r="E260" s="10" t="s">
        <v>60</v>
      </c>
      <c r="F260" s="79" t="s">
        <v>12</v>
      </c>
      <c r="AG260" s="16">
        <v>84</v>
      </c>
    </row>
    <row r="261" spans="1:37" s="16" customFormat="1" ht="16" thickBot="1" x14ac:dyDescent="0.4">
      <c r="B261" s="23"/>
      <c r="C261" s="64"/>
      <c r="D261" s="73"/>
      <c r="E261" s="15"/>
      <c r="F261" s="62"/>
      <c r="AK261" s="16" t="s">
        <v>648</v>
      </c>
    </row>
    <row r="262" spans="1:37" ht="18" customHeight="1" thickBot="1" x14ac:dyDescent="0.4">
      <c r="B262" s="33"/>
      <c r="C262" s="34"/>
      <c r="D262" s="31">
        <f>SUM(D256:D261)</f>
        <v>59</v>
      </c>
      <c r="E262" s="31"/>
      <c r="F262" s="20"/>
      <c r="AH262" s="38">
        <f>D262</f>
        <v>59</v>
      </c>
    </row>
    <row r="263" spans="1:37" ht="18" customHeight="1" thickBot="1" x14ac:dyDescent="0.4">
      <c r="B263" s="35"/>
      <c r="C263" s="35"/>
      <c r="D263" s="22"/>
      <c r="E263" s="22"/>
      <c r="F263" s="1"/>
    </row>
    <row r="264" spans="1:37" s="1" customFormat="1" x14ac:dyDescent="0.35">
      <c r="B264" s="1218">
        <f>'[45]UPDATED (2019)'!A382:K382</f>
        <v>0</v>
      </c>
      <c r="C264" s="1218"/>
      <c r="D264" s="1218"/>
      <c r="E264" s="1218"/>
      <c r="F264" s="1218"/>
    </row>
    <row r="265" spans="1:37" s="1" customFormat="1" x14ac:dyDescent="0.35">
      <c r="B265" s="2"/>
      <c r="C265" s="2"/>
      <c r="D265" s="5"/>
      <c r="E265" s="5"/>
      <c r="F265" s="3"/>
    </row>
    <row r="266" spans="1:37" s="1" customFormat="1" ht="21" hidden="1" customHeight="1" x14ac:dyDescent="0.35">
      <c r="B266" s="1301" t="s">
        <v>28</v>
      </c>
      <c r="C266" s="1220" t="str">
        <f>C254</f>
        <v>NAME OF BRIDGE/ LOCATION (KM POST)</v>
      </c>
      <c r="D266" s="1210" t="str">
        <f>D254</f>
        <v>LENGTH                         (m)</v>
      </c>
      <c r="E266" s="6" t="str">
        <f>E254</f>
        <v>DESCRIPTION</v>
      </c>
      <c r="F266" s="1303" t="s">
        <v>29</v>
      </c>
    </row>
    <row r="267" spans="1:37" s="1" customFormat="1" ht="21" hidden="1" customHeight="1" thickBot="1" x14ac:dyDescent="0.4">
      <c r="B267" s="1302"/>
      <c r="C267" s="1221"/>
      <c r="D267" s="1211"/>
      <c r="E267" s="7" t="str">
        <f>E255</f>
        <v>BRIDGE TYPE</v>
      </c>
      <c r="F267" s="1304"/>
    </row>
    <row r="268" spans="1:37" ht="18" customHeight="1" x14ac:dyDescent="0.35">
      <c r="B268" s="27"/>
      <c r="C268" s="28"/>
      <c r="D268" s="10"/>
      <c r="E268" s="10"/>
      <c r="F268" s="52"/>
    </row>
    <row r="269" spans="1:37" ht="18" customHeight="1" x14ac:dyDescent="0.35">
      <c r="B269" s="80"/>
      <c r="C269" s="81"/>
      <c r="D269" s="82"/>
      <c r="E269" s="82"/>
      <c r="F269" s="52"/>
    </row>
    <row r="270" spans="1:37" ht="18" customHeight="1" thickBot="1" x14ac:dyDescent="0.4">
      <c r="B270" s="83"/>
      <c r="C270" s="84"/>
      <c r="D270" s="11"/>
      <c r="E270" s="11"/>
      <c r="F270" s="52"/>
    </row>
    <row r="271" spans="1:37" ht="17.25" hidden="1" customHeight="1" thickBot="1" x14ac:dyDescent="0.4">
      <c r="B271" s="85"/>
      <c r="C271" s="86"/>
      <c r="D271" s="87">
        <v>0</v>
      </c>
      <c r="E271" s="87">
        <f>E270</f>
        <v>0</v>
      </c>
      <c r="F271" s="88"/>
    </row>
    <row r="272" spans="1:37" ht="18" customHeight="1" thickBot="1" x14ac:dyDescent="0.4">
      <c r="B272" s="55" t="s">
        <v>142</v>
      </c>
      <c r="C272" s="56" t="s">
        <v>669</v>
      </c>
      <c r="D272" s="57">
        <f>D109+D124+D142+D152+D173+D189+D197+D232+D250+D262</f>
        <v>1498.7800000000002</v>
      </c>
      <c r="E272" s="57"/>
      <c r="F272" s="58"/>
    </row>
    <row r="273" spans="2:13" ht="18" customHeight="1" thickBot="1" x14ac:dyDescent="0.4">
      <c r="B273" s="89" t="s">
        <v>143</v>
      </c>
      <c r="C273" s="90">
        <f>C272+C81</f>
        <v>112</v>
      </c>
      <c r="D273" s="57">
        <f>D272+D81</f>
        <v>2331.48</v>
      </c>
      <c r="E273" s="91"/>
      <c r="F273" s="92"/>
    </row>
    <row r="274" spans="2:13" ht="18" customHeight="1" x14ac:dyDescent="0.35">
      <c r="D274" s="38"/>
    </row>
    <row r="275" spans="2:13" ht="18" customHeight="1" x14ac:dyDescent="0.3">
      <c r="B275" s="93" t="s">
        <v>144</v>
      </c>
      <c r="C275" s="94"/>
      <c r="D275" s="1307" t="s">
        <v>145</v>
      </c>
      <c r="E275" s="1307"/>
      <c r="F275" s="1307"/>
      <c r="G275" s="94"/>
      <c r="I275" s="93"/>
      <c r="J275" s="94"/>
      <c r="K275" s="94"/>
      <c r="L275" s="94"/>
      <c r="M275" s="94"/>
    </row>
    <row r="276" spans="2:13" ht="18" customHeight="1" x14ac:dyDescent="0.3"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</row>
    <row r="277" spans="2:13" ht="18" customHeight="1" x14ac:dyDescent="0.3">
      <c r="B277" s="1306" t="s">
        <v>146</v>
      </c>
      <c r="C277" s="1306"/>
      <c r="D277" s="1306" t="s">
        <v>147</v>
      </c>
      <c r="E277" s="1306"/>
      <c r="F277" s="1306"/>
      <c r="G277" s="94"/>
      <c r="H277" s="94"/>
      <c r="I277" s="94"/>
      <c r="K277" s="94"/>
      <c r="L277" s="94"/>
      <c r="M277" s="94"/>
    </row>
    <row r="278" spans="2:13" ht="18" customHeight="1" x14ac:dyDescent="0.3">
      <c r="B278" s="1305" t="s">
        <v>148</v>
      </c>
      <c r="C278" s="1305"/>
      <c r="D278" s="1305" t="s">
        <v>149</v>
      </c>
      <c r="E278" s="1305"/>
      <c r="F278" s="1305"/>
      <c r="G278" s="94"/>
      <c r="H278" s="94"/>
      <c r="J278" s="94"/>
      <c r="K278" s="94"/>
      <c r="L278" s="94"/>
      <c r="M278" s="94"/>
    </row>
    <row r="279" spans="2:13" ht="18" customHeight="1" x14ac:dyDescent="0.3"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</row>
    <row r="280" spans="2:13" s="95" customFormat="1" ht="18" customHeight="1" x14ac:dyDescent="0.3">
      <c r="B280" s="1306" t="s">
        <v>150</v>
      </c>
      <c r="C280" s="1306"/>
      <c r="D280" s="94"/>
      <c r="E280" s="94"/>
      <c r="F280" s="94"/>
      <c r="G280" s="94"/>
      <c r="H280" s="94"/>
      <c r="I280" s="94"/>
      <c r="J280" s="94"/>
      <c r="K280" s="94"/>
      <c r="L280" s="94"/>
      <c r="M280" s="94"/>
    </row>
    <row r="281" spans="2:13" s="95" customFormat="1" ht="18" customHeight="1" x14ac:dyDescent="0.3">
      <c r="B281" s="1305" t="s">
        <v>148</v>
      </c>
      <c r="C281" s="1305"/>
      <c r="E281" s="94"/>
      <c r="F281" s="94"/>
      <c r="G281" s="94"/>
      <c r="H281" s="94"/>
      <c r="I281" s="94"/>
      <c r="J281" s="94"/>
      <c r="K281" s="94"/>
      <c r="L281" s="94"/>
      <c r="M281" s="94"/>
    </row>
    <row r="282" spans="2:13" s="95" customFormat="1" ht="18" customHeight="1" x14ac:dyDescent="0.3"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</row>
    <row r="283" spans="2:13" s="95" customFormat="1" ht="18" customHeight="1" x14ac:dyDescent="0.3">
      <c r="B283" s="93" t="s">
        <v>151</v>
      </c>
      <c r="C283" s="94"/>
      <c r="D283" s="93" t="s">
        <v>152</v>
      </c>
      <c r="E283" s="94"/>
      <c r="F283" s="94"/>
      <c r="G283" s="94"/>
      <c r="I283" s="94"/>
      <c r="J283" s="94"/>
      <c r="K283" s="94"/>
      <c r="L283" s="94"/>
      <c r="M283" s="94"/>
    </row>
    <row r="284" spans="2:13" s="95" customFormat="1" ht="18" customHeight="1" x14ac:dyDescent="0.3"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</row>
    <row r="285" spans="2:13" s="95" customFormat="1" ht="18" hidden="1" customHeight="1" x14ac:dyDescent="0.3">
      <c r="B285" s="1306" t="s">
        <v>153</v>
      </c>
      <c r="C285" s="1306"/>
      <c r="D285" s="94"/>
      <c r="E285" s="93" t="s">
        <v>154</v>
      </c>
      <c r="F285" s="94"/>
      <c r="G285" s="94"/>
      <c r="H285" s="94"/>
      <c r="I285" s="94"/>
      <c r="K285" s="93"/>
      <c r="L285" s="93"/>
      <c r="M285" s="93"/>
    </row>
    <row r="286" spans="2:13" s="95" customFormat="1" ht="18" customHeight="1" x14ac:dyDescent="0.3">
      <c r="B286" s="1305" t="s">
        <v>149</v>
      </c>
      <c r="C286" s="1305"/>
      <c r="D286" s="1305" t="s">
        <v>155</v>
      </c>
      <c r="E286" s="1305"/>
      <c r="F286" s="1305"/>
      <c r="G286" s="94"/>
      <c r="H286" s="94"/>
    </row>
    <row r="287" spans="2:13" s="95" customFormat="1" ht="18" customHeight="1" x14ac:dyDescent="0.3">
      <c r="B287" s="94"/>
      <c r="C287" s="94"/>
      <c r="D287" s="1305" t="s">
        <v>156</v>
      </c>
      <c r="E287" s="1305"/>
      <c r="F287" s="1305"/>
      <c r="G287" s="94"/>
      <c r="H287" s="94"/>
    </row>
    <row r="288" spans="2:13" s="95" customFormat="1" ht="18" customHeight="1" x14ac:dyDescent="0.35">
      <c r="B288" s="2"/>
      <c r="C288" s="2"/>
      <c r="D288" s="3"/>
      <c r="E288" s="3"/>
      <c r="F288" s="3"/>
    </row>
    <row r="289" spans="2:35" s="95" customFormat="1" ht="18" customHeight="1" x14ac:dyDescent="0.35">
      <c r="B289" s="2"/>
      <c r="C289" s="2"/>
      <c r="D289" s="3"/>
      <c r="E289" s="3"/>
      <c r="F289" s="3"/>
      <c r="AI289" s="285" t="s">
        <v>668</v>
      </c>
    </row>
    <row r="290" spans="2:35" s="95" customFormat="1" ht="18" customHeight="1" x14ac:dyDescent="0.35">
      <c r="B290" s="2"/>
      <c r="C290" s="2"/>
      <c r="D290" s="3"/>
      <c r="E290" s="3"/>
      <c r="F290" s="3" t="s">
        <v>665</v>
      </c>
      <c r="AH290" s="284">
        <f>SUM(AH1:AH289)</f>
        <v>2331.48</v>
      </c>
      <c r="AI290" s="283">
        <f>AI291+AI292</f>
        <v>112</v>
      </c>
    </row>
    <row r="291" spans="2:35" s="95" customFormat="1" ht="18" customHeight="1" x14ac:dyDescent="0.35">
      <c r="B291" s="2"/>
      <c r="C291" s="2"/>
      <c r="D291" s="3"/>
      <c r="E291" s="3"/>
      <c r="F291" s="3" t="s">
        <v>666</v>
      </c>
      <c r="AH291" s="283">
        <f>AH18+AH27+AH34+AH55+AH65+AH72+AH80</f>
        <v>832.69999999999993</v>
      </c>
      <c r="AI291" s="283">
        <v>28</v>
      </c>
    </row>
    <row r="292" spans="2:35" s="95" customFormat="1" ht="18" customHeight="1" x14ac:dyDescent="0.35">
      <c r="B292" s="2"/>
      <c r="C292" s="2"/>
      <c r="D292" s="3"/>
      <c r="E292" s="3"/>
      <c r="F292" s="3" t="s">
        <v>667</v>
      </c>
      <c r="AH292" s="283">
        <f>AH262+AH250+AH232+AH197+AH189+AH173+AH152+AH142+AH124+AH109</f>
        <v>1498.7799999999997</v>
      </c>
      <c r="AI292" s="283">
        <v>84</v>
      </c>
    </row>
    <row r="293" spans="2:35" s="95" customFormat="1" ht="18" customHeight="1" x14ac:dyDescent="0.35">
      <c r="B293" s="2"/>
      <c r="C293" s="2"/>
      <c r="D293" s="3"/>
      <c r="E293" s="3"/>
      <c r="F293" s="3"/>
      <c r="AH293" s="283">
        <f>AH291+AH292</f>
        <v>2331.4799999999996</v>
      </c>
    </row>
    <row r="294" spans="2:35" s="95" customFormat="1" ht="18" customHeight="1" x14ac:dyDescent="0.35">
      <c r="B294" s="2"/>
      <c r="C294" s="2"/>
      <c r="D294" s="3"/>
      <c r="E294" s="3"/>
      <c r="F294" s="3"/>
    </row>
    <row r="295" spans="2:35" s="95" customFormat="1" ht="18" customHeight="1" x14ac:dyDescent="0.35">
      <c r="B295" s="2"/>
      <c r="C295" s="2"/>
      <c r="D295" s="3"/>
      <c r="E295" s="3"/>
      <c r="F295" s="3"/>
    </row>
    <row r="296" spans="2:35" s="95" customFormat="1" ht="18" customHeight="1" x14ac:dyDescent="0.35">
      <c r="B296" s="2"/>
      <c r="C296" s="2"/>
      <c r="D296" s="3"/>
      <c r="E296" s="3"/>
      <c r="F296" s="3"/>
    </row>
    <row r="297" spans="2:35" s="95" customFormat="1" ht="18" customHeight="1" x14ac:dyDescent="0.35">
      <c r="B297" s="2"/>
      <c r="C297" s="2"/>
      <c r="D297" s="3"/>
      <c r="E297" s="3"/>
      <c r="F297" s="3"/>
    </row>
    <row r="298" spans="2:35" s="95" customFormat="1" ht="18" customHeight="1" x14ac:dyDescent="0.35">
      <c r="B298" s="2"/>
      <c r="C298" s="2"/>
      <c r="D298" s="3"/>
      <c r="E298" s="3"/>
      <c r="F298" s="3"/>
    </row>
    <row r="299" spans="2:35" s="95" customFormat="1" ht="18" customHeight="1" x14ac:dyDescent="0.35">
      <c r="B299" s="2"/>
      <c r="C299" s="2"/>
      <c r="D299" s="3"/>
      <c r="E299" s="3"/>
      <c r="F299" s="3"/>
    </row>
    <row r="300" spans="2:35" s="95" customFormat="1" ht="18" customHeight="1" x14ac:dyDescent="0.35">
      <c r="B300" s="2"/>
      <c r="C300" s="2"/>
      <c r="D300" s="3"/>
      <c r="E300" s="3"/>
      <c r="F300" s="3"/>
    </row>
    <row r="301" spans="2:35" s="95" customFormat="1" ht="18" customHeight="1" x14ac:dyDescent="0.35">
      <c r="B301" s="2"/>
      <c r="C301" s="2"/>
      <c r="D301" s="3"/>
      <c r="E301" s="3"/>
      <c r="F301" s="3"/>
    </row>
    <row r="302" spans="2:35" s="95" customFormat="1" ht="18" customHeight="1" x14ac:dyDescent="0.35">
      <c r="B302" s="2"/>
      <c r="C302" s="2"/>
      <c r="D302" s="3"/>
      <c r="E302" s="3"/>
      <c r="F302" s="3"/>
    </row>
    <row r="303" spans="2:35" s="95" customFormat="1" ht="18" customHeight="1" x14ac:dyDescent="0.35">
      <c r="B303" s="2"/>
      <c r="C303" s="2"/>
      <c r="D303" s="3"/>
      <c r="E303" s="3"/>
      <c r="F303" s="3"/>
    </row>
    <row r="304" spans="2:35" s="95" customFormat="1" ht="18" customHeight="1" x14ac:dyDescent="0.35">
      <c r="B304" s="2"/>
      <c r="C304" s="2"/>
      <c r="D304" s="3"/>
      <c r="E304" s="3"/>
      <c r="F304" s="3"/>
    </row>
    <row r="305" spans="2:6" s="95" customFormat="1" ht="18" customHeight="1" x14ac:dyDescent="0.35">
      <c r="B305" s="2"/>
      <c r="C305" s="2"/>
      <c r="D305" s="3"/>
      <c r="E305" s="3"/>
      <c r="F305" s="3"/>
    </row>
    <row r="306" spans="2:6" s="95" customFormat="1" ht="18" customHeight="1" x14ac:dyDescent="0.35">
      <c r="B306" s="2"/>
      <c r="C306" s="2"/>
      <c r="D306" s="3"/>
      <c r="E306" s="3"/>
      <c r="F306" s="3"/>
    </row>
    <row r="307" spans="2:6" s="95" customFormat="1" ht="18" customHeight="1" x14ac:dyDescent="0.35">
      <c r="B307" s="2"/>
      <c r="C307" s="2"/>
      <c r="D307" s="3"/>
      <c r="E307" s="3"/>
      <c r="F307" s="3"/>
    </row>
    <row r="308" spans="2:6" s="95" customFormat="1" ht="18" customHeight="1" x14ac:dyDescent="0.35">
      <c r="B308" s="2"/>
      <c r="C308" s="2"/>
      <c r="D308" s="3"/>
      <c r="E308" s="3"/>
      <c r="F308" s="3"/>
    </row>
    <row r="309" spans="2:6" s="95" customFormat="1" ht="18" customHeight="1" x14ac:dyDescent="0.35">
      <c r="B309" s="2"/>
      <c r="C309" s="2"/>
      <c r="D309" s="3"/>
      <c r="E309" s="3"/>
      <c r="F309" s="3"/>
    </row>
    <row r="310" spans="2:6" s="95" customFormat="1" ht="18" customHeight="1" x14ac:dyDescent="0.35">
      <c r="B310" s="2"/>
      <c r="C310" s="2"/>
      <c r="D310" s="3"/>
      <c r="E310" s="3"/>
      <c r="F310" s="3"/>
    </row>
    <row r="311" spans="2:6" s="95" customFormat="1" ht="18" customHeight="1" x14ac:dyDescent="0.35">
      <c r="B311" s="2"/>
      <c r="C311" s="2"/>
      <c r="D311" s="3"/>
      <c r="E311" s="3"/>
      <c r="F311" s="3"/>
    </row>
    <row r="312" spans="2:6" s="95" customFormat="1" ht="18" customHeight="1" x14ac:dyDescent="0.35">
      <c r="B312" s="2"/>
      <c r="C312" s="2"/>
      <c r="D312" s="3"/>
      <c r="E312" s="3"/>
      <c r="F312" s="3"/>
    </row>
    <row r="313" spans="2:6" s="95" customFormat="1" ht="18" customHeight="1" x14ac:dyDescent="0.35">
      <c r="B313" s="2"/>
      <c r="C313" s="2"/>
      <c r="D313" s="3"/>
      <c r="E313" s="3"/>
      <c r="F313" s="3"/>
    </row>
    <row r="314" spans="2:6" s="95" customFormat="1" ht="18" customHeight="1" x14ac:dyDescent="0.35">
      <c r="B314" s="2"/>
      <c r="C314" s="2"/>
      <c r="D314" s="3"/>
      <c r="E314" s="3"/>
      <c r="F314" s="3"/>
    </row>
    <row r="315" spans="2:6" s="95" customFormat="1" ht="18" customHeight="1" x14ac:dyDescent="0.35">
      <c r="B315" s="2"/>
      <c r="C315" s="2"/>
      <c r="D315" s="3"/>
      <c r="E315" s="3"/>
      <c r="F315" s="3"/>
    </row>
    <row r="316" spans="2:6" s="95" customFormat="1" ht="18" customHeight="1" x14ac:dyDescent="0.35">
      <c r="B316" s="2"/>
      <c r="C316" s="2"/>
      <c r="D316" s="3"/>
      <c r="E316" s="3"/>
      <c r="F316" s="3"/>
    </row>
    <row r="317" spans="2:6" s="95" customFormat="1" ht="18" customHeight="1" x14ac:dyDescent="0.35">
      <c r="B317" s="2"/>
      <c r="C317" s="2"/>
      <c r="D317" s="3"/>
      <c r="E317" s="3"/>
      <c r="F317" s="3"/>
    </row>
    <row r="318" spans="2:6" s="95" customFormat="1" ht="18" customHeight="1" x14ac:dyDescent="0.35">
      <c r="B318" s="2"/>
      <c r="C318" s="2"/>
      <c r="D318" s="3"/>
      <c r="E318" s="3"/>
      <c r="F318" s="3"/>
    </row>
    <row r="319" spans="2:6" s="95" customFormat="1" ht="18" customHeight="1" x14ac:dyDescent="0.35">
      <c r="B319" s="2"/>
      <c r="C319" s="2"/>
      <c r="D319" s="3"/>
      <c r="E319" s="3"/>
      <c r="F319" s="3"/>
    </row>
    <row r="320" spans="2:6" s="95" customFormat="1" ht="18" customHeight="1" x14ac:dyDescent="0.35">
      <c r="B320" s="2"/>
      <c r="C320" s="2"/>
      <c r="D320" s="3"/>
      <c r="E320" s="3"/>
      <c r="F320" s="3"/>
    </row>
    <row r="321" spans="2:6" s="95" customFormat="1" ht="18" customHeight="1" x14ac:dyDescent="0.35">
      <c r="B321" s="2"/>
      <c r="C321" s="2"/>
      <c r="D321" s="3"/>
      <c r="E321" s="3"/>
      <c r="F321" s="3"/>
    </row>
    <row r="322" spans="2:6" s="95" customFormat="1" ht="18" customHeight="1" x14ac:dyDescent="0.35">
      <c r="B322" s="2"/>
      <c r="C322" s="2"/>
      <c r="D322" s="3"/>
      <c r="E322" s="3"/>
      <c r="F322" s="3"/>
    </row>
    <row r="323" spans="2:6" s="95" customFormat="1" ht="18" customHeight="1" x14ac:dyDescent="0.35">
      <c r="B323" s="2"/>
      <c r="C323" s="2"/>
      <c r="D323" s="3"/>
      <c r="E323" s="3"/>
      <c r="F323" s="3"/>
    </row>
    <row r="324" spans="2:6" s="95" customFormat="1" ht="18" customHeight="1" x14ac:dyDescent="0.35">
      <c r="B324" s="2"/>
      <c r="C324" s="2"/>
      <c r="D324" s="3"/>
      <c r="E324" s="3"/>
      <c r="F324" s="3"/>
    </row>
    <row r="325" spans="2:6" s="95" customFormat="1" ht="18" customHeight="1" x14ac:dyDescent="0.35">
      <c r="B325" s="2"/>
      <c r="C325" s="2"/>
      <c r="D325" s="3"/>
      <c r="E325" s="3"/>
      <c r="F325" s="3"/>
    </row>
    <row r="326" spans="2:6" s="95" customFormat="1" ht="18" customHeight="1" x14ac:dyDescent="0.35">
      <c r="B326" s="2"/>
      <c r="C326" s="2"/>
      <c r="D326" s="3"/>
      <c r="E326" s="3"/>
      <c r="F326" s="3"/>
    </row>
    <row r="327" spans="2:6" s="95" customFormat="1" ht="18" customHeight="1" x14ac:dyDescent="0.35">
      <c r="B327" s="2"/>
      <c r="C327" s="2"/>
      <c r="D327" s="3"/>
      <c r="E327" s="3"/>
      <c r="F327" s="3"/>
    </row>
    <row r="328" spans="2:6" s="95" customFormat="1" ht="18" customHeight="1" x14ac:dyDescent="0.35">
      <c r="B328" s="2"/>
      <c r="C328" s="2"/>
      <c r="D328" s="3"/>
      <c r="E328" s="3"/>
      <c r="F328" s="3"/>
    </row>
    <row r="329" spans="2:6" s="95" customFormat="1" ht="18" customHeight="1" x14ac:dyDescent="0.35">
      <c r="B329" s="2"/>
      <c r="C329" s="2"/>
      <c r="D329" s="3"/>
      <c r="E329" s="3"/>
      <c r="F329" s="3"/>
    </row>
    <row r="330" spans="2:6" s="95" customFormat="1" ht="18" customHeight="1" x14ac:dyDescent="0.35">
      <c r="B330" s="2"/>
      <c r="C330" s="2"/>
      <c r="D330" s="3"/>
      <c r="E330" s="3"/>
      <c r="F330" s="3"/>
    </row>
    <row r="331" spans="2:6" s="95" customFormat="1" ht="18" customHeight="1" x14ac:dyDescent="0.35">
      <c r="B331" s="2"/>
      <c r="C331" s="2"/>
      <c r="D331" s="3"/>
      <c r="E331" s="3"/>
      <c r="F331" s="3"/>
    </row>
    <row r="332" spans="2:6" s="95" customFormat="1" ht="18" customHeight="1" x14ac:dyDescent="0.35">
      <c r="B332" s="2"/>
      <c r="C332" s="2"/>
      <c r="D332" s="3"/>
      <c r="E332" s="3"/>
      <c r="F332" s="3"/>
    </row>
    <row r="333" spans="2:6" s="95" customFormat="1" ht="18" customHeight="1" x14ac:dyDescent="0.35">
      <c r="B333" s="2"/>
      <c r="C333" s="2"/>
      <c r="D333" s="3"/>
      <c r="E333" s="3"/>
      <c r="F333" s="3"/>
    </row>
    <row r="334" spans="2:6" s="95" customFormat="1" ht="18" customHeight="1" x14ac:dyDescent="0.35">
      <c r="B334" s="2"/>
      <c r="C334" s="2"/>
      <c r="D334" s="3"/>
      <c r="E334" s="3"/>
      <c r="F334" s="3"/>
    </row>
    <row r="335" spans="2:6" s="95" customFormat="1" ht="18" customHeight="1" x14ac:dyDescent="0.35">
      <c r="B335" s="2"/>
      <c r="C335" s="2"/>
      <c r="D335" s="3"/>
      <c r="E335" s="3"/>
      <c r="F335" s="3"/>
    </row>
    <row r="336" spans="2:6" s="95" customFormat="1" ht="18" customHeight="1" x14ac:dyDescent="0.35">
      <c r="B336" s="2"/>
      <c r="C336" s="2"/>
      <c r="D336" s="3"/>
      <c r="E336" s="3"/>
      <c r="F336" s="3"/>
    </row>
    <row r="337" spans="2:6" s="95" customFormat="1" ht="18" customHeight="1" x14ac:dyDescent="0.35">
      <c r="B337" s="2"/>
      <c r="C337" s="2"/>
      <c r="D337" s="3"/>
      <c r="E337" s="3"/>
      <c r="F337" s="3"/>
    </row>
    <row r="338" spans="2:6" s="95" customFormat="1" ht="18" customHeight="1" x14ac:dyDescent="0.35">
      <c r="B338" s="2"/>
      <c r="C338" s="2"/>
      <c r="D338" s="3"/>
      <c r="E338" s="3"/>
      <c r="F338" s="3"/>
    </row>
    <row r="339" spans="2:6" s="95" customFormat="1" ht="18" customHeight="1" x14ac:dyDescent="0.35">
      <c r="B339" s="2"/>
      <c r="C339" s="2"/>
      <c r="D339" s="3"/>
      <c r="E339" s="3"/>
      <c r="F339" s="3"/>
    </row>
    <row r="340" spans="2:6" s="95" customFormat="1" ht="18" customHeight="1" x14ac:dyDescent="0.35">
      <c r="B340" s="2"/>
      <c r="C340" s="2"/>
      <c r="D340" s="3"/>
      <c r="E340" s="3"/>
      <c r="F340" s="3"/>
    </row>
    <row r="341" spans="2:6" s="95" customFormat="1" ht="18" customHeight="1" x14ac:dyDescent="0.35">
      <c r="B341" s="2"/>
      <c r="C341" s="2"/>
      <c r="D341" s="3"/>
      <c r="E341" s="3"/>
      <c r="F341" s="3"/>
    </row>
    <row r="342" spans="2:6" s="95" customFormat="1" ht="18" customHeight="1" x14ac:dyDescent="0.35">
      <c r="B342" s="2"/>
      <c r="C342" s="2"/>
      <c r="D342" s="3"/>
      <c r="E342" s="3"/>
      <c r="F342" s="3"/>
    </row>
    <row r="343" spans="2:6" s="95" customFormat="1" ht="18" customHeight="1" x14ac:dyDescent="0.35">
      <c r="B343" s="2"/>
      <c r="C343" s="2"/>
      <c r="D343" s="3"/>
      <c r="E343" s="3"/>
      <c r="F343" s="3"/>
    </row>
    <row r="344" spans="2:6" ht="18" customHeight="1" x14ac:dyDescent="0.35"/>
    <row r="345" spans="2:6" ht="18" customHeight="1" x14ac:dyDescent="0.35"/>
    <row r="346" spans="2:6" ht="18" customHeight="1" x14ac:dyDescent="0.35"/>
    <row r="347" spans="2:6" ht="18" customHeight="1" x14ac:dyDescent="0.35"/>
    <row r="348" spans="2:6" ht="18" customHeight="1" x14ac:dyDescent="0.35"/>
    <row r="349" spans="2:6" ht="18" customHeight="1" x14ac:dyDescent="0.35"/>
    <row r="350" spans="2:6" ht="18" customHeight="1" x14ac:dyDescent="0.35">
      <c r="B350" s="37"/>
      <c r="C350" s="37"/>
      <c r="D350" s="38"/>
      <c r="E350" s="38"/>
    </row>
    <row r="351" spans="2:6" ht="18" customHeight="1" x14ac:dyDescent="0.35">
      <c r="B351" s="35"/>
      <c r="C351" s="35"/>
      <c r="D351" s="22"/>
      <c r="E351" s="22"/>
      <c r="F351" s="1"/>
    </row>
    <row r="352" spans="2:6" ht="18" customHeight="1" x14ac:dyDescent="0.35">
      <c r="B352" s="21" t="s">
        <v>157</v>
      </c>
      <c r="C352" s="21"/>
      <c r="D352" s="22"/>
      <c r="E352" s="22"/>
      <c r="F352" s="1"/>
    </row>
    <row r="353" spans="2:6" ht="18" customHeight="1" x14ac:dyDescent="0.35">
      <c r="B353" s="2" t="s">
        <v>158</v>
      </c>
      <c r="D353" s="22"/>
      <c r="E353" s="22"/>
      <c r="F353" s="1"/>
    </row>
    <row r="354" spans="2:6" ht="18" customHeight="1" x14ac:dyDescent="0.35">
      <c r="B354" s="35"/>
      <c r="C354" s="35"/>
      <c r="D354" s="22"/>
      <c r="E354" s="22"/>
      <c r="F354" s="1"/>
    </row>
    <row r="355" spans="2:6" ht="18" customHeight="1" x14ac:dyDescent="0.35">
      <c r="B355" s="35"/>
      <c r="C355" s="35"/>
      <c r="D355" s="22"/>
      <c r="E355" s="22"/>
      <c r="F355" s="1"/>
    </row>
    <row r="358" spans="2:6" x14ac:dyDescent="0.35">
      <c r="B358" s="2" t="s">
        <v>159</v>
      </c>
    </row>
    <row r="359" spans="2:6" ht="31" x14ac:dyDescent="0.35">
      <c r="B359" s="2" t="s">
        <v>160</v>
      </c>
    </row>
    <row r="360" spans="2:6" x14ac:dyDescent="0.35">
      <c r="B360" s="2" t="s">
        <v>161</v>
      </c>
    </row>
    <row r="361" spans="2:6" x14ac:dyDescent="0.35">
      <c r="B361" s="2" t="s">
        <v>162</v>
      </c>
    </row>
    <row r="366" spans="2:6" x14ac:dyDescent="0.35">
      <c r="B366" s="21"/>
      <c r="C366" s="21"/>
    </row>
    <row r="367" spans="2:6" ht="46.5" x14ac:dyDescent="0.35">
      <c r="B367" s="2" t="s">
        <v>163</v>
      </c>
    </row>
    <row r="368" spans="2:6" ht="46.5" x14ac:dyDescent="0.35">
      <c r="B368" s="2" t="s">
        <v>164</v>
      </c>
    </row>
    <row r="369" spans="2:3" ht="31" x14ac:dyDescent="0.35">
      <c r="B369" s="2" t="s">
        <v>165</v>
      </c>
    </row>
    <row r="370" spans="2:3" ht="46.5" x14ac:dyDescent="0.35">
      <c r="B370" s="2" t="s">
        <v>166</v>
      </c>
    </row>
    <row r="372" spans="2:3" x14ac:dyDescent="0.35">
      <c r="B372" s="21"/>
      <c r="C372" s="21"/>
    </row>
    <row r="373" spans="2:3" ht="46.5" x14ac:dyDescent="0.35">
      <c r="B373" s="2" t="s">
        <v>167</v>
      </c>
    </row>
    <row r="374" spans="2:3" ht="31" x14ac:dyDescent="0.35">
      <c r="B374" s="2" t="s">
        <v>168</v>
      </c>
    </row>
    <row r="375" spans="2:3" ht="31" x14ac:dyDescent="0.35">
      <c r="B375" s="2" t="s">
        <v>169</v>
      </c>
    </row>
    <row r="376" spans="2:3" x14ac:dyDescent="0.35">
      <c r="B376" s="2" t="s">
        <v>170</v>
      </c>
    </row>
    <row r="378" spans="2:3" x14ac:dyDescent="0.35">
      <c r="B378" s="21"/>
      <c r="C378" s="21"/>
    </row>
    <row r="379" spans="2:3" x14ac:dyDescent="0.35">
      <c r="B379" s="2" t="s">
        <v>171</v>
      </c>
    </row>
    <row r="380" spans="2:3" x14ac:dyDescent="0.35">
      <c r="B380" s="2" t="s">
        <v>172</v>
      </c>
    </row>
    <row r="381" spans="2:3" x14ac:dyDescent="0.35">
      <c r="B381" s="2" t="s">
        <v>173</v>
      </c>
    </row>
    <row r="382" spans="2:3" x14ac:dyDescent="0.35">
      <c r="B382" s="2" t="s">
        <v>174</v>
      </c>
    </row>
    <row r="384" spans="2:3" x14ac:dyDescent="0.35">
      <c r="B384" s="21"/>
      <c r="C384" s="21"/>
    </row>
    <row r="385" spans="2:6" x14ac:dyDescent="0.35">
      <c r="B385" s="2" t="s">
        <v>175</v>
      </c>
    </row>
    <row r="386" spans="2:6" x14ac:dyDescent="0.35">
      <c r="B386" s="2" t="s">
        <v>176</v>
      </c>
    </row>
    <row r="387" spans="2:6" ht="31" x14ac:dyDescent="0.35">
      <c r="B387" s="2" t="s">
        <v>177</v>
      </c>
    </row>
    <row r="388" spans="2:6" ht="31" x14ac:dyDescent="0.35">
      <c r="B388" s="2" t="s">
        <v>178</v>
      </c>
    </row>
    <row r="389" spans="2:6" x14ac:dyDescent="0.35">
      <c r="D389" s="96"/>
    </row>
    <row r="396" spans="2:6" s="1" customFormat="1" ht="18" customHeight="1" x14ac:dyDescent="0.35">
      <c r="B396" s="97" t="s">
        <v>179</v>
      </c>
      <c r="C396" s="97"/>
      <c r="D396" s="98" t="s">
        <v>180</v>
      </c>
      <c r="E396" s="98"/>
      <c r="F396" s="98"/>
    </row>
    <row r="397" spans="2:6" s="1" customFormat="1" ht="18" customHeight="1" x14ac:dyDescent="0.35">
      <c r="B397" s="99"/>
      <c r="C397" s="99"/>
      <c r="D397" s="100" t="s">
        <v>181</v>
      </c>
      <c r="E397" s="100"/>
      <c r="F397" s="101"/>
    </row>
    <row r="398" spans="2:6" ht="18" customHeight="1" x14ac:dyDescent="0.35">
      <c r="B398" s="28" t="s">
        <v>182</v>
      </c>
      <c r="C398" s="28"/>
      <c r="D398" s="10" t="e">
        <f>SUM(#REF!)</f>
        <v>#REF!</v>
      </c>
      <c r="E398" s="10"/>
      <c r="F398" s="102"/>
    </row>
    <row r="399" spans="2:6" ht="18" customHeight="1" x14ac:dyDescent="0.35">
      <c r="B399" s="28" t="s">
        <v>183</v>
      </c>
      <c r="C399" s="28"/>
      <c r="D399" s="10" t="e">
        <f>SUM(#REF!)</f>
        <v>#REF!</v>
      </c>
      <c r="E399" s="10"/>
      <c r="F399" s="103"/>
    </row>
    <row r="400" spans="2:6" ht="18" customHeight="1" x14ac:dyDescent="0.35">
      <c r="B400" s="28" t="s">
        <v>184</v>
      </c>
      <c r="C400" s="28"/>
      <c r="D400" s="10" t="e">
        <f>SUM(#REF!)</f>
        <v>#REF!</v>
      </c>
      <c r="E400" s="10"/>
      <c r="F400" s="102"/>
    </row>
    <row r="401" spans="2:6" ht="18" customHeight="1" x14ac:dyDescent="0.35">
      <c r="B401" s="104" t="s">
        <v>185</v>
      </c>
      <c r="C401" s="104"/>
      <c r="D401" s="10" t="e">
        <f>SUM(#REF!)</f>
        <v>#REF!</v>
      </c>
      <c r="E401" s="11"/>
      <c r="F401" s="102"/>
    </row>
    <row r="402" spans="2:6" ht="18" customHeight="1" x14ac:dyDescent="0.35">
      <c r="B402" s="104" t="s">
        <v>186</v>
      </c>
      <c r="C402" s="104"/>
      <c r="D402" s="10" t="e">
        <f>SUM(#REF!)</f>
        <v>#REF!</v>
      </c>
      <c r="E402" s="11"/>
      <c r="F402" s="102"/>
    </row>
    <row r="403" spans="2:6" ht="18" customHeight="1" x14ac:dyDescent="0.35">
      <c r="B403" s="104" t="s">
        <v>187</v>
      </c>
      <c r="C403" s="104"/>
      <c r="D403" s="10" t="e">
        <f>SUM(#REF!)</f>
        <v>#REF!</v>
      </c>
      <c r="E403" s="11"/>
      <c r="F403" s="102"/>
    </row>
    <row r="404" spans="2:6" ht="18" customHeight="1" x14ac:dyDescent="0.35">
      <c r="B404" s="104" t="s">
        <v>188</v>
      </c>
      <c r="C404" s="104"/>
      <c r="D404" s="10" t="e">
        <f>SUM(#REF!)</f>
        <v>#REF!</v>
      </c>
      <c r="E404" s="11"/>
      <c r="F404" s="102"/>
    </row>
    <row r="405" spans="2:6" ht="18" customHeight="1" x14ac:dyDescent="0.35">
      <c r="B405" s="104" t="s">
        <v>189</v>
      </c>
      <c r="C405" s="104"/>
      <c r="D405" s="10" t="e">
        <f>SUM(#REF!)</f>
        <v>#REF!</v>
      </c>
      <c r="E405" s="11"/>
      <c r="F405" s="102"/>
    </row>
    <row r="406" spans="2:6" s="1" customFormat="1" ht="18" customHeight="1" x14ac:dyDescent="0.35">
      <c r="B406" s="81" t="s">
        <v>190</v>
      </c>
      <c r="C406" s="81"/>
      <c r="D406" s="51" t="e">
        <f>SUM(#REF!)</f>
        <v>#REF!</v>
      </c>
      <c r="E406" s="82"/>
      <c r="F406" s="102"/>
    </row>
    <row r="407" spans="2:6" ht="18" customHeight="1" x14ac:dyDescent="0.35">
      <c r="B407" s="104" t="s">
        <v>191</v>
      </c>
      <c r="C407" s="104"/>
      <c r="D407" s="10" t="e">
        <f>SUM(#REF!)</f>
        <v>#REF!</v>
      </c>
      <c r="E407" s="11"/>
      <c r="F407" s="102"/>
    </row>
    <row r="408" spans="2:6" ht="18" customHeight="1" x14ac:dyDescent="0.35">
      <c r="B408" s="104" t="s">
        <v>192</v>
      </c>
      <c r="C408" s="104"/>
      <c r="D408" s="10" t="e">
        <f>SUM(#REF!)</f>
        <v>#REF!</v>
      </c>
      <c r="E408" s="11"/>
      <c r="F408" s="102"/>
    </row>
    <row r="409" spans="2:6" ht="18" customHeight="1" x14ac:dyDescent="0.35">
      <c r="B409" s="104" t="s">
        <v>193</v>
      </c>
      <c r="C409" s="104"/>
      <c r="D409" s="10" t="e">
        <f>SUM(#REF!)</f>
        <v>#REF!</v>
      </c>
      <c r="E409" s="11"/>
      <c r="F409" s="102"/>
    </row>
    <row r="410" spans="2:6" ht="18" customHeight="1" x14ac:dyDescent="0.35">
      <c r="B410" s="104" t="s">
        <v>194</v>
      </c>
      <c r="C410" s="104"/>
      <c r="D410" s="10" t="e">
        <f>SUM(#REF!)</f>
        <v>#REF!</v>
      </c>
      <c r="E410" s="11"/>
      <c r="F410" s="102"/>
    </row>
    <row r="411" spans="2:6" ht="18" customHeight="1" x14ac:dyDescent="0.35">
      <c r="B411" s="104" t="s">
        <v>195</v>
      </c>
      <c r="C411" s="104"/>
      <c r="D411" s="10" t="e">
        <f>SUM(#REF!)</f>
        <v>#REF!</v>
      </c>
      <c r="E411" s="11"/>
      <c r="F411" s="102"/>
    </row>
    <row r="412" spans="2:6" ht="18" customHeight="1" x14ac:dyDescent="0.35">
      <c r="B412" s="104" t="s">
        <v>196</v>
      </c>
      <c r="C412" s="104"/>
      <c r="D412" s="10" t="e">
        <f>SUM(#REF!)</f>
        <v>#REF!</v>
      </c>
      <c r="E412" s="11"/>
      <c r="F412" s="102"/>
    </row>
    <row r="413" spans="2:6" ht="18" customHeight="1" x14ac:dyDescent="0.35">
      <c r="B413" s="104" t="s">
        <v>197</v>
      </c>
      <c r="C413" s="104"/>
      <c r="D413" s="10" t="e">
        <f>SUM(#REF!)</f>
        <v>#REF!</v>
      </c>
      <c r="E413" s="11"/>
      <c r="F413" s="102"/>
    </row>
    <row r="414" spans="2:6" ht="18" customHeight="1" x14ac:dyDescent="0.35">
      <c r="B414" s="104" t="s">
        <v>198</v>
      </c>
      <c r="C414" s="104"/>
      <c r="D414" s="10" t="e">
        <f>SUM(#REF!)</f>
        <v>#REF!</v>
      </c>
      <c r="E414" s="11"/>
      <c r="F414" s="102"/>
    </row>
    <row r="415" spans="2:6" ht="18" customHeight="1" x14ac:dyDescent="0.35">
      <c r="B415" s="104" t="s">
        <v>199</v>
      </c>
      <c r="C415" s="104"/>
      <c r="D415" s="10" t="e">
        <f>SUM(#REF!)</f>
        <v>#REF!</v>
      </c>
      <c r="E415" s="11"/>
      <c r="F415" s="102"/>
    </row>
    <row r="416" spans="2:6" ht="18" customHeight="1" x14ac:dyDescent="0.35">
      <c r="B416" s="104" t="s">
        <v>200</v>
      </c>
      <c r="C416" s="104"/>
      <c r="D416" s="10" t="e">
        <f>SUM(#REF!)</f>
        <v>#REF!</v>
      </c>
      <c r="E416" s="11"/>
      <c r="F416" s="102"/>
    </row>
    <row r="417" spans="2:6" ht="18" customHeight="1" x14ac:dyDescent="0.35">
      <c r="B417" s="104" t="s">
        <v>201</v>
      </c>
      <c r="C417" s="104"/>
      <c r="D417" s="10" t="e">
        <f>SUM(#REF!)</f>
        <v>#REF!</v>
      </c>
      <c r="E417" s="11"/>
      <c r="F417" s="102"/>
    </row>
    <row r="418" spans="2:6" ht="18" customHeight="1" x14ac:dyDescent="0.35">
      <c r="B418" s="104" t="s">
        <v>202</v>
      </c>
      <c r="C418" s="104"/>
      <c r="D418" s="10" t="e">
        <f>SUM(#REF!)</f>
        <v>#REF!</v>
      </c>
      <c r="E418" s="11"/>
      <c r="F418" s="102"/>
    </row>
    <row r="419" spans="2:6" ht="18" customHeight="1" x14ac:dyDescent="0.35">
      <c r="B419" s="104" t="s">
        <v>203</v>
      </c>
      <c r="C419" s="104"/>
      <c r="D419" s="10" t="e">
        <f>SUM(#REF!)</f>
        <v>#REF!</v>
      </c>
      <c r="E419" s="11"/>
      <c r="F419" s="102"/>
    </row>
    <row r="420" spans="2:6" s="1" customFormat="1" ht="18" customHeight="1" x14ac:dyDescent="0.35">
      <c r="B420" s="81" t="s">
        <v>190</v>
      </c>
      <c r="C420" s="81"/>
      <c r="D420" s="51" t="e">
        <f>SUM(#REF!)</f>
        <v>#REF!</v>
      </c>
      <c r="E420" s="82"/>
      <c r="F420" s="102"/>
    </row>
    <row r="421" spans="2:6" ht="18" customHeight="1" x14ac:dyDescent="0.35">
      <c r="B421" s="105" t="s">
        <v>204</v>
      </c>
      <c r="C421" s="105"/>
      <c r="D421" s="51" t="e">
        <f>SUM(#REF!)</f>
        <v>#REF!</v>
      </c>
      <c r="E421" s="82"/>
      <c r="F421" s="102"/>
    </row>
    <row r="423" spans="2:6" x14ac:dyDescent="0.35">
      <c r="D423" s="96">
        <v>1149.9349999999999</v>
      </c>
    </row>
  </sheetData>
  <autoFilter ref="E1:F423" xr:uid="{00000000-0009-0000-0000-00001A000000}">
    <filterColumn colId="0">
      <filters blank="1"/>
    </filterColumn>
  </autoFilter>
  <mergeCells count="116">
    <mergeCell ref="D287:F287"/>
    <mergeCell ref="B278:C278"/>
    <mergeCell ref="D278:F278"/>
    <mergeCell ref="B280:C280"/>
    <mergeCell ref="B281:C281"/>
    <mergeCell ref="B285:C285"/>
    <mergeCell ref="B286:C286"/>
    <mergeCell ref="D286:F286"/>
    <mergeCell ref="B266:B267"/>
    <mergeCell ref="C266:C267"/>
    <mergeCell ref="D266:D267"/>
    <mergeCell ref="F266:F267"/>
    <mergeCell ref="D275:F275"/>
    <mergeCell ref="B277:C277"/>
    <mergeCell ref="D277:F277"/>
    <mergeCell ref="B252:F252"/>
    <mergeCell ref="B254:B255"/>
    <mergeCell ref="C254:C255"/>
    <mergeCell ref="D254:D255"/>
    <mergeCell ref="F254:F255"/>
    <mergeCell ref="B264:F264"/>
    <mergeCell ref="B220:B221"/>
    <mergeCell ref="C220:C221"/>
    <mergeCell ref="D220:D221"/>
    <mergeCell ref="F220:F221"/>
    <mergeCell ref="B234:F234"/>
    <mergeCell ref="B236:B237"/>
    <mergeCell ref="C236:C237"/>
    <mergeCell ref="D236:D237"/>
    <mergeCell ref="F236:F237"/>
    <mergeCell ref="B210:F210"/>
    <mergeCell ref="B212:B213"/>
    <mergeCell ref="C212:C213"/>
    <mergeCell ref="D212:D213"/>
    <mergeCell ref="F212:F213"/>
    <mergeCell ref="B218:F218"/>
    <mergeCell ref="B193:B194"/>
    <mergeCell ref="C193:C194"/>
    <mergeCell ref="D193:D194"/>
    <mergeCell ref="F193:F194"/>
    <mergeCell ref="B199:F199"/>
    <mergeCell ref="B201:B202"/>
    <mergeCell ref="C201:C202"/>
    <mergeCell ref="D201:D202"/>
    <mergeCell ref="F201:F202"/>
    <mergeCell ref="B175:F175"/>
    <mergeCell ref="B177:B178"/>
    <mergeCell ref="C177:C178"/>
    <mergeCell ref="D177:D178"/>
    <mergeCell ref="F177:F178"/>
    <mergeCell ref="B191:F191"/>
    <mergeCell ref="B146:B147"/>
    <mergeCell ref="C146:C147"/>
    <mergeCell ref="D146:D147"/>
    <mergeCell ref="F146:F147"/>
    <mergeCell ref="B154:F154"/>
    <mergeCell ref="B156:B157"/>
    <mergeCell ref="C156:C157"/>
    <mergeCell ref="D156:D157"/>
    <mergeCell ref="F156:F157"/>
    <mergeCell ref="B126:F126"/>
    <mergeCell ref="B128:B129"/>
    <mergeCell ref="C128:C129"/>
    <mergeCell ref="D128:D129"/>
    <mergeCell ref="F128:F129"/>
    <mergeCell ref="B144:F144"/>
    <mergeCell ref="B85:B86"/>
    <mergeCell ref="C85:C86"/>
    <mergeCell ref="D85:D86"/>
    <mergeCell ref="F85:F86"/>
    <mergeCell ref="B111:F111"/>
    <mergeCell ref="B113:B114"/>
    <mergeCell ref="C113:C114"/>
    <mergeCell ref="D113:D114"/>
    <mergeCell ref="F113:F114"/>
    <mergeCell ref="B74:F74"/>
    <mergeCell ref="B76:B77"/>
    <mergeCell ref="C76:C77"/>
    <mergeCell ref="D76:D77"/>
    <mergeCell ref="F76:F77"/>
    <mergeCell ref="B83:F83"/>
    <mergeCell ref="B59:B60"/>
    <mergeCell ref="C59:C60"/>
    <mergeCell ref="D59:D60"/>
    <mergeCell ref="F59:F60"/>
    <mergeCell ref="B67:F67"/>
    <mergeCell ref="B69:B70"/>
    <mergeCell ref="C69:C70"/>
    <mergeCell ref="D69:D70"/>
    <mergeCell ref="F69:F70"/>
    <mergeCell ref="B42:F42"/>
    <mergeCell ref="B44:B45"/>
    <mergeCell ref="C44:C45"/>
    <mergeCell ref="D44:D45"/>
    <mergeCell ref="F44:F45"/>
    <mergeCell ref="B57:F57"/>
    <mergeCell ref="B30:B31"/>
    <mergeCell ref="C30:C31"/>
    <mergeCell ref="D30:D31"/>
    <mergeCell ref="F30:F31"/>
    <mergeCell ref="B36:F36"/>
    <mergeCell ref="B38:B39"/>
    <mergeCell ref="C38:C39"/>
    <mergeCell ref="D38:D39"/>
    <mergeCell ref="F38:F39"/>
    <mergeCell ref="B20:F20"/>
    <mergeCell ref="B22:B23"/>
    <mergeCell ref="C22:C23"/>
    <mergeCell ref="D22:D23"/>
    <mergeCell ref="F22:F23"/>
    <mergeCell ref="B28:F28"/>
    <mergeCell ref="B6:F6"/>
    <mergeCell ref="B8:B9"/>
    <mergeCell ref="C8:C9"/>
    <mergeCell ref="D8:D9"/>
    <mergeCell ref="F8:F9"/>
  </mergeCells>
  <dataValidations count="7">
    <dataValidation type="list" allowBlank="1" showInputMessage="1" showErrorMessage="1" sqref="E78 E71 E10:E17 E61:E64 E195:E196 E162:E163" xr:uid="{00000000-0002-0000-1A00-000000000000}">
      <formula1>$N$73:$N$75</formula1>
    </dataValidation>
    <dataValidation type="list" allowBlank="1" showInputMessage="1" showErrorMessage="1" sqref="F78 F158:F172 F24:F26 F46:F54 F61:F64 F195:F196 F32:F33 F151 F71" xr:uid="{00000000-0002-0000-1A00-000001000000}">
      <formula1>$Q$73:$Q$77</formula1>
    </dataValidation>
    <dataValidation type="list" allowBlank="1" showInputMessage="1" showErrorMessage="1" sqref="F10:F17" xr:uid="{00000000-0002-0000-1A00-000002000000}">
      <formula1>$R$7:$R$9</formula1>
    </dataValidation>
    <dataValidation type="list" allowBlank="1" showInputMessage="1" showErrorMessage="1" sqref="E158:E161 E185 E179 E164 E166:E172" xr:uid="{00000000-0002-0000-1A00-000003000000}">
      <formula1>$N$73:$N$76</formula1>
    </dataValidation>
    <dataValidation type="list" allowBlank="1" showInputMessage="1" showErrorMessage="1" sqref="E165 E260 E258 E256 E247 E245 E242:E243 E240 E238 E230 E228 E226 E224 E222 E32:E33 E24:E26 E148:E151 E46:E54" xr:uid="{00000000-0002-0000-1A00-000004000000}">
      <formula1>$N$73:$N$77</formula1>
    </dataValidation>
    <dataValidation type="list" allowBlank="1" showInputMessage="1" showErrorMessage="1" sqref="F148:F150 F130:F141 F115:F123 F87:F108" xr:uid="{00000000-0002-0000-1A00-000005000000}">
      <formula1>$R$111:$R$115</formula1>
    </dataValidation>
    <dataValidation type="list" allowBlank="1" showInputMessage="1" showErrorMessage="1" sqref="E87:E108 E130:E141 E115:E123" xr:uid="{00000000-0002-0000-1A00-000006000000}">
      <formula1>$O$111:$O$115</formula1>
    </dataValidation>
  </dataValidations>
  <printOptions horizontalCentered="1"/>
  <pageMargins left="0.35" right="0.2" top="0.75" bottom="0.31" header="0.3" footer="0.3"/>
  <pageSetup paperSize="9" scale="89" fitToHeight="0" orientation="portrait" horizontalDpi="360" verticalDpi="360" r:id="rId1"/>
  <rowBreaks count="4" manualBreakCount="4">
    <brk id="41" min="1" max="5" man="1"/>
    <brk id="94" min="1" max="5" man="1"/>
    <brk id="251" min="1" max="5" man="1"/>
    <brk id="273" min="1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58" baseType="lpstr">
      <vt:lpstr>SOUTH</vt:lpstr>
      <vt:lpstr> road inventory 2024</vt:lpstr>
      <vt:lpstr>UPDATED (FOR PRINTING) (2)</vt:lpstr>
      <vt:lpstr>GRAPH</vt:lpstr>
      <vt:lpstr>SUMMARY 2021</vt:lpstr>
      <vt:lpstr>Indicator 5</vt:lpstr>
      <vt:lpstr>inventory2019(FOR UPDATE)</vt:lpstr>
      <vt:lpstr>GOOD TO FAIR2019</vt:lpstr>
      <vt:lpstr>inventory2020(FOR UPDATE)</vt:lpstr>
      <vt:lpstr>GOOD TO FAIR2020</vt:lpstr>
      <vt:lpstr>CORE ROAD</vt:lpstr>
      <vt:lpstr>inventory2022 (FINAL)</vt:lpstr>
      <vt:lpstr>SUMMARY 2022  ppdo</vt:lpstr>
      <vt:lpstr>SUMMARY 2022 </vt:lpstr>
      <vt:lpstr>inventory2020(FOR revised)</vt:lpstr>
      <vt:lpstr>GOOD TO FAIR2020 (REVISED)</vt:lpstr>
      <vt:lpstr>inventory2019(REVISED)</vt:lpstr>
      <vt:lpstr>GOOD TO FAIR2019 (REVISED)</vt:lpstr>
      <vt:lpstr>GOODTOFAIR2021 (FINAL) </vt:lpstr>
      <vt:lpstr>inventory2022 (FINAL) (2)</vt:lpstr>
      <vt:lpstr>inventory2022 (FINAL) (3)</vt:lpstr>
      <vt:lpstr>SOUTH PROV road inventory 2 (2</vt:lpstr>
      <vt:lpstr>SUMMARY 2023 ppdo </vt:lpstr>
      <vt:lpstr>inventory2020(FOR UPDATE) -2</vt:lpstr>
      <vt:lpstr>BRIDGE INVENTORY (2)</vt:lpstr>
      <vt:lpstr>Chart1</vt:lpstr>
      <vt:lpstr>' road inventory 2024'!Print_Area</vt:lpstr>
      <vt:lpstr>'BRIDGE INVENTORY (2)'!Print_Area</vt:lpstr>
      <vt:lpstr>'CORE ROAD'!Print_Area</vt:lpstr>
      <vt:lpstr>'GOOD TO FAIR2019'!Print_Area</vt:lpstr>
      <vt:lpstr>'GOOD TO FAIR2019 (REVISED)'!Print_Area</vt:lpstr>
      <vt:lpstr>'GOOD TO FAIR2020'!Print_Area</vt:lpstr>
      <vt:lpstr>'GOOD TO FAIR2020 (REVISED)'!Print_Area</vt:lpstr>
      <vt:lpstr>'GOODTOFAIR2021 (FINAL) '!Print_Area</vt:lpstr>
      <vt:lpstr>'inventory2019(FOR UPDATE)'!Print_Area</vt:lpstr>
      <vt:lpstr>'inventory2019(REVISED)'!Print_Area</vt:lpstr>
      <vt:lpstr>'inventory2020(FOR revised)'!Print_Area</vt:lpstr>
      <vt:lpstr>'inventory2020(FOR UPDATE)'!Print_Area</vt:lpstr>
      <vt:lpstr>'inventory2020(FOR UPDATE) -2'!Print_Area</vt:lpstr>
      <vt:lpstr>'inventory2022 (FINAL)'!Print_Area</vt:lpstr>
      <vt:lpstr>'inventory2022 (FINAL) (2)'!Print_Area</vt:lpstr>
      <vt:lpstr>'inventory2022 (FINAL) (3)'!Print_Area</vt:lpstr>
      <vt:lpstr>SOUTH!Print_Area</vt:lpstr>
      <vt:lpstr>'SOUTH PROV road inventory 2 (2'!Print_Area</vt:lpstr>
      <vt:lpstr>'SUMMARY 2021'!Print_Area</vt:lpstr>
      <vt:lpstr>'SUMMARY 2022 '!Print_Area</vt:lpstr>
      <vt:lpstr>'SUMMARY 2022  ppdo'!Print_Area</vt:lpstr>
      <vt:lpstr>'SUMMARY 2023 ppdo '!Print_Area</vt:lpstr>
      <vt:lpstr>'UPDATED (FOR PRINTING) (2)'!Print_Area</vt:lpstr>
      <vt:lpstr>' road inventory 2024'!Print_Titles</vt:lpstr>
      <vt:lpstr>'BRIDGE INVENTORY (2)'!Print_Titles</vt:lpstr>
      <vt:lpstr>'GOODTOFAIR2021 (FINAL) '!Print_Titles</vt:lpstr>
      <vt:lpstr>'inventory2019(FOR UPDATE)'!Print_Titles</vt:lpstr>
      <vt:lpstr>'inventory2019(REVISED)'!Print_Titles</vt:lpstr>
      <vt:lpstr>'inventory2022 (FINAL)'!Print_Titles</vt:lpstr>
      <vt:lpstr>'inventory2022 (FINAL) (2)'!Print_Titles</vt:lpstr>
      <vt:lpstr>'inventory2022 (FINAL) (3)'!Print_Titles</vt:lpstr>
      <vt:lpstr>'SOUTH PROV road inventory 2 (2'!Print_Titles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elmon ray juratil</cp:lastModifiedBy>
  <cp:lastPrinted>2026-02-03T06:07:36Z</cp:lastPrinted>
  <dcterms:created xsi:type="dcterms:W3CDTF">2021-11-15T06:03:31Z</dcterms:created>
  <dcterms:modified xsi:type="dcterms:W3CDTF">2026-02-04T06:29:55Z</dcterms:modified>
</cp:coreProperties>
</file>