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na\Google Drive\sci4ga\stats and data\"/>
    </mc:Choice>
  </mc:AlternateContent>
  <xr:revisionPtr revIDLastSave="0" documentId="8_{D40BE5E9-0FF8-40E2-BDD2-4DDBE2A701A3}" xr6:coauthVersionLast="46" xr6:coauthVersionMax="46" xr10:uidLastSave="{00000000-0000-0000-0000-000000000000}"/>
  <bookViews>
    <workbookView xWindow="46215" yWindow="1350" windowWidth="19965" windowHeight="11340"/>
  </bookViews>
  <sheets>
    <sheet name="hudPicture2020_862177" sheetId="1" r:id="rId1"/>
  </sheets>
  <calcPr calcId="0"/>
</workbook>
</file>

<file path=xl/calcChain.xml><?xml version="1.0" encoding="utf-8"?>
<calcChain xmlns="http://schemas.openxmlformats.org/spreadsheetml/2006/main">
  <c r="B2" i="1" l="1"/>
  <c r="D2" i="1"/>
  <c r="E2" i="1"/>
  <c r="F2" i="1"/>
  <c r="BG2" i="1"/>
  <c r="BH2" i="1"/>
  <c r="BI2" i="1"/>
  <c r="BJ2" i="1"/>
  <c r="BK2" i="1"/>
  <c r="BL2" i="1"/>
  <c r="BM2" i="1"/>
  <c r="BN2" i="1"/>
  <c r="B3" i="1"/>
  <c r="D3" i="1"/>
  <c r="E3" i="1"/>
  <c r="F3" i="1"/>
  <c r="BG3" i="1"/>
  <c r="BH3" i="1"/>
  <c r="BI3" i="1"/>
  <c r="BJ3" i="1"/>
  <c r="BK3" i="1"/>
  <c r="BL3" i="1"/>
  <c r="BM3" i="1"/>
  <c r="BN3" i="1"/>
  <c r="B4" i="1"/>
  <c r="D4" i="1"/>
  <c r="E4" i="1"/>
  <c r="F4" i="1"/>
  <c r="BG4" i="1"/>
  <c r="BH4" i="1"/>
  <c r="BI4" i="1"/>
  <c r="BJ4" i="1"/>
  <c r="BK4" i="1"/>
  <c r="BL4" i="1"/>
  <c r="BM4" i="1"/>
  <c r="BN4" i="1"/>
  <c r="B5" i="1"/>
  <c r="D5" i="1"/>
  <c r="E5" i="1"/>
  <c r="F5" i="1"/>
  <c r="BG5" i="1"/>
  <c r="BH5" i="1"/>
  <c r="BI5" i="1"/>
  <c r="BJ5" i="1"/>
  <c r="BK5" i="1"/>
  <c r="BL5" i="1"/>
  <c r="BM5" i="1"/>
  <c r="BN5" i="1"/>
  <c r="B6" i="1"/>
  <c r="D6" i="1"/>
  <c r="E6" i="1"/>
  <c r="F6" i="1"/>
  <c r="BG6" i="1"/>
  <c r="BH6" i="1"/>
  <c r="BI6" i="1"/>
  <c r="BJ6" i="1"/>
  <c r="BK6" i="1"/>
  <c r="BL6" i="1"/>
  <c r="BM6" i="1"/>
  <c r="BN6" i="1"/>
  <c r="B7" i="1"/>
  <c r="D7" i="1"/>
  <c r="E7" i="1"/>
  <c r="F7" i="1"/>
  <c r="BG7" i="1"/>
  <c r="BH7" i="1"/>
  <c r="BI7" i="1"/>
  <c r="BJ7" i="1"/>
  <c r="BK7" i="1"/>
  <c r="BL7" i="1"/>
  <c r="BM7" i="1"/>
  <c r="BN7" i="1"/>
  <c r="B8" i="1"/>
  <c r="D8" i="1"/>
  <c r="E8" i="1"/>
  <c r="F8" i="1"/>
  <c r="BG8" i="1"/>
  <c r="BH8" i="1"/>
  <c r="BI8" i="1"/>
  <c r="BJ8" i="1"/>
  <c r="BK8" i="1"/>
  <c r="BL8" i="1"/>
  <c r="BM8" i="1"/>
  <c r="BN8" i="1"/>
  <c r="B9" i="1"/>
  <c r="D9" i="1"/>
  <c r="E9" i="1"/>
  <c r="F9" i="1"/>
  <c r="BG9" i="1"/>
  <c r="BH9" i="1"/>
  <c r="BI9" i="1"/>
  <c r="BJ9" i="1"/>
  <c r="BK9" i="1"/>
  <c r="BL9" i="1"/>
  <c r="BM9" i="1"/>
  <c r="BN9" i="1"/>
  <c r="B10" i="1"/>
  <c r="D10" i="1"/>
  <c r="E10" i="1"/>
  <c r="F10" i="1"/>
  <c r="BG10" i="1"/>
  <c r="BH10" i="1"/>
  <c r="BI10" i="1"/>
  <c r="BJ10" i="1"/>
  <c r="BK10" i="1"/>
  <c r="BL10" i="1"/>
  <c r="BM10" i="1"/>
  <c r="BN10" i="1"/>
  <c r="B11" i="1"/>
  <c r="D11" i="1"/>
  <c r="E11" i="1"/>
  <c r="F11" i="1"/>
  <c r="BG11" i="1"/>
  <c r="BH11" i="1"/>
  <c r="BI11" i="1"/>
  <c r="BJ11" i="1"/>
  <c r="BK11" i="1"/>
  <c r="BL11" i="1"/>
  <c r="BM11" i="1"/>
  <c r="BN11" i="1"/>
  <c r="B12" i="1"/>
  <c r="D12" i="1"/>
  <c r="E12" i="1"/>
  <c r="F12" i="1"/>
  <c r="BG12" i="1"/>
  <c r="BH12" i="1"/>
  <c r="BI12" i="1"/>
  <c r="BJ12" i="1"/>
  <c r="BK12" i="1"/>
  <c r="BL12" i="1"/>
  <c r="BM12" i="1"/>
  <c r="BN12" i="1"/>
  <c r="B13" i="1"/>
  <c r="D13" i="1"/>
  <c r="E13" i="1"/>
  <c r="F13" i="1"/>
  <c r="BG13" i="1"/>
  <c r="BH13" i="1"/>
  <c r="BI13" i="1"/>
  <c r="BJ13" i="1"/>
  <c r="BK13" i="1"/>
  <c r="BL13" i="1"/>
  <c r="BM13" i="1"/>
  <c r="BN13" i="1"/>
  <c r="B14" i="1"/>
  <c r="D14" i="1"/>
  <c r="E14" i="1"/>
  <c r="F14" i="1"/>
  <c r="BG14" i="1"/>
  <c r="BH14" i="1"/>
  <c r="BI14" i="1"/>
  <c r="BJ14" i="1"/>
  <c r="BK14" i="1"/>
  <c r="BL14" i="1"/>
  <c r="BM14" i="1"/>
  <c r="BN14" i="1"/>
  <c r="B15" i="1"/>
  <c r="D15" i="1"/>
  <c r="E15" i="1"/>
  <c r="F15" i="1"/>
  <c r="BG15" i="1"/>
  <c r="BH15" i="1"/>
  <c r="BI15" i="1"/>
  <c r="BJ15" i="1"/>
  <c r="BK15" i="1"/>
  <c r="BL15" i="1"/>
  <c r="BM15" i="1"/>
  <c r="BN15" i="1"/>
  <c r="B16" i="1"/>
  <c r="D16" i="1"/>
  <c r="E16" i="1"/>
  <c r="F16" i="1"/>
  <c r="BG16" i="1"/>
  <c r="BH16" i="1"/>
  <c r="BI16" i="1"/>
  <c r="BJ16" i="1"/>
  <c r="BK16" i="1"/>
  <c r="BL16" i="1"/>
  <c r="BM16" i="1"/>
  <c r="BN16" i="1"/>
  <c r="B17" i="1"/>
  <c r="D17" i="1"/>
  <c r="E17" i="1"/>
  <c r="F17" i="1"/>
  <c r="BG17" i="1"/>
  <c r="BH17" i="1"/>
  <c r="BI17" i="1"/>
  <c r="BJ17" i="1"/>
  <c r="BK17" i="1"/>
  <c r="BL17" i="1"/>
  <c r="BM17" i="1"/>
  <c r="BN17" i="1"/>
  <c r="B18" i="1"/>
  <c r="D18" i="1"/>
  <c r="E18" i="1"/>
  <c r="F18" i="1"/>
  <c r="BG18" i="1"/>
  <c r="BH18" i="1"/>
  <c r="BI18" i="1"/>
  <c r="BJ18" i="1"/>
  <c r="BK18" i="1"/>
  <c r="BL18" i="1"/>
  <c r="BM18" i="1"/>
  <c r="BN18" i="1"/>
  <c r="B19" i="1"/>
  <c r="D19" i="1"/>
  <c r="E19" i="1"/>
  <c r="F19" i="1"/>
  <c r="BG19" i="1"/>
  <c r="BH19" i="1"/>
  <c r="BI19" i="1"/>
  <c r="BJ19" i="1"/>
  <c r="BK19" i="1"/>
  <c r="BL19" i="1"/>
  <c r="BM19" i="1"/>
  <c r="BN19" i="1"/>
  <c r="B20" i="1"/>
  <c r="D20" i="1"/>
  <c r="E20" i="1"/>
  <c r="F20" i="1"/>
  <c r="BG20" i="1"/>
  <c r="BH20" i="1"/>
  <c r="BI20" i="1"/>
  <c r="BJ20" i="1"/>
  <c r="BK20" i="1"/>
  <c r="BL20" i="1"/>
  <c r="BM20" i="1"/>
  <c r="BN20" i="1"/>
  <c r="B21" i="1"/>
  <c r="D21" i="1"/>
  <c r="E21" i="1"/>
  <c r="F21" i="1"/>
  <c r="BG21" i="1"/>
  <c r="BH21" i="1"/>
  <c r="BI21" i="1"/>
  <c r="BJ21" i="1"/>
  <c r="BK21" i="1"/>
  <c r="BL21" i="1"/>
  <c r="BM21" i="1"/>
  <c r="BN21" i="1"/>
  <c r="B22" i="1"/>
  <c r="D22" i="1"/>
  <c r="E22" i="1"/>
  <c r="F22" i="1"/>
  <c r="BG22" i="1"/>
  <c r="BH22" i="1"/>
  <c r="BI22" i="1"/>
  <c r="BJ22" i="1"/>
  <c r="BK22" i="1"/>
  <c r="BL22" i="1"/>
  <c r="BM22" i="1"/>
  <c r="BN22" i="1"/>
  <c r="B23" i="1"/>
  <c r="D23" i="1"/>
  <c r="E23" i="1"/>
  <c r="F23" i="1"/>
  <c r="BG23" i="1"/>
  <c r="BH23" i="1"/>
  <c r="BI23" i="1"/>
  <c r="BJ23" i="1"/>
  <c r="BK23" i="1"/>
  <c r="BL23" i="1"/>
  <c r="BM23" i="1"/>
  <c r="BN23" i="1"/>
  <c r="B24" i="1"/>
  <c r="D24" i="1"/>
  <c r="E24" i="1"/>
  <c r="F24" i="1"/>
  <c r="BG24" i="1"/>
  <c r="BH24" i="1"/>
  <c r="BI24" i="1"/>
  <c r="BJ24" i="1"/>
  <c r="BK24" i="1"/>
  <c r="BL24" i="1"/>
  <c r="BM24" i="1"/>
  <c r="BN24" i="1"/>
  <c r="B25" i="1"/>
  <c r="D25" i="1"/>
  <c r="E25" i="1"/>
  <c r="F25" i="1"/>
  <c r="BG25" i="1"/>
  <c r="BH25" i="1"/>
  <c r="BI25" i="1"/>
  <c r="BJ25" i="1"/>
  <c r="BK25" i="1"/>
  <c r="BL25" i="1"/>
  <c r="BM25" i="1"/>
  <c r="BN25" i="1"/>
  <c r="B26" i="1"/>
  <c r="D26" i="1"/>
  <c r="E26" i="1"/>
  <c r="F26" i="1"/>
  <c r="BG26" i="1"/>
  <c r="BH26" i="1"/>
  <c r="BI26" i="1"/>
  <c r="BJ26" i="1"/>
  <c r="BK26" i="1"/>
  <c r="BL26" i="1"/>
  <c r="BM26" i="1"/>
  <c r="BN26" i="1"/>
  <c r="B27" i="1"/>
  <c r="D27" i="1"/>
  <c r="E27" i="1"/>
  <c r="F27" i="1"/>
  <c r="BG27" i="1"/>
  <c r="BH27" i="1"/>
  <c r="BI27" i="1"/>
  <c r="BJ27" i="1"/>
  <c r="BK27" i="1"/>
  <c r="BL27" i="1"/>
  <c r="BM27" i="1"/>
  <c r="BN27" i="1"/>
  <c r="B28" i="1"/>
  <c r="D28" i="1"/>
  <c r="E28" i="1"/>
  <c r="F28" i="1"/>
  <c r="BG28" i="1"/>
  <c r="BH28" i="1"/>
  <c r="BI28" i="1"/>
  <c r="BJ28" i="1"/>
  <c r="BK28" i="1"/>
  <c r="BL28" i="1"/>
  <c r="BM28" i="1"/>
  <c r="BN28" i="1"/>
  <c r="B29" i="1"/>
  <c r="D29" i="1"/>
  <c r="E29" i="1"/>
  <c r="F29" i="1"/>
  <c r="BG29" i="1"/>
  <c r="BH29" i="1"/>
  <c r="BI29" i="1"/>
  <c r="BJ29" i="1"/>
  <c r="BK29" i="1"/>
  <c r="BL29" i="1"/>
  <c r="BM29" i="1"/>
  <c r="BN29" i="1"/>
  <c r="B30" i="1"/>
  <c r="D30" i="1"/>
  <c r="E30" i="1"/>
  <c r="F30" i="1"/>
  <c r="BG30" i="1"/>
  <c r="BH30" i="1"/>
  <c r="BI30" i="1"/>
  <c r="BJ30" i="1"/>
  <c r="BK30" i="1"/>
  <c r="BL30" i="1"/>
  <c r="BM30" i="1"/>
  <c r="BN30" i="1"/>
  <c r="B31" i="1"/>
  <c r="D31" i="1"/>
  <c r="E31" i="1"/>
  <c r="F31" i="1"/>
  <c r="BG31" i="1"/>
  <c r="BH31" i="1"/>
  <c r="BI31" i="1"/>
  <c r="BJ31" i="1"/>
  <c r="BK31" i="1"/>
  <c r="BL31" i="1"/>
  <c r="BM31" i="1"/>
  <c r="BN31" i="1"/>
  <c r="B32" i="1"/>
  <c r="D32" i="1"/>
  <c r="E32" i="1"/>
  <c r="F32" i="1"/>
  <c r="BG32" i="1"/>
  <c r="BH32" i="1"/>
  <c r="BI32" i="1"/>
  <c r="BJ32" i="1"/>
  <c r="BK32" i="1"/>
  <c r="BL32" i="1"/>
  <c r="BM32" i="1"/>
  <c r="BN32" i="1"/>
  <c r="B33" i="1"/>
  <c r="D33" i="1"/>
  <c r="E33" i="1"/>
  <c r="F33" i="1"/>
  <c r="BG33" i="1"/>
  <c r="BH33" i="1"/>
  <c r="BI33" i="1"/>
  <c r="BJ33" i="1"/>
  <c r="BK33" i="1"/>
  <c r="BL33" i="1"/>
  <c r="BM33" i="1"/>
  <c r="BN33" i="1"/>
  <c r="B34" i="1"/>
  <c r="D34" i="1"/>
  <c r="E34" i="1"/>
  <c r="F34" i="1"/>
  <c r="BG34" i="1"/>
  <c r="BH34" i="1"/>
  <c r="BI34" i="1"/>
  <c r="BJ34" i="1"/>
  <c r="BK34" i="1"/>
  <c r="BL34" i="1"/>
  <c r="BM34" i="1"/>
  <c r="BN34" i="1"/>
  <c r="B35" i="1"/>
  <c r="D35" i="1"/>
  <c r="E35" i="1"/>
  <c r="F35" i="1"/>
  <c r="BG35" i="1"/>
  <c r="BH35" i="1"/>
  <c r="BI35" i="1"/>
  <c r="BJ35" i="1"/>
  <c r="BK35" i="1"/>
  <c r="BL35" i="1"/>
  <c r="BM35" i="1"/>
  <c r="BN35" i="1"/>
  <c r="B36" i="1"/>
  <c r="D36" i="1"/>
  <c r="E36" i="1"/>
  <c r="F36" i="1"/>
  <c r="BG36" i="1"/>
  <c r="BH36" i="1"/>
  <c r="BI36" i="1"/>
  <c r="BJ36" i="1"/>
  <c r="BK36" i="1"/>
  <c r="BL36" i="1"/>
  <c r="BM36" i="1"/>
  <c r="BN36" i="1"/>
  <c r="B37" i="1"/>
  <c r="D37" i="1"/>
  <c r="E37" i="1"/>
  <c r="F37" i="1"/>
  <c r="BG37" i="1"/>
  <c r="BH37" i="1"/>
  <c r="BI37" i="1"/>
  <c r="BJ37" i="1"/>
  <c r="BK37" i="1"/>
  <c r="BL37" i="1"/>
  <c r="BM37" i="1"/>
  <c r="BN37" i="1"/>
  <c r="B38" i="1"/>
  <c r="D38" i="1"/>
  <c r="E38" i="1"/>
  <c r="F38" i="1"/>
  <c r="BG38" i="1"/>
  <c r="BH38" i="1"/>
  <c r="BI38" i="1"/>
  <c r="BJ38" i="1"/>
  <c r="BK38" i="1"/>
  <c r="BL38" i="1"/>
  <c r="BM38" i="1"/>
  <c r="BN38" i="1"/>
  <c r="B39" i="1"/>
  <c r="D39" i="1"/>
  <c r="E39" i="1"/>
  <c r="F39" i="1"/>
  <c r="BG39" i="1"/>
  <c r="BH39" i="1"/>
  <c r="BI39" i="1"/>
  <c r="BJ39" i="1"/>
  <c r="BK39" i="1"/>
  <c r="BL39" i="1"/>
  <c r="BM39" i="1"/>
  <c r="BN39" i="1"/>
  <c r="B40" i="1"/>
  <c r="D40" i="1"/>
  <c r="E40" i="1"/>
  <c r="F40" i="1"/>
  <c r="BG40" i="1"/>
  <c r="BH40" i="1"/>
  <c r="BI40" i="1"/>
  <c r="BJ40" i="1"/>
  <c r="BK40" i="1"/>
  <c r="BL40" i="1"/>
  <c r="BM40" i="1"/>
  <c r="BN40" i="1"/>
  <c r="B41" i="1"/>
  <c r="D41" i="1"/>
  <c r="E41" i="1"/>
  <c r="F41" i="1"/>
  <c r="BG41" i="1"/>
  <c r="BH41" i="1"/>
  <c r="BI41" i="1"/>
  <c r="BJ41" i="1"/>
  <c r="BK41" i="1"/>
  <c r="BL41" i="1"/>
  <c r="BM41" i="1"/>
  <c r="BN41" i="1"/>
  <c r="B42" i="1"/>
  <c r="D42" i="1"/>
  <c r="E42" i="1"/>
  <c r="F42" i="1"/>
  <c r="BG42" i="1"/>
  <c r="BH42" i="1"/>
  <c r="BI42" i="1"/>
  <c r="BJ42" i="1"/>
  <c r="BK42" i="1"/>
  <c r="BL42" i="1"/>
  <c r="BM42" i="1"/>
  <c r="BN42" i="1"/>
  <c r="B43" i="1"/>
  <c r="D43" i="1"/>
  <c r="E43" i="1"/>
  <c r="F43" i="1"/>
  <c r="BG43" i="1"/>
  <c r="BH43" i="1"/>
  <c r="BI43" i="1"/>
  <c r="BJ43" i="1"/>
  <c r="BK43" i="1"/>
  <c r="BL43" i="1"/>
  <c r="BM43" i="1"/>
  <c r="BN43" i="1"/>
  <c r="B44" i="1"/>
  <c r="D44" i="1"/>
  <c r="E44" i="1"/>
  <c r="F44" i="1"/>
  <c r="BG44" i="1"/>
  <c r="BH44" i="1"/>
  <c r="BI44" i="1"/>
  <c r="BJ44" i="1"/>
  <c r="BK44" i="1"/>
  <c r="BL44" i="1"/>
  <c r="BM44" i="1"/>
  <c r="BN44" i="1"/>
  <c r="B45" i="1"/>
  <c r="D45" i="1"/>
  <c r="E45" i="1"/>
  <c r="F45" i="1"/>
  <c r="BG45" i="1"/>
  <c r="BH45" i="1"/>
  <c r="BI45" i="1"/>
  <c r="BJ45" i="1"/>
  <c r="BK45" i="1"/>
  <c r="BL45" i="1"/>
  <c r="BM45" i="1"/>
  <c r="BN45" i="1"/>
  <c r="B46" i="1"/>
  <c r="D46" i="1"/>
  <c r="E46" i="1"/>
  <c r="F46" i="1"/>
  <c r="BG46" i="1"/>
  <c r="BH46" i="1"/>
  <c r="BI46" i="1"/>
  <c r="BJ46" i="1"/>
  <c r="BK46" i="1"/>
  <c r="BL46" i="1"/>
  <c r="BM46" i="1"/>
  <c r="BN46" i="1"/>
  <c r="B47" i="1"/>
  <c r="D47" i="1"/>
  <c r="E47" i="1"/>
  <c r="F47" i="1"/>
  <c r="BG47" i="1"/>
  <c r="BH47" i="1"/>
  <c r="BI47" i="1"/>
  <c r="BJ47" i="1"/>
  <c r="BK47" i="1"/>
  <c r="BL47" i="1"/>
  <c r="BM47" i="1"/>
  <c r="BN47" i="1"/>
  <c r="B48" i="1"/>
  <c r="D48" i="1"/>
  <c r="E48" i="1"/>
  <c r="F48" i="1"/>
  <c r="BG48" i="1"/>
  <c r="BH48" i="1"/>
  <c r="BI48" i="1"/>
  <c r="BJ48" i="1"/>
  <c r="BK48" i="1"/>
  <c r="BL48" i="1"/>
  <c r="BM48" i="1"/>
  <c r="BN48" i="1"/>
  <c r="B49" i="1"/>
  <c r="D49" i="1"/>
  <c r="E49" i="1"/>
  <c r="F49" i="1"/>
  <c r="BG49" i="1"/>
  <c r="BH49" i="1"/>
  <c r="BI49" i="1"/>
  <c r="BJ49" i="1"/>
  <c r="BK49" i="1"/>
  <c r="BL49" i="1"/>
  <c r="BM49" i="1"/>
  <c r="BN49" i="1"/>
  <c r="B50" i="1"/>
  <c r="D50" i="1"/>
  <c r="E50" i="1"/>
  <c r="F50" i="1"/>
  <c r="BG50" i="1"/>
  <c r="BH50" i="1"/>
  <c r="BI50" i="1"/>
  <c r="BJ50" i="1"/>
  <c r="BK50" i="1"/>
  <c r="BL50" i="1"/>
  <c r="BM50" i="1"/>
  <c r="BN50" i="1"/>
  <c r="B51" i="1"/>
  <c r="D51" i="1"/>
  <c r="E51" i="1"/>
  <c r="F51" i="1"/>
  <c r="BG51" i="1"/>
  <c r="BH51" i="1"/>
  <c r="BI51" i="1"/>
  <c r="BJ51" i="1"/>
  <c r="BK51" i="1"/>
  <c r="BL51" i="1"/>
  <c r="BM51" i="1"/>
  <c r="BN51" i="1"/>
  <c r="B52" i="1"/>
  <c r="D52" i="1"/>
  <c r="E52" i="1"/>
  <c r="F52" i="1"/>
  <c r="BG52" i="1"/>
  <c r="BH52" i="1"/>
  <c r="BI52" i="1"/>
  <c r="BJ52" i="1"/>
  <c r="BK52" i="1"/>
  <c r="BL52" i="1"/>
  <c r="BM52" i="1"/>
  <c r="BN52" i="1"/>
  <c r="B53" i="1"/>
  <c r="D53" i="1"/>
  <c r="E53" i="1"/>
  <c r="F53" i="1"/>
  <c r="BG53" i="1"/>
  <c r="BH53" i="1"/>
  <c r="BI53" i="1"/>
  <c r="BJ53" i="1"/>
  <c r="BK53" i="1"/>
  <c r="BL53" i="1"/>
  <c r="BM53" i="1"/>
  <c r="BN53" i="1"/>
  <c r="B54" i="1"/>
  <c r="D54" i="1"/>
  <c r="E54" i="1"/>
  <c r="F54" i="1"/>
  <c r="BG54" i="1"/>
  <c r="BH54" i="1"/>
  <c r="BI54" i="1"/>
  <c r="BJ54" i="1"/>
  <c r="BK54" i="1"/>
  <c r="BL54" i="1"/>
  <c r="BM54" i="1"/>
  <c r="BN54" i="1"/>
  <c r="B55" i="1"/>
  <c r="D55" i="1"/>
  <c r="E55" i="1"/>
  <c r="F55" i="1"/>
  <c r="BG55" i="1"/>
  <c r="BH55" i="1"/>
  <c r="BI55" i="1"/>
  <c r="BJ55" i="1"/>
  <c r="BK55" i="1"/>
  <c r="BL55" i="1"/>
  <c r="BM55" i="1"/>
  <c r="BN55" i="1"/>
  <c r="B56" i="1"/>
  <c r="D56" i="1"/>
  <c r="E56" i="1"/>
  <c r="F56" i="1"/>
  <c r="BG56" i="1"/>
  <c r="BH56" i="1"/>
  <c r="BI56" i="1"/>
  <c r="BJ56" i="1"/>
  <c r="BK56" i="1"/>
  <c r="BL56" i="1"/>
  <c r="BM56" i="1"/>
  <c r="BN56" i="1"/>
  <c r="B57" i="1"/>
  <c r="D57" i="1"/>
  <c r="E57" i="1"/>
  <c r="F57" i="1"/>
  <c r="BG57" i="1"/>
  <c r="BH57" i="1"/>
  <c r="BI57" i="1"/>
  <c r="BJ57" i="1"/>
  <c r="BK57" i="1"/>
  <c r="BL57" i="1"/>
  <c r="BM57" i="1"/>
  <c r="BN57" i="1"/>
  <c r="B58" i="1"/>
  <c r="D58" i="1"/>
  <c r="E58" i="1"/>
  <c r="F58" i="1"/>
  <c r="BG58" i="1"/>
  <c r="BH58" i="1"/>
  <c r="BI58" i="1"/>
  <c r="BJ58" i="1"/>
  <c r="BK58" i="1"/>
  <c r="BL58" i="1"/>
  <c r="BM58" i="1"/>
  <c r="BN58" i="1"/>
</calcChain>
</file>

<file path=xl/sharedStrings.xml><?xml version="1.0" encoding="utf-8"?>
<sst xmlns="http://schemas.openxmlformats.org/spreadsheetml/2006/main" count="70" uniqueCount="70">
  <si>
    <t>Summary level</t>
  </si>
  <si>
    <t>Program label</t>
  </si>
  <si>
    <t>Program</t>
  </si>
  <si>
    <t>Sub-program</t>
  </si>
  <si>
    <t>Name</t>
  </si>
  <si>
    <t>Code</t>
  </si>
  <si>
    <t>Subsidized units available</t>
  </si>
  <si>
    <t>% Occupied</t>
  </si>
  <si>
    <t># Reported</t>
  </si>
  <si>
    <t>% Reported</t>
  </si>
  <si>
    <t>Average months since report</t>
  </si>
  <si>
    <t>% moved in past year</t>
  </si>
  <si>
    <t>Number of people per unit</t>
  </si>
  <si>
    <t>Number of people: total</t>
  </si>
  <si>
    <t>Average Family Expenditure per month ($$)</t>
  </si>
  <si>
    <t>Average HUD Expenditure per month ($$)</t>
  </si>
  <si>
    <t>Household income per year</t>
  </si>
  <si>
    <t>Household income per year per person</t>
  </si>
  <si>
    <t>% $1 - $4,999</t>
  </si>
  <si>
    <t>% $5,000 - $9,999</t>
  </si>
  <si>
    <t>% $10,000 - $14,999</t>
  </si>
  <si>
    <t>% $15,000 - $19,999</t>
  </si>
  <si>
    <t>% $20,000 or more</t>
  </si>
  <si>
    <t>% Households where wages are major source of income</t>
  </si>
  <si>
    <t>% Households where welfare is major source of income</t>
  </si>
  <si>
    <t>% Households with other major sources of income</t>
  </si>
  <si>
    <t>% of local median (Household income)</t>
  </si>
  <si>
    <t>% very low income</t>
  </si>
  <si>
    <t>% extremely low income</t>
  </si>
  <si>
    <t>% 2+ adults with children</t>
  </si>
  <si>
    <t>% 1 adult with children</t>
  </si>
  <si>
    <t>% female head</t>
  </si>
  <si>
    <t>% female head with children</t>
  </si>
  <si>
    <t>% with disability, among Head, Spouse, Co-head, aged 61 years or less</t>
  </si>
  <si>
    <t>% with disability, among Head, Spouse, Co-head, aged 62 years or older</t>
  </si>
  <si>
    <t>% with disability, among all persons in households</t>
  </si>
  <si>
    <t>% 24 years or less (Head or spouse)</t>
  </si>
  <si>
    <t>% 25 to 49 years (Head or spouse)</t>
  </si>
  <si>
    <t>% 51 to 60 (Head or spouse)</t>
  </si>
  <si>
    <t>% 62 or more (Head or spouse)</t>
  </si>
  <si>
    <t>% 85 or more (Head or spouse)</t>
  </si>
  <si>
    <t>% Minority</t>
  </si>
  <si>
    <t>%Black Non-Hispanic</t>
  </si>
  <si>
    <t xml:space="preserve"> %Black Hispanic</t>
  </si>
  <si>
    <t>%Native American Non-Hispanic</t>
  </si>
  <si>
    <t>%Asian or Pacific Islander Non-Hispanic</t>
  </si>
  <si>
    <t>% Hispanic</t>
  </si>
  <si>
    <t>Average months on waiting list</t>
  </si>
  <si>
    <t>Average months since moved in</t>
  </si>
  <si>
    <t>% with utility allowance</t>
  </si>
  <si>
    <t>Average utility allowance $$</t>
  </si>
  <si>
    <t>% 0 - 1 bedrooms:</t>
  </si>
  <si>
    <t>% 2 bedrooms</t>
  </si>
  <si>
    <t>% 3+ bedrooms</t>
  </si>
  <si>
    <t>% Overhoused</t>
  </si>
  <si>
    <t>% in poverty (Census tract)</t>
  </si>
  <si>
    <t>% minority (Census tract)</t>
  </si>
  <si>
    <t>% single family owners (Census tract)</t>
  </si>
  <si>
    <t>Congressional District</t>
  </si>
  <si>
    <t>CBSA</t>
  </si>
  <si>
    <t>PLACE</t>
  </si>
  <si>
    <t>Latitude</t>
  </si>
  <si>
    <t>Longitude</t>
  </si>
  <si>
    <t>State</t>
  </si>
  <si>
    <t>PHA Total Units</t>
  </si>
  <si>
    <t>HA category</t>
  </si>
  <si>
    <t>%White Hispanic</t>
  </si>
  <si>
    <t>%White Non-Hispanic</t>
  </si>
  <si>
    <t>% Multiple Race</t>
  </si>
  <si>
    <t>%Other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</si>
</sst>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8"/>
  <sheetViews>
    <sheetView tabSelected="1" workbookViewId="0"/>
  </sheetViews>
  <sheetFormatPr defaultRowHeight="15" x14ac:dyDescent="0.25"/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>
        <v>3</v>
      </c>
      <c r="B2" t="str">
        <f t="shared" ref="B2:B33" si="0">"Summary of All HUD Programs"</f>
        <v>Summary of All HUD Programs</v>
      </c>
      <c r="C2">
        <v>1</v>
      </c>
      <c r="D2" t="str">
        <f t="shared" ref="D2:D33" si="1">"NA"</f>
        <v>NA</v>
      </c>
      <c r="E2" t="str">
        <f>"AL Alabama"</f>
        <v>AL Alabama</v>
      </c>
      <c r="F2" t="str">
        <f>"01"</f>
        <v>01</v>
      </c>
      <c r="G2">
        <v>92593</v>
      </c>
      <c r="H2">
        <v>89</v>
      </c>
      <c r="I2">
        <v>82831</v>
      </c>
      <c r="J2">
        <v>100</v>
      </c>
      <c r="K2">
        <v>6</v>
      </c>
      <c r="L2">
        <v>13</v>
      </c>
      <c r="M2">
        <v>2.2000000000000002</v>
      </c>
      <c r="N2">
        <v>179778</v>
      </c>
      <c r="O2">
        <v>286</v>
      </c>
      <c r="P2">
        <v>604</v>
      </c>
      <c r="Q2">
        <v>12507</v>
      </c>
      <c r="R2">
        <v>5763</v>
      </c>
      <c r="S2">
        <v>14</v>
      </c>
      <c r="T2">
        <v>33</v>
      </c>
      <c r="U2">
        <v>24</v>
      </c>
      <c r="V2">
        <v>13</v>
      </c>
      <c r="W2">
        <v>16</v>
      </c>
      <c r="X2">
        <v>26</v>
      </c>
      <c r="Y2">
        <v>2</v>
      </c>
      <c r="Z2">
        <v>69</v>
      </c>
      <c r="AA2">
        <v>24</v>
      </c>
      <c r="AB2">
        <v>94</v>
      </c>
      <c r="AC2">
        <v>72</v>
      </c>
      <c r="AD2">
        <v>1</v>
      </c>
      <c r="AE2">
        <v>45</v>
      </c>
      <c r="AF2">
        <v>83</v>
      </c>
      <c r="AG2">
        <v>45</v>
      </c>
      <c r="AH2">
        <v>29</v>
      </c>
      <c r="AI2">
        <v>42</v>
      </c>
      <c r="AJ2">
        <v>17</v>
      </c>
      <c r="AK2">
        <v>6</v>
      </c>
      <c r="AL2">
        <v>50</v>
      </c>
      <c r="AM2">
        <v>16</v>
      </c>
      <c r="AN2">
        <v>27</v>
      </c>
      <c r="AO2">
        <v>2</v>
      </c>
      <c r="AP2">
        <v>75</v>
      </c>
      <c r="AQ2">
        <v>73</v>
      </c>
      <c r="AR2">
        <v>1</v>
      </c>
      <c r="AS2">
        <v>0</v>
      </c>
      <c r="AT2">
        <v>0</v>
      </c>
      <c r="AU2">
        <v>1</v>
      </c>
      <c r="AV2">
        <v>35</v>
      </c>
      <c r="AW2">
        <v>86</v>
      </c>
      <c r="AX2">
        <v>89</v>
      </c>
      <c r="AY2">
        <v>152</v>
      </c>
      <c r="AZ2">
        <v>30</v>
      </c>
      <c r="BA2">
        <v>34</v>
      </c>
      <c r="BB2">
        <v>36</v>
      </c>
      <c r="BC2">
        <v>23</v>
      </c>
      <c r="BD2">
        <v>29</v>
      </c>
      <c r="BE2">
        <v>57</v>
      </c>
      <c r="BF2">
        <v>64</v>
      </c>
      <c r="BG2" t="str">
        <f t="shared" ref="BG2:BK11" si="2">"NA"</f>
        <v>NA</v>
      </c>
      <c r="BH2" t="str">
        <f t="shared" si="2"/>
        <v>NA</v>
      </c>
      <c r="BI2" t="str">
        <f t="shared" si="2"/>
        <v>NA</v>
      </c>
      <c r="BJ2" t="str">
        <f t="shared" si="2"/>
        <v>NA</v>
      </c>
      <c r="BK2" t="str">
        <f t="shared" si="2"/>
        <v>NA</v>
      </c>
      <c r="BL2" t="str">
        <f>"AL"</f>
        <v>AL</v>
      </c>
      <c r="BM2" t="str">
        <f t="shared" ref="BM2:BN21" si="3">"NA"</f>
        <v>NA</v>
      </c>
      <c r="BN2" t="str">
        <f t="shared" si="3"/>
        <v>NA</v>
      </c>
      <c r="BO2">
        <v>1</v>
      </c>
      <c r="BP2">
        <v>25</v>
      </c>
      <c r="BQ2">
        <v>0</v>
      </c>
      <c r="BR2">
        <v>0</v>
      </c>
    </row>
    <row r="3" spans="1:70" x14ac:dyDescent="0.25">
      <c r="A3">
        <v>3</v>
      </c>
      <c r="B3" t="str">
        <f t="shared" si="0"/>
        <v>Summary of All HUD Programs</v>
      </c>
      <c r="C3">
        <v>1</v>
      </c>
      <c r="D3" t="str">
        <f t="shared" si="1"/>
        <v>NA</v>
      </c>
      <c r="E3" t="str">
        <f>"AK Alaska"</f>
        <v>AK Alaska</v>
      </c>
      <c r="F3" t="str">
        <f>"02"</f>
        <v>02</v>
      </c>
      <c r="G3">
        <v>7838</v>
      </c>
      <c r="H3">
        <v>97</v>
      </c>
      <c r="I3">
        <v>7522</v>
      </c>
      <c r="J3">
        <v>99</v>
      </c>
      <c r="K3">
        <v>9</v>
      </c>
      <c r="L3">
        <v>16</v>
      </c>
      <c r="M3">
        <v>2</v>
      </c>
      <c r="N3">
        <v>14993</v>
      </c>
      <c r="O3">
        <v>520</v>
      </c>
      <c r="P3">
        <v>680</v>
      </c>
      <c r="Q3">
        <v>20101</v>
      </c>
      <c r="R3">
        <v>10085</v>
      </c>
      <c r="S3">
        <v>8</v>
      </c>
      <c r="T3">
        <v>6</v>
      </c>
      <c r="U3">
        <v>19</v>
      </c>
      <c r="V3">
        <v>34</v>
      </c>
      <c r="W3">
        <v>34</v>
      </c>
      <c r="X3">
        <v>21</v>
      </c>
      <c r="Y3">
        <v>5</v>
      </c>
      <c r="Z3">
        <v>73</v>
      </c>
      <c r="AA3">
        <v>25</v>
      </c>
      <c r="AB3">
        <v>95</v>
      </c>
      <c r="AC3">
        <v>75</v>
      </c>
      <c r="AD3">
        <v>8</v>
      </c>
      <c r="AE3">
        <v>25</v>
      </c>
      <c r="AF3">
        <v>66</v>
      </c>
      <c r="AG3">
        <v>27</v>
      </c>
      <c r="AH3">
        <v>43</v>
      </c>
      <c r="AI3">
        <v>48</v>
      </c>
      <c r="AJ3">
        <v>25</v>
      </c>
      <c r="AK3">
        <v>3</v>
      </c>
      <c r="AL3">
        <v>41</v>
      </c>
      <c r="AM3">
        <v>21</v>
      </c>
      <c r="AN3">
        <v>35</v>
      </c>
      <c r="AO3">
        <v>2</v>
      </c>
      <c r="AP3">
        <v>54</v>
      </c>
      <c r="AQ3">
        <v>14</v>
      </c>
      <c r="AR3">
        <v>1</v>
      </c>
      <c r="AS3">
        <v>22</v>
      </c>
      <c r="AT3">
        <v>11</v>
      </c>
      <c r="AU3">
        <v>7</v>
      </c>
      <c r="AV3">
        <v>12</v>
      </c>
      <c r="AW3">
        <v>72</v>
      </c>
      <c r="AX3">
        <v>55</v>
      </c>
      <c r="AY3">
        <v>118</v>
      </c>
      <c r="AZ3">
        <v>45</v>
      </c>
      <c r="BA3">
        <v>35</v>
      </c>
      <c r="BB3">
        <v>21</v>
      </c>
      <c r="BC3">
        <v>19</v>
      </c>
      <c r="BD3">
        <v>14</v>
      </c>
      <c r="BE3">
        <v>42</v>
      </c>
      <c r="BF3">
        <v>41</v>
      </c>
      <c r="BG3" t="str">
        <f t="shared" si="2"/>
        <v>NA</v>
      </c>
      <c r="BH3" t="str">
        <f t="shared" si="2"/>
        <v>NA</v>
      </c>
      <c r="BI3" t="str">
        <f t="shared" si="2"/>
        <v>NA</v>
      </c>
      <c r="BJ3" t="str">
        <f t="shared" si="2"/>
        <v>NA</v>
      </c>
      <c r="BK3" t="str">
        <f t="shared" si="2"/>
        <v>NA</v>
      </c>
      <c r="BL3" t="str">
        <f>"AK"</f>
        <v>AK</v>
      </c>
      <c r="BM3" t="str">
        <f t="shared" si="3"/>
        <v>NA</v>
      </c>
      <c r="BN3" t="str">
        <f t="shared" si="3"/>
        <v>NA</v>
      </c>
      <c r="BO3">
        <v>4</v>
      </c>
      <c r="BP3">
        <v>45</v>
      </c>
      <c r="BQ3">
        <v>8</v>
      </c>
      <c r="BR3">
        <v>2</v>
      </c>
    </row>
    <row r="4" spans="1:70" x14ac:dyDescent="0.25">
      <c r="A4">
        <v>3</v>
      </c>
      <c r="B4" t="str">
        <f t="shared" si="0"/>
        <v>Summary of All HUD Programs</v>
      </c>
      <c r="C4">
        <v>1</v>
      </c>
      <c r="D4" t="str">
        <f t="shared" si="1"/>
        <v>NA</v>
      </c>
      <c r="E4" t="str">
        <f>"AZ Arizona"</f>
        <v>AZ Arizona</v>
      </c>
      <c r="F4" t="str">
        <f>"04"</f>
        <v>04</v>
      </c>
      <c r="G4">
        <v>41211</v>
      </c>
      <c r="H4">
        <v>92</v>
      </c>
      <c r="I4">
        <v>39353</v>
      </c>
      <c r="J4">
        <v>100</v>
      </c>
      <c r="K4">
        <v>6</v>
      </c>
      <c r="L4">
        <v>12</v>
      </c>
      <c r="M4">
        <v>2.2000000000000002</v>
      </c>
      <c r="N4">
        <v>87510</v>
      </c>
      <c r="O4">
        <v>325</v>
      </c>
      <c r="P4">
        <v>717</v>
      </c>
      <c r="Q4">
        <v>13297</v>
      </c>
      <c r="R4">
        <v>5980</v>
      </c>
      <c r="S4">
        <v>10</v>
      </c>
      <c r="T4">
        <v>33</v>
      </c>
      <c r="U4">
        <v>25</v>
      </c>
      <c r="V4">
        <v>13</v>
      </c>
      <c r="W4">
        <v>19</v>
      </c>
      <c r="X4">
        <v>20</v>
      </c>
      <c r="Y4">
        <v>1</v>
      </c>
      <c r="Z4">
        <v>72</v>
      </c>
      <c r="AA4">
        <v>23</v>
      </c>
      <c r="AB4">
        <v>94</v>
      </c>
      <c r="AC4">
        <v>75</v>
      </c>
      <c r="AD4">
        <v>5</v>
      </c>
      <c r="AE4">
        <v>31</v>
      </c>
      <c r="AF4">
        <v>72</v>
      </c>
      <c r="AG4">
        <v>32</v>
      </c>
      <c r="AH4">
        <v>35</v>
      </c>
      <c r="AI4">
        <v>43</v>
      </c>
      <c r="AJ4">
        <v>21</v>
      </c>
      <c r="AK4">
        <v>2</v>
      </c>
      <c r="AL4">
        <v>40</v>
      </c>
      <c r="AM4">
        <v>20</v>
      </c>
      <c r="AN4">
        <v>39</v>
      </c>
      <c r="AO4">
        <v>3</v>
      </c>
      <c r="AP4">
        <v>63</v>
      </c>
      <c r="AQ4">
        <v>23</v>
      </c>
      <c r="AR4">
        <v>1</v>
      </c>
      <c r="AS4">
        <v>3</v>
      </c>
      <c r="AT4">
        <v>2</v>
      </c>
      <c r="AU4">
        <v>35</v>
      </c>
      <c r="AV4">
        <v>27</v>
      </c>
      <c r="AW4">
        <v>94</v>
      </c>
      <c r="AX4">
        <v>68</v>
      </c>
      <c r="AY4">
        <v>144</v>
      </c>
      <c r="AZ4">
        <v>48</v>
      </c>
      <c r="BA4">
        <v>25</v>
      </c>
      <c r="BB4">
        <v>27</v>
      </c>
      <c r="BC4">
        <v>11</v>
      </c>
      <c r="BD4">
        <v>27</v>
      </c>
      <c r="BE4">
        <v>61</v>
      </c>
      <c r="BF4">
        <v>49</v>
      </c>
      <c r="BG4" t="str">
        <f t="shared" si="2"/>
        <v>NA</v>
      </c>
      <c r="BH4" t="str">
        <f t="shared" si="2"/>
        <v>NA</v>
      </c>
      <c r="BI4" t="str">
        <f t="shared" si="2"/>
        <v>NA</v>
      </c>
      <c r="BJ4" t="str">
        <f t="shared" si="2"/>
        <v>NA</v>
      </c>
      <c r="BK4" t="str">
        <f t="shared" si="2"/>
        <v>NA</v>
      </c>
      <c r="BL4" t="str">
        <f>"AZ"</f>
        <v>AZ</v>
      </c>
      <c r="BM4" t="str">
        <f t="shared" si="3"/>
        <v>NA</v>
      </c>
      <c r="BN4" t="str">
        <f t="shared" si="3"/>
        <v>NA</v>
      </c>
      <c r="BO4">
        <v>31</v>
      </c>
      <c r="BP4">
        <v>35</v>
      </c>
      <c r="BQ4">
        <v>1</v>
      </c>
      <c r="BR4">
        <v>4</v>
      </c>
    </row>
    <row r="5" spans="1:70" x14ac:dyDescent="0.25">
      <c r="A5">
        <v>3</v>
      </c>
      <c r="B5" t="str">
        <f t="shared" si="0"/>
        <v>Summary of All HUD Programs</v>
      </c>
      <c r="C5">
        <v>1</v>
      </c>
      <c r="D5" t="str">
        <f t="shared" si="1"/>
        <v>NA</v>
      </c>
      <c r="E5" t="str">
        <f>"AR Arkansas"</f>
        <v>AR Arkansas</v>
      </c>
      <c r="F5" t="str">
        <f>"05"</f>
        <v>05</v>
      </c>
      <c r="G5">
        <v>51000</v>
      </c>
      <c r="H5">
        <v>88</v>
      </c>
      <c r="I5">
        <v>45387</v>
      </c>
      <c r="J5">
        <v>100</v>
      </c>
      <c r="K5">
        <v>6</v>
      </c>
      <c r="L5">
        <v>18</v>
      </c>
      <c r="M5">
        <v>1.9</v>
      </c>
      <c r="N5">
        <v>87578</v>
      </c>
      <c r="O5">
        <v>278</v>
      </c>
      <c r="P5">
        <v>478</v>
      </c>
      <c r="Q5">
        <v>11923</v>
      </c>
      <c r="R5">
        <v>6179</v>
      </c>
      <c r="S5">
        <v>12</v>
      </c>
      <c r="T5">
        <v>37</v>
      </c>
      <c r="U5">
        <v>26</v>
      </c>
      <c r="V5">
        <v>14</v>
      </c>
      <c r="W5">
        <v>12</v>
      </c>
      <c r="X5">
        <v>19</v>
      </c>
      <c r="Y5">
        <v>1</v>
      </c>
      <c r="Z5">
        <v>76</v>
      </c>
      <c r="AA5">
        <v>26</v>
      </c>
      <c r="AB5">
        <v>94</v>
      </c>
      <c r="AC5">
        <v>69</v>
      </c>
      <c r="AD5">
        <v>2</v>
      </c>
      <c r="AE5">
        <v>35</v>
      </c>
      <c r="AF5">
        <v>76</v>
      </c>
      <c r="AG5">
        <v>34</v>
      </c>
      <c r="AH5">
        <v>40</v>
      </c>
      <c r="AI5">
        <v>44</v>
      </c>
      <c r="AJ5">
        <v>25</v>
      </c>
      <c r="AK5">
        <v>7</v>
      </c>
      <c r="AL5">
        <v>43</v>
      </c>
      <c r="AM5">
        <v>19</v>
      </c>
      <c r="AN5">
        <v>31</v>
      </c>
      <c r="AO5">
        <v>2</v>
      </c>
      <c r="AP5">
        <v>55</v>
      </c>
      <c r="AQ5">
        <v>52</v>
      </c>
      <c r="AR5">
        <v>0</v>
      </c>
      <c r="AS5">
        <v>1</v>
      </c>
      <c r="AT5">
        <v>0</v>
      </c>
      <c r="AU5">
        <v>2</v>
      </c>
      <c r="AV5">
        <v>14</v>
      </c>
      <c r="AW5">
        <v>66</v>
      </c>
      <c r="AX5">
        <v>82</v>
      </c>
      <c r="AY5">
        <v>107</v>
      </c>
      <c r="AZ5">
        <v>43</v>
      </c>
      <c r="BA5">
        <v>31</v>
      </c>
      <c r="BB5">
        <v>26</v>
      </c>
      <c r="BC5">
        <v>18</v>
      </c>
      <c r="BD5">
        <v>27</v>
      </c>
      <c r="BE5">
        <v>42</v>
      </c>
      <c r="BF5">
        <v>64</v>
      </c>
      <c r="BG5" t="str">
        <f t="shared" si="2"/>
        <v>NA</v>
      </c>
      <c r="BH5" t="str">
        <f t="shared" si="2"/>
        <v>NA</v>
      </c>
      <c r="BI5" t="str">
        <f t="shared" si="2"/>
        <v>NA</v>
      </c>
      <c r="BJ5" t="str">
        <f t="shared" si="2"/>
        <v>NA</v>
      </c>
      <c r="BK5" t="str">
        <f t="shared" si="2"/>
        <v>NA</v>
      </c>
      <c r="BL5" t="str">
        <f>"AR"</f>
        <v>AR</v>
      </c>
      <c r="BM5" t="str">
        <f t="shared" si="3"/>
        <v>NA</v>
      </c>
      <c r="BN5" t="str">
        <f t="shared" si="3"/>
        <v>NA</v>
      </c>
      <c r="BO5">
        <v>2</v>
      </c>
      <c r="BP5">
        <v>44</v>
      </c>
      <c r="BQ5">
        <v>1</v>
      </c>
      <c r="BR5">
        <v>0</v>
      </c>
    </row>
    <row r="6" spans="1:70" x14ac:dyDescent="0.25">
      <c r="A6">
        <v>3</v>
      </c>
      <c r="B6" t="str">
        <f t="shared" si="0"/>
        <v>Summary of All HUD Programs</v>
      </c>
      <c r="C6">
        <v>1</v>
      </c>
      <c r="D6" t="str">
        <f t="shared" si="1"/>
        <v>NA</v>
      </c>
      <c r="E6" t="str">
        <f>"CA California"</f>
        <v>CA California</v>
      </c>
      <c r="F6" t="str">
        <f>"06"</f>
        <v>06</v>
      </c>
      <c r="G6">
        <v>496899</v>
      </c>
      <c r="H6">
        <v>90</v>
      </c>
      <c r="I6">
        <v>453769</v>
      </c>
      <c r="J6">
        <v>100</v>
      </c>
      <c r="K6">
        <v>7</v>
      </c>
      <c r="L6">
        <v>6</v>
      </c>
      <c r="M6">
        <v>2.1</v>
      </c>
      <c r="N6">
        <v>931806</v>
      </c>
      <c r="O6">
        <v>463</v>
      </c>
      <c r="P6">
        <v>1171</v>
      </c>
      <c r="Q6">
        <v>17985</v>
      </c>
      <c r="R6">
        <v>8758</v>
      </c>
      <c r="S6">
        <v>4</v>
      </c>
      <c r="T6">
        <v>8</v>
      </c>
      <c r="U6">
        <v>44</v>
      </c>
      <c r="V6">
        <v>16</v>
      </c>
      <c r="W6">
        <v>28</v>
      </c>
      <c r="X6">
        <v>21</v>
      </c>
      <c r="Y6">
        <v>8</v>
      </c>
      <c r="Z6">
        <v>70</v>
      </c>
      <c r="AA6">
        <v>21</v>
      </c>
      <c r="AB6">
        <v>96</v>
      </c>
      <c r="AC6">
        <v>82</v>
      </c>
      <c r="AD6">
        <v>6</v>
      </c>
      <c r="AE6">
        <v>22</v>
      </c>
      <c r="AF6">
        <v>70</v>
      </c>
      <c r="AG6">
        <v>24</v>
      </c>
      <c r="AH6">
        <v>34</v>
      </c>
      <c r="AI6">
        <v>49</v>
      </c>
      <c r="AJ6">
        <v>24</v>
      </c>
      <c r="AK6">
        <v>2</v>
      </c>
      <c r="AL6">
        <v>31</v>
      </c>
      <c r="AM6">
        <v>19</v>
      </c>
      <c r="AN6">
        <v>48</v>
      </c>
      <c r="AO6">
        <v>7</v>
      </c>
      <c r="AP6">
        <v>72</v>
      </c>
      <c r="AQ6">
        <v>27</v>
      </c>
      <c r="AR6">
        <v>1</v>
      </c>
      <c r="AS6">
        <v>1</v>
      </c>
      <c r="AT6">
        <v>16</v>
      </c>
      <c r="AU6">
        <v>28</v>
      </c>
      <c r="AV6">
        <v>34</v>
      </c>
      <c r="AW6">
        <v>147</v>
      </c>
      <c r="AX6">
        <v>80</v>
      </c>
      <c r="AY6">
        <v>86</v>
      </c>
      <c r="AZ6">
        <v>48</v>
      </c>
      <c r="BA6">
        <v>31</v>
      </c>
      <c r="BB6">
        <v>21</v>
      </c>
      <c r="BC6">
        <v>14</v>
      </c>
      <c r="BD6">
        <v>22</v>
      </c>
      <c r="BE6">
        <v>70</v>
      </c>
      <c r="BF6">
        <v>42</v>
      </c>
      <c r="BG6" t="str">
        <f t="shared" si="2"/>
        <v>NA</v>
      </c>
      <c r="BH6" t="str">
        <f t="shared" si="2"/>
        <v>NA</v>
      </c>
      <c r="BI6" t="str">
        <f t="shared" si="2"/>
        <v>NA</v>
      </c>
      <c r="BJ6" t="str">
        <f t="shared" si="2"/>
        <v>NA</v>
      </c>
      <c r="BK6" t="str">
        <f t="shared" si="2"/>
        <v>NA</v>
      </c>
      <c r="BL6" t="str">
        <f>"CA"</f>
        <v>CA</v>
      </c>
      <c r="BM6" t="str">
        <f t="shared" si="3"/>
        <v>NA</v>
      </c>
      <c r="BN6" t="str">
        <f t="shared" si="3"/>
        <v>NA</v>
      </c>
      <c r="BO6">
        <v>24</v>
      </c>
      <c r="BP6">
        <v>27</v>
      </c>
      <c r="BQ6">
        <v>1</v>
      </c>
      <c r="BR6">
        <v>4</v>
      </c>
    </row>
    <row r="7" spans="1:70" x14ac:dyDescent="0.25">
      <c r="A7">
        <v>3</v>
      </c>
      <c r="B7" t="str">
        <f t="shared" si="0"/>
        <v>Summary of All HUD Programs</v>
      </c>
      <c r="C7">
        <v>1</v>
      </c>
      <c r="D7" t="str">
        <f t="shared" si="1"/>
        <v>NA</v>
      </c>
      <c r="E7" t="str">
        <f>"CO Colorado"</f>
        <v>CO Colorado</v>
      </c>
      <c r="F7" t="str">
        <f>"08"</f>
        <v>08</v>
      </c>
      <c r="G7">
        <v>62371</v>
      </c>
      <c r="H7">
        <v>89</v>
      </c>
      <c r="I7">
        <v>57044</v>
      </c>
      <c r="J7">
        <v>100</v>
      </c>
      <c r="K7">
        <v>6</v>
      </c>
      <c r="L7">
        <v>10</v>
      </c>
      <c r="M7">
        <v>2</v>
      </c>
      <c r="N7">
        <v>113136</v>
      </c>
      <c r="O7">
        <v>343</v>
      </c>
      <c r="P7">
        <v>859</v>
      </c>
      <c r="Q7">
        <v>13943</v>
      </c>
      <c r="R7">
        <v>7030</v>
      </c>
      <c r="S7">
        <v>9</v>
      </c>
      <c r="T7">
        <v>30</v>
      </c>
      <c r="U7">
        <v>27</v>
      </c>
      <c r="V7">
        <v>15</v>
      </c>
      <c r="W7">
        <v>20</v>
      </c>
      <c r="X7">
        <v>18</v>
      </c>
      <c r="Y7">
        <v>5</v>
      </c>
      <c r="Z7">
        <v>71</v>
      </c>
      <c r="AA7">
        <v>19</v>
      </c>
      <c r="AB7">
        <v>97</v>
      </c>
      <c r="AC7">
        <v>83</v>
      </c>
      <c r="AD7">
        <v>5</v>
      </c>
      <c r="AE7">
        <v>29</v>
      </c>
      <c r="AF7">
        <v>70</v>
      </c>
      <c r="AG7">
        <v>29</v>
      </c>
      <c r="AH7">
        <v>43</v>
      </c>
      <c r="AI7">
        <v>49</v>
      </c>
      <c r="AJ7">
        <v>26</v>
      </c>
      <c r="AK7">
        <v>3</v>
      </c>
      <c r="AL7">
        <v>38</v>
      </c>
      <c r="AM7">
        <v>21</v>
      </c>
      <c r="AN7">
        <v>38</v>
      </c>
      <c r="AO7">
        <v>3</v>
      </c>
      <c r="AP7">
        <v>53</v>
      </c>
      <c r="AQ7">
        <v>20</v>
      </c>
      <c r="AR7">
        <v>1</v>
      </c>
      <c r="AS7">
        <v>1</v>
      </c>
      <c r="AT7">
        <v>2</v>
      </c>
      <c r="AU7">
        <v>29</v>
      </c>
      <c r="AV7">
        <v>17</v>
      </c>
      <c r="AW7">
        <v>96</v>
      </c>
      <c r="AX7">
        <v>61</v>
      </c>
      <c r="AY7">
        <v>96</v>
      </c>
      <c r="AZ7">
        <v>48</v>
      </c>
      <c r="BA7">
        <v>28</v>
      </c>
      <c r="BB7">
        <v>23</v>
      </c>
      <c r="BC7">
        <v>14</v>
      </c>
      <c r="BD7">
        <v>18</v>
      </c>
      <c r="BE7">
        <v>44</v>
      </c>
      <c r="BF7">
        <v>49</v>
      </c>
      <c r="BG7" t="str">
        <f t="shared" si="2"/>
        <v>NA</v>
      </c>
      <c r="BH7" t="str">
        <f t="shared" si="2"/>
        <v>NA</v>
      </c>
      <c r="BI7" t="str">
        <f t="shared" si="2"/>
        <v>NA</v>
      </c>
      <c r="BJ7" t="str">
        <f t="shared" si="2"/>
        <v>NA</v>
      </c>
      <c r="BK7" t="str">
        <f t="shared" si="2"/>
        <v>NA</v>
      </c>
      <c r="BL7" t="str">
        <f>"CO"</f>
        <v>CO</v>
      </c>
      <c r="BM7" t="str">
        <f t="shared" si="3"/>
        <v>NA</v>
      </c>
      <c r="BN7" t="str">
        <f t="shared" si="3"/>
        <v>NA</v>
      </c>
      <c r="BO7">
        <v>25</v>
      </c>
      <c r="BP7">
        <v>44</v>
      </c>
      <c r="BQ7">
        <v>1</v>
      </c>
      <c r="BR7">
        <v>4</v>
      </c>
    </row>
    <row r="8" spans="1:70" x14ac:dyDescent="0.25">
      <c r="A8">
        <v>3</v>
      </c>
      <c r="B8" t="str">
        <f t="shared" si="0"/>
        <v>Summary of All HUD Programs</v>
      </c>
      <c r="C8">
        <v>1</v>
      </c>
      <c r="D8" t="str">
        <f t="shared" si="1"/>
        <v>NA</v>
      </c>
      <c r="E8" t="str">
        <f>"CT Connecticut"</f>
        <v>CT Connecticut</v>
      </c>
      <c r="F8" t="str">
        <f>"09"</f>
        <v>09</v>
      </c>
      <c r="G8">
        <v>82678</v>
      </c>
      <c r="H8">
        <v>91</v>
      </c>
      <c r="I8">
        <v>75674</v>
      </c>
      <c r="J8">
        <v>100</v>
      </c>
      <c r="K8">
        <v>6</v>
      </c>
      <c r="L8">
        <v>7</v>
      </c>
      <c r="M8">
        <v>2</v>
      </c>
      <c r="N8">
        <v>148478</v>
      </c>
      <c r="O8">
        <v>402</v>
      </c>
      <c r="P8">
        <v>956</v>
      </c>
      <c r="Q8">
        <v>16419</v>
      </c>
      <c r="R8">
        <v>8368</v>
      </c>
      <c r="S8">
        <v>7</v>
      </c>
      <c r="T8">
        <v>28</v>
      </c>
      <c r="U8">
        <v>21</v>
      </c>
      <c r="V8">
        <v>15</v>
      </c>
      <c r="W8">
        <v>29</v>
      </c>
      <c r="X8">
        <v>24</v>
      </c>
      <c r="Y8">
        <v>2</v>
      </c>
      <c r="Z8">
        <v>70</v>
      </c>
      <c r="AA8">
        <v>19</v>
      </c>
      <c r="AB8">
        <v>97</v>
      </c>
      <c r="AC8">
        <v>83</v>
      </c>
      <c r="AD8">
        <v>3</v>
      </c>
      <c r="AE8">
        <v>30</v>
      </c>
      <c r="AF8">
        <v>77</v>
      </c>
      <c r="AG8">
        <v>30</v>
      </c>
      <c r="AH8">
        <v>31</v>
      </c>
      <c r="AI8">
        <v>42</v>
      </c>
      <c r="AJ8">
        <v>22</v>
      </c>
      <c r="AK8">
        <v>2</v>
      </c>
      <c r="AL8">
        <v>38</v>
      </c>
      <c r="AM8">
        <v>20</v>
      </c>
      <c r="AN8">
        <v>40</v>
      </c>
      <c r="AO8">
        <v>5</v>
      </c>
      <c r="AP8">
        <v>71</v>
      </c>
      <c r="AQ8">
        <v>30</v>
      </c>
      <c r="AR8">
        <v>2</v>
      </c>
      <c r="AS8">
        <v>0</v>
      </c>
      <c r="AT8">
        <v>1</v>
      </c>
      <c r="AU8">
        <v>40</v>
      </c>
      <c r="AV8">
        <v>29</v>
      </c>
      <c r="AW8">
        <v>131</v>
      </c>
      <c r="AX8">
        <v>70</v>
      </c>
      <c r="AY8">
        <v>148</v>
      </c>
      <c r="AZ8">
        <v>48</v>
      </c>
      <c r="BA8">
        <v>28</v>
      </c>
      <c r="BB8">
        <v>24</v>
      </c>
      <c r="BC8">
        <v>12</v>
      </c>
      <c r="BD8">
        <v>22</v>
      </c>
      <c r="BE8">
        <v>58</v>
      </c>
      <c r="BF8">
        <v>29</v>
      </c>
      <c r="BG8" t="str">
        <f t="shared" si="2"/>
        <v>NA</v>
      </c>
      <c r="BH8" t="str">
        <f t="shared" si="2"/>
        <v>NA</v>
      </c>
      <c r="BI8" t="str">
        <f t="shared" si="2"/>
        <v>NA</v>
      </c>
      <c r="BJ8" t="str">
        <f t="shared" si="2"/>
        <v>NA</v>
      </c>
      <c r="BK8" t="str">
        <f t="shared" si="2"/>
        <v>NA</v>
      </c>
      <c r="BL8" t="str">
        <f>"CT"</f>
        <v>CT</v>
      </c>
      <c r="BM8" t="str">
        <f t="shared" si="3"/>
        <v>NA</v>
      </c>
      <c r="BN8" t="str">
        <f t="shared" si="3"/>
        <v>NA</v>
      </c>
      <c r="BO8">
        <v>33</v>
      </c>
      <c r="BP8">
        <v>27</v>
      </c>
      <c r="BQ8">
        <v>1</v>
      </c>
      <c r="BR8">
        <v>6</v>
      </c>
    </row>
    <row r="9" spans="1:70" x14ac:dyDescent="0.25">
      <c r="A9">
        <v>3</v>
      </c>
      <c r="B9" t="str">
        <f t="shared" si="0"/>
        <v>Summary of All HUD Programs</v>
      </c>
      <c r="C9">
        <v>1</v>
      </c>
      <c r="D9" t="str">
        <f t="shared" si="1"/>
        <v>NA</v>
      </c>
      <c r="E9" t="str">
        <f>"DE Delaware"</f>
        <v>DE Delaware</v>
      </c>
      <c r="F9" t="str">
        <f>"10"</f>
        <v>10</v>
      </c>
      <c r="G9">
        <v>13082</v>
      </c>
      <c r="H9">
        <v>91</v>
      </c>
      <c r="I9">
        <v>12028</v>
      </c>
      <c r="J9">
        <v>100</v>
      </c>
      <c r="K9">
        <v>6</v>
      </c>
      <c r="L9">
        <v>10</v>
      </c>
      <c r="M9">
        <v>2.1</v>
      </c>
      <c r="N9">
        <v>25003</v>
      </c>
      <c r="O9">
        <v>358</v>
      </c>
      <c r="P9">
        <v>783</v>
      </c>
      <c r="Q9">
        <v>14735</v>
      </c>
      <c r="R9">
        <v>7089</v>
      </c>
      <c r="S9">
        <v>9</v>
      </c>
      <c r="T9">
        <v>25</v>
      </c>
      <c r="U9">
        <v>24</v>
      </c>
      <c r="V9">
        <v>16</v>
      </c>
      <c r="W9">
        <v>26</v>
      </c>
      <c r="X9">
        <v>25</v>
      </c>
      <c r="Y9">
        <v>3</v>
      </c>
      <c r="Z9">
        <v>66</v>
      </c>
      <c r="AA9">
        <v>21</v>
      </c>
      <c r="AB9">
        <v>96</v>
      </c>
      <c r="AC9">
        <v>78</v>
      </c>
      <c r="AD9">
        <v>3</v>
      </c>
      <c r="AE9">
        <v>37</v>
      </c>
      <c r="AF9">
        <v>80</v>
      </c>
      <c r="AG9">
        <v>37</v>
      </c>
      <c r="AH9">
        <v>31</v>
      </c>
      <c r="AI9">
        <v>37</v>
      </c>
      <c r="AJ9">
        <v>18</v>
      </c>
      <c r="AK9">
        <v>5</v>
      </c>
      <c r="AL9">
        <v>42</v>
      </c>
      <c r="AM9">
        <v>18</v>
      </c>
      <c r="AN9">
        <v>36</v>
      </c>
      <c r="AO9">
        <v>3</v>
      </c>
      <c r="AP9">
        <v>78</v>
      </c>
      <c r="AQ9">
        <v>69</v>
      </c>
      <c r="AR9">
        <v>1</v>
      </c>
      <c r="AS9">
        <v>0</v>
      </c>
      <c r="AT9">
        <v>1</v>
      </c>
      <c r="AU9">
        <v>7</v>
      </c>
      <c r="AV9">
        <v>29</v>
      </c>
      <c r="AW9">
        <v>101</v>
      </c>
      <c r="AX9">
        <v>70</v>
      </c>
      <c r="AY9">
        <v>133</v>
      </c>
      <c r="AZ9">
        <v>44</v>
      </c>
      <c r="BA9">
        <v>27</v>
      </c>
      <c r="BB9">
        <v>30</v>
      </c>
      <c r="BC9">
        <v>15</v>
      </c>
      <c r="BD9">
        <v>23</v>
      </c>
      <c r="BE9">
        <v>59</v>
      </c>
      <c r="BF9">
        <v>31</v>
      </c>
      <c r="BG9" t="str">
        <f t="shared" si="2"/>
        <v>NA</v>
      </c>
      <c r="BH9" t="str">
        <f t="shared" si="2"/>
        <v>NA</v>
      </c>
      <c r="BI9" t="str">
        <f t="shared" si="2"/>
        <v>NA</v>
      </c>
      <c r="BJ9" t="str">
        <f t="shared" si="2"/>
        <v>NA</v>
      </c>
      <c r="BK9" t="str">
        <f t="shared" si="2"/>
        <v>NA</v>
      </c>
      <c r="BL9" t="str">
        <f>"DE"</f>
        <v>DE</v>
      </c>
      <c r="BM9" t="str">
        <f t="shared" si="3"/>
        <v>NA</v>
      </c>
      <c r="BN9" t="str">
        <f t="shared" si="3"/>
        <v>NA</v>
      </c>
      <c r="BO9">
        <v>4</v>
      </c>
      <c r="BP9">
        <v>21</v>
      </c>
      <c r="BQ9">
        <v>1</v>
      </c>
      <c r="BR9">
        <v>2</v>
      </c>
    </row>
    <row r="10" spans="1:70" x14ac:dyDescent="0.25">
      <c r="A10">
        <v>3</v>
      </c>
      <c r="B10" t="str">
        <f t="shared" si="0"/>
        <v>Summary of All HUD Programs</v>
      </c>
      <c r="C10">
        <v>1</v>
      </c>
      <c r="D10" t="str">
        <f t="shared" si="1"/>
        <v>NA</v>
      </c>
      <c r="E10" t="str">
        <f>"DC District of Columbia"</f>
        <v>DC District of Columbia</v>
      </c>
      <c r="F10" t="str">
        <f>"11"</f>
        <v>11</v>
      </c>
      <c r="G10">
        <v>34444</v>
      </c>
      <c r="H10">
        <v>82</v>
      </c>
      <c r="I10">
        <v>26918</v>
      </c>
      <c r="J10">
        <v>95</v>
      </c>
      <c r="K10">
        <v>11</v>
      </c>
      <c r="L10">
        <v>3</v>
      </c>
      <c r="M10">
        <v>2</v>
      </c>
      <c r="N10">
        <v>54975</v>
      </c>
      <c r="O10">
        <v>366</v>
      </c>
      <c r="P10">
        <v>1322</v>
      </c>
      <c r="Q10">
        <v>15932</v>
      </c>
      <c r="R10">
        <v>7801</v>
      </c>
      <c r="S10">
        <v>6</v>
      </c>
      <c r="T10">
        <v>35</v>
      </c>
      <c r="U10">
        <v>19</v>
      </c>
      <c r="V10">
        <v>12</v>
      </c>
      <c r="W10">
        <v>28</v>
      </c>
      <c r="X10">
        <v>22</v>
      </c>
      <c r="Y10">
        <v>8</v>
      </c>
      <c r="Z10">
        <v>59</v>
      </c>
      <c r="AA10">
        <v>16</v>
      </c>
      <c r="AB10">
        <v>97</v>
      </c>
      <c r="AC10">
        <v>86</v>
      </c>
      <c r="AD10">
        <v>1</v>
      </c>
      <c r="AE10">
        <v>32</v>
      </c>
      <c r="AF10">
        <v>76</v>
      </c>
      <c r="AG10">
        <v>31</v>
      </c>
      <c r="AH10">
        <v>25</v>
      </c>
      <c r="AI10">
        <v>41</v>
      </c>
      <c r="AJ10">
        <v>19</v>
      </c>
      <c r="AK10">
        <v>1</v>
      </c>
      <c r="AL10">
        <v>39</v>
      </c>
      <c r="AM10">
        <v>23</v>
      </c>
      <c r="AN10">
        <v>36</v>
      </c>
      <c r="AO10">
        <v>3</v>
      </c>
      <c r="AP10">
        <v>97</v>
      </c>
      <c r="AQ10">
        <v>91</v>
      </c>
      <c r="AR10">
        <v>2</v>
      </c>
      <c r="AS10">
        <v>0</v>
      </c>
      <c r="AT10">
        <v>2</v>
      </c>
      <c r="AU10">
        <v>4</v>
      </c>
      <c r="AV10">
        <v>44</v>
      </c>
      <c r="AW10">
        <v>329</v>
      </c>
      <c r="AX10">
        <v>59</v>
      </c>
      <c r="AY10">
        <v>160</v>
      </c>
      <c r="AZ10">
        <v>46</v>
      </c>
      <c r="BA10">
        <v>32</v>
      </c>
      <c r="BB10">
        <v>23</v>
      </c>
      <c r="BC10">
        <v>15</v>
      </c>
      <c r="BD10">
        <v>25</v>
      </c>
      <c r="BE10">
        <v>85</v>
      </c>
      <c r="BF10">
        <v>7</v>
      </c>
      <c r="BG10" t="str">
        <f t="shared" si="2"/>
        <v>NA</v>
      </c>
      <c r="BH10" t="str">
        <f t="shared" si="2"/>
        <v>NA</v>
      </c>
      <c r="BI10" t="str">
        <f t="shared" si="2"/>
        <v>NA</v>
      </c>
      <c r="BJ10" t="str">
        <f t="shared" si="2"/>
        <v>NA</v>
      </c>
      <c r="BK10" t="str">
        <f t="shared" si="2"/>
        <v>NA</v>
      </c>
      <c r="BL10" t="str">
        <f>"DC"</f>
        <v>DC</v>
      </c>
      <c r="BM10" t="str">
        <f t="shared" si="3"/>
        <v>NA</v>
      </c>
      <c r="BN10" t="str">
        <f t="shared" si="3"/>
        <v>NA</v>
      </c>
      <c r="BO10">
        <v>1</v>
      </c>
      <c r="BP10">
        <v>1</v>
      </c>
      <c r="BQ10">
        <v>0</v>
      </c>
      <c r="BR10">
        <v>1</v>
      </c>
    </row>
    <row r="11" spans="1:70" x14ac:dyDescent="0.25">
      <c r="A11">
        <v>3</v>
      </c>
      <c r="B11" t="str">
        <f t="shared" si="0"/>
        <v>Summary of All HUD Programs</v>
      </c>
      <c r="C11">
        <v>1</v>
      </c>
      <c r="D11" t="str">
        <f t="shared" si="1"/>
        <v>NA</v>
      </c>
      <c r="E11" t="str">
        <f>"FL Florida"</f>
        <v>FL Florida</v>
      </c>
      <c r="F11" t="str">
        <f>"12"</f>
        <v>12</v>
      </c>
      <c r="G11">
        <v>198481</v>
      </c>
      <c r="H11">
        <v>92</v>
      </c>
      <c r="I11">
        <v>186938</v>
      </c>
      <c r="J11">
        <v>100</v>
      </c>
      <c r="K11">
        <v>6</v>
      </c>
      <c r="L11">
        <v>10</v>
      </c>
      <c r="M11">
        <v>2.2000000000000002</v>
      </c>
      <c r="N11">
        <v>409143</v>
      </c>
      <c r="O11">
        <v>352</v>
      </c>
      <c r="P11">
        <v>861</v>
      </c>
      <c r="Q11">
        <v>13979</v>
      </c>
      <c r="R11">
        <v>6387</v>
      </c>
      <c r="S11">
        <v>10</v>
      </c>
      <c r="T11">
        <v>35</v>
      </c>
      <c r="U11">
        <v>22</v>
      </c>
      <c r="V11">
        <v>13</v>
      </c>
      <c r="W11">
        <v>20</v>
      </c>
      <c r="X11">
        <v>23</v>
      </c>
      <c r="Y11">
        <v>1</v>
      </c>
      <c r="Z11">
        <v>73</v>
      </c>
      <c r="AA11">
        <v>22</v>
      </c>
      <c r="AB11">
        <v>95</v>
      </c>
      <c r="AC11">
        <v>76</v>
      </c>
      <c r="AD11">
        <v>2</v>
      </c>
      <c r="AE11">
        <v>35</v>
      </c>
      <c r="AF11">
        <v>79</v>
      </c>
      <c r="AG11">
        <v>36</v>
      </c>
      <c r="AH11">
        <v>29</v>
      </c>
      <c r="AI11">
        <v>45</v>
      </c>
      <c r="AJ11">
        <v>21</v>
      </c>
      <c r="AK11">
        <v>2</v>
      </c>
      <c r="AL11">
        <v>41</v>
      </c>
      <c r="AM11">
        <v>16</v>
      </c>
      <c r="AN11">
        <v>41</v>
      </c>
      <c r="AO11">
        <v>5</v>
      </c>
      <c r="AP11">
        <v>82</v>
      </c>
      <c r="AQ11">
        <v>52</v>
      </c>
      <c r="AR11">
        <v>2</v>
      </c>
      <c r="AS11">
        <v>0</v>
      </c>
      <c r="AT11">
        <v>1</v>
      </c>
      <c r="AU11">
        <v>29</v>
      </c>
      <c r="AV11">
        <v>52</v>
      </c>
      <c r="AW11">
        <v>108</v>
      </c>
      <c r="AX11">
        <v>88</v>
      </c>
      <c r="AY11">
        <v>131</v>
      </c>
      <c r="AZ11">
        <v>42</v>
      </c>
      <c r="BA11">
        <v>29</v>
      </c>
      <c r="BB11">
        <v>29</v>
      </c>
      <c r="BC11">
        <v>14</v>
      </c>
      <c r="BD11">
        <v>26</v>
      </c>
      <c r="BE11">
        <v>65</v>
      </c>
      <c r="BF11">
        <v>45</v>
      </c>
      <c r="BG11" t="str">
        <f t="shared" si="2"/>
        <v>NA</v>
      </c>
      <c r="BH11" t="str">
        <f t="shared" si="2"/>
        <v>NA</v>
      </c>
      <c r="BI11" t="str">
        <f t="shared" si="2"/>
        <v>NA</v>
      </c>
      <c r="BJ11" t="str">
        <f t="shared" si="2"/>
        <v>NA</v>
      </c>
      <c r="BK11" t="str">
        <f t="shared" si="2"/>
        <v>NA</v>
      </c>
      <c r="BL11" t="str">
        <f>"FL"</f>
        <v>FL</v>
      </c>
      <c r="BM11" t="str">
        <f t="shared" si="3"/>
        <v>NA</v>
      </c>
      <c r="BN11" t="str">
        <f t="shared" si="3"/>
        <v>NA</v>
      </c>
      <c r="BO11">
        <v>26</v>
      </c>
      <c r="BP11">
        <v>17</v>
      </c>
      <c r="BQ11">
        <v>0</v>
      </c>
      <c r="BR11">
        <v>2</v>
      </c>
    </row>
    <row r="12" spans="1:70" x14ac:dyDescent="0.25">
      <c r="A12">
        <v>3</v>
      </c>
      <c r="B12" t="str">
        <f t="shared" si="0"/>
        <v>Summary of All HUD Programs</v>
      </c>
      <c r="C12">
        <v>1</v>
      </c>
      <c r="D12" t="str">
        <f t="shared" si="1"/>
        <v>NA</v>
      </c>
      <c r="E12" t="str">
        <f>"GA Georgia"</f>
        <v>GA Georgia</v>
      </c>
      <c r="F12" t="str">
        <f>"13"</f>
        <v>13</v>
      </c>
      <c r="G12">
        <v>134966</v>
      </c>
      <c r="H12">
        <v>89</v>
      </c>
      <c r="I12">
        <v>122419</v>
      </c>
      <c r="J12">
        <v>100</v>
      </c>
      <c r="K12">
        <v>6</v>
      </c>
      <c r="L12">
        <v>12</v>
      </c>
      <c r="M12">
        <v>2.2999999999999998</v>
      </c>
      <c r="N12">
        <v>276057</v>
      </c>
      <c r="O12">
        <v>313</v>
      </c>
      <c r="P12">
        <v>698</v>
      </c>
      <c r="Q12">
        <v>13246</v>
      </c>
      <c r="R12">
        <v>5874</v>
      </c>
      <c r="S12">
        <v>12</v>
      </c>
      <c r="T12">
        <v>32</v>
      </c>
      <c r="U12">
        <v>23</v>
      </c>
      <c r="V12">
        <v>14</v>
      </c>
      <c r="W12">
        <v>19</v>
      </c>
      <c r="X12">
        <v>27</v>
      </c>
      <c r="Y12">
        <v>1</v>
      </c>
      <c r="Z12">
        <v>67</v>
      </c>
      <c r="AA12">
        <v>23</v>
      </c>
      <c r="AB12">
        <v>94</v>
      </c>
      <c r="AC12">
        <v>74</v>
      </c>
      <c r="AD12">
        <v>1</v>
      </c>
      <c r="AE12">
        <v>44</v>
      </c>
      <c r="AF12">
        <v>83</v>
      </c>
      <c r="AG12">
        <v>44</v>
      </c>
      <c r="AH12">
        <v>25</v>
      </c>
      <c r="AI12">
        <v>43</v>
      </c>
      <c r="AJ12">
        <v>16</v>
      </c>
      <c r="AK12">
        <v>4</v>
      </c>
      <c r="AL12">
        <v>49</v>
      </c>
      <c r="AM12">
        <v>16</v>
      </c>
      <c r="AN12">
        <v>31</v>
      </c>
      <c r="AO12">
        <v>2</v>
      </c>
      <c r="AP12">
        <v>87</v>
      </c>
      <c r="AQ12">
        <v>84</v>
      </c>
      <c r="AR12">
        <v>1</v>
      </c>
      <c r="AS12">
        <v>0</v>
      </c>
      <c r="AT12">
        <v>1</v>
      </c>
      <c r="AU12">
        <v>2</v>
      </c>
      <c r="AV12">
        <v>29</v>
      </c>
      <c r="AW12">
        <v>95</v>
      </c>
      <c r="AX12">
        <v>85</v>
      </c>
      <c r="AY12">
        <v>155</v>
      </c>
      <c r="AZ12">
        <v>34</v>
      </c>
      <c r="BA12">
        <v>32</v>
      </c>
      <c r="BB12">
        <v>34</v>
      </c>
      <c r="BC12">
        <v>17</v>
      </c>
      <c r="BD12">
        <v>29</v>
      </c>
      <c r="BE12">
        <v>67</v>
      </c>
      <c r="BF12">
        <v>55</v>
      </c>
      <c r="BG12" t="str">
        <f t="shared" ref="BG12:BK21" si="4">"NA"</f>
        <v>NA</v>
      </c>
      <c r="BH12" t="str">
        <f t="shared" si="4"/>
        <v>NA</v>
      </c>
      <c r="BI12" t="str">
        <f t="shared" si="4"/>
        <v>NA</v>
      </c>
      <c r="BJ12" t="str">
        <f t="shared" si="4"/>
        <v>NA</v>
      </c>
      <c r="BK12" t="str">
        <f t="shared" si="4"/>
        <v>NA</v>
      </c>
      <c r="BL12" t="str">
        <f>"GA"</f>
        <v>GA</v>
      </c>
      <c r="BM12" t="str">
        <f t="shared" si="3"/>
        <v>NA</v>
      </c>
      <c r="BN12" t="str">
        <f t="shared" si="3"/>
        <v>NA</v>
      </c>
      <c r="BO12">
        <v>1</v>
      </c>
      <c r="BP12">
        <v>13</v>
      </c>
      <c r="BQ12">
        <v>1</v>
      </c>
      <c r="BR12">
        <v>0</v>
      </c>
    </row>
    <row r="13" spans="1:70" x14ac:dyDescent="0.25">
      <c r="A13">
        <v>3</v>
      </c>
      <c r="B13" t="str">
        <f t="shared" si="0"/>
        <v>Summary of All HUD Programs</v>
      </c>
      <c r="C13">
        <v>1</v>
      </c>
      <c r="D13" t="str">
        <f t="shared" si="1"/>
        <v>NA</v>
      </c>
      <c r="E13" t="str">
        <f>"HI Hawaii"</f>
        <v>HI Hawaii</v>
      </c>
      <c r="F13" t="str">
        <f>"15"</f>
        <v>15</v>
      </c>
      <c r="G13">
        <v>23176</v>
      </c>
      <c r="H13">
        <v>84</v>
      </c>
      <c r="I13">
        <v>19320</v>
      </c>
      <c r="J13">
        <v>100</v>
      </c>
      <c r="K13">
        <v>6</v>
      </c>
      <c r="L13">
        <v>8</v>
      </c>
      <c r="M13">
        <v>2.5</v>
      </c>
      <c r="N13">
        <v>47680</v>
      </c>
      <c r="O13">
        <v>447</v>
      </c>
      <c r="P13">
        <v>1066</v>
      </c>
      <c r="Q13">
        <v>17865</v>
      </c>
      <c r="R13">
        <v>7239</v>
      </c>
      <c r="S13">
        <v>7</v>
      </c>
      <c r="T13">
        <v>28</v>
      </c>
      <c r="U13">
        <v>20</v>
      </c>
      <c r="V13">
        <v>13</v>
      </c>
      <c r="W13">
        <v>31</v>
      </c>
      <c r="X13">
        <v>26</v>
      </c>
      <c r="Y13">
        <v>5</v>
      </c>
      <c r="Z13">
        <v>67</v>
      </c>
      <c r="AA13">
        <v>19</v>
      </c>
      <c r="AB13">
        <v>97</v>
      </c>
      <c r="AC13">
        <v>83</v>
      </c>
      <c r="AD13">
        <v>14</v>
      </c>
      <c r="AE13">
        <v>23</v>
      </c>
      <c r="AF13">
        <v>67</v>
      </c>
      <c r="AG13">
        <v>29</v>
      </c>
      <c r="AH13">
        <v>33</v>
      </c>
      <c r="AI13">
        <v>46</v>
      </c>
      <c r="AJ13">
        <v>18</v>
      </c>
      <c r="AK13">
        <v>1</v>
      </c>
      <c r="AL13">
        <v>37</v>
      </c>
      <c r="AM13">
        <v>20</v>
      </c>
      <c r="AN13">
        <v>41</v>
      </c>
      <c r="AO13">
        <v>4</v>
      </c>
      <c r="AP13">
        <v>79</v>
      </c>
      <c r="AQ13">
        <v>3</v>
      </c>
      <c r="AR13">
        <v>1</v>
      </c>
      <c r="AS13">
        <v>1</v>
      </c>
      <c r="AT13">
        <v>63</v>
      </c>
      <c r="AU13">
        <v>12</v>
      </c>
      <c r="AV13">
        <v>35</v>
      </c>
      <c r="AW13">
        <v>128</v>
      </c>
      <c r="AX13">
        <v>69</v>
      </c>
      <c r="AY13">
        <v>163</v>
      </c>
      <c r="AZ13">
        <v>44</v>
      </c>
      <c r="BA13">
        <v>28</v>
      </c>
      <c r="BB13">
        <v>27</v>
      </c>
      <c r="BC13">
        <v>11</v>
      </c>
      <c r="BD13">
        <v>17</v>
      </c>
      <c r="BE13">
        <v>84</v>
      </c>
      <c r="BF13">
        <v>45</v>
      </c>
      <c r="BG13" t="str">
        <f t="shared" si="4"/>
        <v>NA</v>
      </c>
      <c r="BH13" t="str">
        <f t="shared" si="4"/>
        <v>NA</v>
      </c>
      <c r="BI13" t="str">
        <f t="shared" si="4"/>
        <v>NA</v>
      </c>
      <c r="BJ13" t="str">
        <f t="shared" si="4"/>
        <v>NA</v>
      </c>
      <c r="BK13" t="str">
        <f t="shared" si="4"/>
        <v>NA</v>
      </c>
      <c r="BL13" t="str">
        <f>"HI"</f>
        <v>HI</v>
      </c>
      <c r="BM13" t="str">
        <f t="shared" si="3"/>
        <v>NA</v>
      </c>
      <c r="BN13" t="str">
        <f t="shared" si="3"/>
        <v>NA</v>
      </c>
      <c r="BO13">
        <v>4</v>
      </c>
      <c r="BP13">
        <v>19</v>
      </c>
      <c r="BQ13">
        <v>12</v>
      </c>
      <c r="BR13">
        <v>8</v>
      </c>
    </row>
    <row r="14" spans="1:70" x14ac:dyDescent="0.25">
      <c r="A14">
        <v>3</v>
      </c>
      <c r="B14" t="str">
        <f t="shared" si="0"/>
        <v>Summary of All HUD Programs</v>
      </c>
      <c r="C14">
        <v>1</v>
      </c>
      <c r="D14" t="str">
        <f t="shared" si="1"/>
        <v>NA</v>
      </c>
      <c r="E14" t="str">
        <f>"ID Idaho"</f>
        <v>ID Idaho</v>
      </c>
      <c r="F14" t="str">
        <f>"16"</f>
        <v>16</v>
      </c>
      <c r="G14">
        <v>12563</v>
      </c>
      <c r="H14">
        <v>89</v>
      </c>
      <c r="I14">
        <v>11535</v>
      </c>
      <c r="J14">
        <v>100</v>
      </c>
      <c r="K14">
        <v>5</v>
      </c>
      <c r="L14">
        <v>14</v>
      </c>
      <c r="M14">
        <v>1.9</v>
      </c>
      <c r="N14">
        <v>21545</v>
      </c>
      <c r="O14">
        <v>337</v>
      </c>
      <c r="P14">
        <v>552</v>
      </c>
      <c r="Q14">
        <v>13860</v>
      </c>
      <c r="R14">
        <v>7421</v>
      </c>
      <c r="S14">
        <v>6</v>
      </c>
      <c r="T14">
        <v>15</v>
      </c>
      <c r="U14">
        <v>45</v>
      </c>
      <c r="V14">
        <v>16</v>
      </c>
      <c r="W14">
        <v>18</v>
      </c>
      <c r="X14">
        <v>18</v>
      </c>
      <c r="Y14">
        <v>0</v>
      </c>
      <c r="Z14">
        <v>79</v>
      </c>
      <c r="AA14">
        <v>26</v>
      </c>
      <c r="AB14">
        <v>96</v>
      </c>
      <c r="AC14">
        <v>70</v>
      </c>
      <c r="AD14">
        <v>6</v>
      </c>
      <c r="AE14">
        <v>25</v>
      </c>
      <c r="AF14">
        <v>71</v>
      </c>
      <c r="AG14">
        <v>26</v>
      </c>
      <c r="AH14">
        <v>56</v>
      </c>
      <c r="AI14">
        <v>52</v>
      </c>
      <c r="AJ14">
        <v>33</v>
      </c>
      <c r="AK14">
        <v>3</v>
      </c>
      <c r="AL14">
        <v>38</v>
      </c>
      <c r="AM14">
        <v>20</v>
      </c>
      <c r="AN14">
        <v>39</v>
      </c>
      <c r="AO14">
        <v>3</v>
      </c>
      <c r="AP14">
        <v>17</v>
      </c>
      <c r="AQ14">
        <v>4</v>
      </c>
      <c r="AR14">
        <v>0</v>
      </c>
      <c r="AS14">
        <v>2</v>
      </c>
      <c r="AT14">
        <v>1</v>
      </c>
      <c r="AU14">
        <v>10</v>
      </c>
      <c r="AV14">
        <v>26</v>
      </c>
      <c r="AW14">
        <v>79</v>
      </c>
      <c r="AX14">
        <v>90</v>
      </c>
      <c r="AY14">
        <v>83</v>
      </c>
      <c r="AZ14">
        <v>45</v>
      </c>
      <c r="BA14">
        <v>35</v>
      </c>
      <c r="BB14">
        <v>20</v>
      </c>
      <c r="BC14">
        <v>20</v>
      </c>
      <c r="BD14">
        <v>20</v>
      </c>
      <c r="BE14">
        <v>17</v>
      </c>
      <c r="BF14">
        <v>59</v>
      </c>
      <c r="BG14" t="str">
        <f t="shared" si="4"/>
        <v>NA</v>
      </c>
      <c r="BH14" t="str">
        <f t="shared" si="4"/>
        <v>NA</v>
      </c>
      <c r="BI14" t="str">
        <f t="shared" si="4"/>
        <v>NA</v>
      </c>
      <c r="BJ14" t="str">
        <f t="shared" si="4"/>
        <v>NA</v>
      </c>
      <c r="BK14" t="str">
        <f t="shared" si="4"/>
        <v>NA</v>
      </c>
      <c r="BL14" t="str">
        <f>"ID"</f>
        <v>ID</v>
      </c>
      <c r="BM14" t="str">
        <f t="shared" si="3"/>
        <v>NA</v>
      </c>
      <c r="BN14" t="str">
        <f t="shared" si="3"/>
        <v>NA</v>
      </c>
      <c r="BO14">
        <v>8</v>
      </c>
      <c r="BP14">
        <v>82</v>
      </c>
      <c r="BQ14">
        <v>1</v>
      </c>
      <c r="BR14">
        <v>1</v>
      </c>
    </row>
    <row r="15" spans="1:70" x14ac:dyDescent="0.25">
      <c r="A15">
        <v>3</v>
      </c>
      <c r="B15" t="str">
        <f t="shared" si="0"/>
        <v>Summary of All HUD Programs</v>
      </c>
      <c r="C15">
        <v>1</v>
      </c>
      <c r="D15" t="str">
        <f t="shared" si="1"/>
        <v>NA</v>
      </c>
      <c r="E15" t="str">
        <f>"IL Illinois"</f>
        <v>IL Illinois</v>
      </c>
      <c r="F15" t="str">
        <f>"17"</f>
        <v>17</v>
      </c>
      <c r="G15">
        <v>228497</v>
      </c>
      <c r="H15">
        <v>91</v>
      </c>
      <c r="I15">
        <v>207469</v>
      </c>
      <c r="J15">
        <v>100</v>
      </c>
      <c r="K15">
        <v>7</v>
      </c>
      <c r="L15">
        <v>9</v>
      </c>
      <c r="M15">
        <v>2</v>
      </c>
      <c r="N15">
        <v>405788</v>
      </c>
      <c r="O15">
        <v>324</v>
      </c>
      <c r="P15">
        <v>885</v>
      </c>
      <c r="Q15">
        <v>13426</v>
      </c>
      <c r="R15">
        <v>6864</v>
      </c>
      <c r="S15">
        <v>9</v>
      </c>
      <c r="T15">
        <v>32</v>
      </c>
      <c r="U15">
        <v>23</v>
      </c>
      <c r="V15">
        <v>14</v>
      </c>
      <c r="W15">
        <v>21</v>
      </c>
      <c r="X15">
        <v>22</v>
      </c>
      <c r="Y15">
        <v>2</v>
      </c>
      <c r="Z15">
        <v>67</v>
      </c>
      <c r="AA15">
        <v>20</v>
      </c>
      <c r="AB15">
        <v>96</v>
      </c>
      <c r="AC15">
        <v>80</v>
      </c>
      <c r="AD15">
        <v>2</v>
      </c>
      <c r="AE15">
        <v>32</v>
      </c>
      <c r="AF15">
        <v>75</v>
      </c>
      <c r="AG15">
        <v>32</v>
      </c>
      <c r="AH15">
        <v>30</v>
      </c>
      <c r="AI15">
        <v>41</v>
      </c>
      <c r="AJ15">
        <v>21</v>
      </c>
      <c r="AK15">
        <v>4</v>
      </c>
      <c r="AL15">
        <v>41</v>
      </c>
      <c r="AM15">
        <v>19</v>
      </c>
      <c r="AN15">
        <v>37</v>
      </c>
      <c r="AO15">
        <v>4</v>
      </c>
      <c r="AP15">
        <v>73</v>
      </c>
      <c r="AQ15">
        <v>63</v>
      </c>
      <c r="AR15">
        <v>1</v>
      </c>
      <c r="AS15">
        <v>0</v>
      </c>
      <c r="AT15">
        <v>2</v>
      </c>
      <c r="AU15">
        <v>7</v>
      </c>
      <c r="AV15">
        <v>16</v>
      </c>
      <c r="AW15">
        <v>109</v>
      </c>
      <c r="AX15">
        <v>87</v>
      </c>
      <c r="AY15">
        <v>97</v>
      </c>
      <c r="AZ15">
        <v>46</v>
      </c>
      <c r="BA15">
        <v>27</v>
      </c>
      <c r="BB15">
        <v>27</v>
      </c>
      <c r="BC15">
        <v>18</v>
      </c>
      <c r="BD15">
        <v>26</v>
      </c>
      <c r="BE15">
        <v>61</v>
      </c>
      <c r="BF15">
        <v>40</v>
      </c>
      <c r="BG15" t="str">
        <f t="shared" si="4"/>
        <v>NA</v>
      </c>
      <c r="BH15" t="str">
        <f t="shared" si="4"/>
        <v>NA</v>
      </c>
      <c r="BI15" t="str">
        <f t="shared" si="4"/>
        <v>NA</v>
      </c>
      <c r="BJ15" t="str">
        <f t="shared" si="4"/>
        <v>NA</v>
      </c>
      <c r="BK15" t="str">
        <f t="shared" si="4"/>
        <v>NA</v>
      </c>
      <c r="BL15" t="str">
        <f>"IL"</f>
        <v>IL</v>
      </c>
      <c r="BM15" t="str">
        <f t="shared" si="3"/>
        <v>NA</v>
      </c>
      <c r="BN15" t="str">
        <f t="shared" si="3"/>
        <v>NA</v>
      </c>
      <c r="BO15">
        <v>5</v>
      </c>
      <c r="BP15">
        <v>26</v>
      </c>
      <c r="BQ15">
        <v>1</v>
      </c>
      <c r="BR15">
        <v>1</v>
      </c>
    </row>
    <row r="16" spans="1:70" x14ac:dyDescent="0.25">
      <c r="A16">
        <v>3</v>
      </c>
      <c r="B16" t="str">
        <f t="shared" si="0"/>
        <v>Summary of All HUD Programs</v>
      </c>
      <c r="C16">
        <v>1</v>
      </c>
      <c r="D16" t="str">
        <f t="shared" si="1"/>
        <v>NA</v>
      </c>
      <c r="E16" t="str">
        <f>"IN Indiana"</f>
        <v>IN Indiana</v>
      </c>
      <c r="F16" t="str">
        <f>"18"</f>
        <v>18</v>
      </c>
      <c r="G16">
        <v>89273</v>
      </c>
      <c r="H16">
        <v>112</v>
      </c>
      <c r="I16">
        <v>80711</v>
      </c>
      <c r="J16">
        <v>81</v>
      </c>
      <c r="K16">
        <v>6</v>
      </c>
      <c r="L16">
        <v>14</v>
      </c>
      <c r="M16">
        <v>1.9</v>
      </c>
      <c r="N16">
        <v>155642</v>
      </c>
      <c r="O16">
        <v>286</v>
      </c>
      <c r="P16">
        <v>463</v>
      </c>
      <c r="Q16">
        <v>11763</v>
      </c>
      <c r="R16">
        <v>6100</v>
      </c>
      <c r="S16">
        <v>14</v>
      </c>
      <c r="T16">
        <v>32</v>
      </c>
      <c r="U16">
        <v>25</v>
      </c>
      <c r="V16">
        <v>14</v>
      </c>
      <c r="W16">
        <v>15</v>
      </c>
      <c r="X16">
        <v>19</v>
      </c>
      <c r="Y16">
        <v>1</v>
      </c>
      <c r="Z16">
        <v>73</v>
      </c>
      <c r="AA16">
        <v>21</v>
      </c>
      <c r="AB16">
        <v>97</v>
      </c>
      <c r="AC16">
        <v>78</v>
      </c>
      <c r="AD16">
        <v>2</v>
      </c>
      <c r="AE16">
        <v>35</v>
      </c>
      <c r="AF16">
        <v>76</v>
      </c>
      <c r="AG16">
        <v>34</v>
      </c>
      <c r="AH16">
        <v>37</v>
      </c>
      <c r="AI16">
        <v>45</v>
      </c>
      <c r="AJ16">
        <v>23</v>
      </c>
      <c r="AK16">
        <v>6</v>
      </c>
      <c r="AL16">
        <v>42</v>
      </c>
      <c r="AM16">
        <v>19</v>
      </c>
      <c r="AN16">
        <v>32</v>
      </c>
      <c r="AO16">
        <v>2</v>
      </c>
      <c r="AP16">
        <v>48</v>
      </c>
      <c r="AQ16">
        <v>44</v>
      </c>
      <c r="AR16">
        <v>0</v>
      </c>
      <c r="AS16">
        <v>0</v>
      </c>
      <c r="AT16">
        <v>0</v>
      </c>
      <c r="AU16">
        <v>3</v>
      </c>
      <c r="AV16">
        <v>21</v>
      </c>
      <c r="AW16">
        <v>76</v>
      </c>
      <c r="AX16">
        <v>78</v>
      </c>
      <c r="AY16">
        <v>129</v>
      </c>
      <c r="AZ16">
        <v>48</v>
      </c>
      <c r="BA16">
        <v>31</v>
      </c>
      <c r="BB16">
        <v>22</v>
      </c>
      <c r="BC16">
        <v>13</v>
      </c>
      <c r="BD16">
        <v>26</v>
      </c>
      <c r="BE16">
        <v>32</v>
      </c>
      <c r="BF16">
        <v>56</v>
      </c>
      <c r="BG16" t="str">
        <f t="shared" si="4"/>
        <v>NA</v>
      </c>
      <c r="BH16" t="str">
        <f t="shared" si="4"/>
        <v>NA</v>
      </c>
      <c r="BI16" t="str">
        <f t="shared" si="4"/>
        <v>NA</v>
      </c>
      <c r="BJ16" t="str">
        <f t="shared" si="4"/>
        <v>NA</v>
      </c>
      <c r="BK16" t="str">
        <f t="shared" si="4"/>
        <v>NA</v>
      </c>
      <c r="BL16" t="str">
        <f>"IN"</f>
        <v>IN</v>
      </c>
      <c r="BM16" t="str">
        <f t="shared" si="3"/>
        <v>NA</v>
      </c>
      <c r="BN16" t="str">
        <f t="shared" si="3"/>
        <v>NA</v>
      </c>
      <c r="BO16">
        <v>2</v>
      </c>
      <c r="BP16">
        <v>51</v>
      </c>
      <c r="BQ16">
        <v>1</v>
      </c>
      <c r="BR16">
        <v>0</v>
      </c>
    </row>
    <row r="17" spans="1:70" x14ac:dyDescent="0.25">
      <c r="A17">
        <v>3</v>
      </c>
      <c r="B17" t="str">
        <f t="shared" si="0"/>
        <v>Summary of All HUD Programs</v>
      </c>
      <c r="C17">
        <v>1</v>
      </c>
      <c r="D17" t="str">
        <f t="shared" si="1"/>
        <v>NA</v>
      </c>
      <c r="E17" t="str">
        <f>"IA Iowa"</f>
        <v>IA Iowa</v>
      </c>
      <c r="F17" t="str">
        <f>"19"</f>
        <v>19</v>
      </c>
      <c r="G17">
        <v>40884</v>
      </c>
      <c r="H17">
        <v>88</v>
      </c>
      <c r="I17">
        <v>35909</v>
      </c>
      <c r="J17">
        <v>100</v>
      </c>
      <c r="K17">
        <v>6</v>
      </c>
      <c r="L17">
        <v>16</v>
      </c>
      <c r="M17">
        <v>1.8</v>
      </c>
      <c r="N17">
        <v>63349</v>
      </c>
      <c r="O17">
        <v>313</v>
      </c>
      <c r="P17">
        <v>449</v>
      </c>
      <c r="Q17">
        <v>13022</v>
      </c>
      <c r="R17">
        <v>7381</v>
      </c>
      <c r="S17">
        <v>7</v>
      </c>
      <c r="T17">
        <v>31</v>
      </c>
      <c r="U17">
        <v>29</v>
      </c>
      <c r="V17">
        <v>17</v>
      </c>
      <c r="W17">
        <v>16</v>
      </c>
      <c r="X17">
        <v>16</v>
      </c>
      <c r="Y17">
        <v>2</v>
      </c>
      <c r="Z17">
        <v>76</v>
      </c>
      <c r="AA17">
        <v>21</v>
      </c>
      <c r="AB17">
        <v>98</v>
      </c>
      <c r="AC17">
        <v>79</v>
      </c>
      <c r="AD17">
        <v>3</v>
      </c>
      <c r="AE17">
        <v>25</v>
      </c>
      <c r="AF17">
        <v>70</v>
      </c>
      <c r="AG17">
        <v>25</v>
      </c>
      <c r="AH17">
        <v>49</v>
      </c>
      <c r="AI17">
        <v>42</v>
      </c>
      <c r="AJ17">
        <v>29</v>
      </c>
      <c r="AK17">
        <v>4</v>
      </c>
      <c r="AL17">
        <v>38</v>
      </c>
      <c r="AM17">
        <v>20</v>
      </c>
      <c r="AN17">
        <v>38</v>
      </c>
      <c r="AO17">
        <v>4</v>
      </c>
      <c r="AP17">
        <v>26</v>
      </c>
      <c r="AQ17">
        <v>21</v>
      </c>
      <c r="AR17">
        <v>0</v>
      </c>
      <c r="AS17">
        <v>1</v>
      </c>
      <c r="AT17">
        <v>1</v>
      </c>
      <c r="AU17">
        <v>3</v>
      </c>
      <c r="AV17">
        <v>15</v>
      </c>
      <c r="AW17">
        <v>73</v>
      </c>
      <c r="AX17">
        <v>59</v>
      </c>
      <c r="AY17">
        <v>112</v>
      </c>
      <c r="AZ17">
        <v>57</v>
      </c>
      <c r="BA17">
        <v>27</v>
      </c>
      <c r="BB17">
        <v>17</v>
      </c>
      <c r="BC17">
        <v>14</v>
      </c>
      <c r="BD17">
        <v>18</v>
      </c>
      <c r="BE17">
        <v>18</v>
      </c>
      <c r="BF17">
        <v>62</v>
      </c>
      <c r="BG17" t="str">
        <f t="shared" si="4"/>
        <v>NA</v>
      </c>
      <c r="BH17" t="str">
        <f t="shared" si="4"/>
        <v>NA</v>
      </c>
      <c r="BI17" t="str">
        <f t="shared" si="4"/>
        <v>NA</v>
      </c>
      <c r="BJ17" t="str">
        <f t="shared" si="4"/>
        <v>NA</v>
      </c>
      <c r="BK17" t="str">
        <f t="shared" si="4"/>
        <v>NA</v>
      </c>
      <c r="BL17" t="str">
        <f>"IA"</f>
        <v>IA</v>
      </c>
      <c r="BM17" t="str">
        <f t="shared" si="3"/>
        <v>NA</v>
      </c>
      <c r="BN17" t="str">
        <f t="shared" si="3"/>
        <v>NA</v>
      </c>
      <c r="BO17">
        <v>3</v>
      </c>
      <c r="BP17">
        <v>73</v>
      </c>
      <c r="BQ17">
        <v>1</v>
      </c>
      <c r="BR17">
        <v>0</v>
      </c>
    </row>
    <row r="18" spans="1:70" x14ac:dyDescent="0.25">
      <c r="A18">
        <v>3</v>
      </c>
      <c r="B18" t="str">
        <f t="shared" si="0"/>
        <v>Summary of All HUD Programs</v>
      </c>
      <c r="C18">
        <v>1</v>
      </c>
      <c r="D18" t="str">
        <f t="shared" si="1"/>
        <v>NA</v>
      </c>
      <c r="E18" t="str">
        <f>"KS Kansas"</f>
        <v>KS Kansas</v>
      </c>
      <c r="F18" t="str">
        <f>"20"</f>
        <v>20</v>
      </c>
      <c r="G18">
        <v>35288</v>
      </c>
      <c r="H18">
        <v>85</v>
      </c>
      <c r="I18">
        <v>29992</v>
      </c>
      <c r="J18">
        <v>100</v>
      </c>
      <c r="K18">
        <v>6</v>
      </c>
      <c r="L18">
        <v>15</v>
      </c>
      <c r="M18">
        <v>1.7</v>
      </c>
      <c r="N18">
        <v>51051</v>
      </c>
      <c r="O18">
        <v>305</v>
      </c>
      <c r="P18">
        <v>508</v>
      </c>
      <c r="Q18">
        <v>13599</v>
      </c>
      <c r="R18">
        <v>7989</v>
      </c>
      <c r="S18">
        <v>9</v>
      </c>
      <c r="T18">
        <v>29</v>
      </c>
      <c r="U18">
        <v>28</v>
      </c>
      <c r="V18">
        <v>17</v>
      </c>
      <c r="W18">
        <v>18</v>
      </c>
      <c r="X18">
        <v>17</v>
      </c>
      <c r="Y18">
        <v>1</v>
      </c>
      <c r="Z18">
        <v>74</v>
      </c>
      <c r="AA18">
        <v>24</v>
      </c>
      <c r="AB18">
        <v>95</v>
      </c>
      <c r="AC18">
        <v>73</v>
      </c>
      <c r="AD18">
        <v>2</v>
      </c>
      <c r="AE18">
        <v>24</v>
      </c>
      <c r="AF18">
        <v>70</v>
      </c>
      <c r="AG18">
        <v>24</v>
      </c>
      <c r="AH18">
        <v>46</v>
      </c>
      <c r="AI18">
        <v>36</v>
      </c>
      <c r="AJ18">
        <v>27</v>
      </c>
      <c r="AK18">
        <v>5</v>
      </c>
      <c r="AL18">
        <v>34</v>
      </c>
      <c r="AM18">
        <v>20</v>
      </c>
      <c r="AN18">
        <v>41</v>
      </c>
      <c r="AO18">
        <v>4</v>
      </c>
      <c r="AP18">
        <v>36</v>
      </c>
      <c r="AQ18">
        <v>28</v>
      </c>
      <c r="AR18">
        <v>0</v>
      </c>
      <c r="AS18">
        <v>1</v>
      </c>
      <c r="AT18">
        <v>1</v>
      </c>
      <c r="AU18">
        <v>6</v>
      </c>
      <c r="AV18">
        <v>16</v>
      </c>
      <c r="AW18">
        <v>73</v>
      </c>
      <c r="AX18">
        <v>69</v>
      </c>
      <c r="AY18">
        <v>118</v>
      </c>
      <c r="AZ18">
        <v>57</v>
      </c>
      <c r="BA18">
        <v>25</v>
      </c>
      <c r="BB18">
        <v>18</v>
      </c>
      <c r="BC18">
        <v>14</v>
      </c>
      <c r="BD18">
        <v>20</v>
      </c>
      <c r="BE18">
        <v>33</v>
      </c>
      <c r="BF18">
        <v>64</v>
      </c>
      <c r="BG18" t="str">
        <f t="shared" si="4"/>
        <v>NA</v>
      </c>
      <c r="BH18" t="str">
        <f t="shared" si="4"/>
        <v>NA</v>
      </c>
      <c r="BI18" t="str">
        <f t="shared" si="4"/>
        <v>NA</v>
      </c>
      <c r="BJ18" t="str">
        <f t="shared" si="4"/>
        <v>NA</v>
      </c>
      <c r="BK18" t="str">
        <f t="shared" si="4"/>
        <v>NA</v>
      </c>
      <c r="BL18" t="str">
        <f>"KS"</f>
        <v>KS</v>
      </c>
      <c r="BM18" t="str">
        <f t="shared" si="3"/>
        <v>NA</v>
      </c>
      <c r="BN18" t="str">
        <f t="shared" si="3"/>
        <v>NA</v>
      </c>
      <c r="BO18">
        <v>4</v>
      </c>
      <c r="BP18">
        <v>61</v>
      </c>
      <c r="BQ18">
        <v>1</v>
      </c>
      <c r="BR18">
        <v>1</v>
      </c>
    </row>
    <row r="19" spans="1:70" x14ac:dyDescent="0.25">
      <c r="A19">
        <v>3</v>
      </c>
      <c r="B19" t="str">
        <f t="shared" si="0"/>
        <v>Summary of All HUD Programs</v>
      </c>
      <c r="C19">
        <v>1</v>
      </c>
      <c r="D19" t="str">
        <f t="shared" si="1"/>
        <v>NA</v>
      </c>
      <c r="E19" t="str">
        <f>"KY Kentucky"</f>
        <v>KY Kentucky</v>
      </c>
      <c r="F19" t="str">
        <f>"21"</f>
        <v>21</v>
      </c>
      <c r="G19">
        <v>85350</v>
      </c>
      <c r="H19">
        <v>89</v>
      </c>
      <c r="I19">
        <v>75190</v>
      </c>
      <c r="J19">
        <v>99</v>
      </c>
      <c r="K19">
        <v>6</v>
      </c>
      <c r="L19">
        <v>16</v>
      </c>
      <c r="M19">
        <v>2</v>
      </c>
      <c r="N19">
        <v>148575</v>
      </c>
      <c r="O19">
        <v>277</v>
      </c>
      <c r="P19">
        <v>522</v>
      </c>
      <c r="Q19">
        <v>11785</v>
      </c>
      <c r="R19">
        <v>5964</v>
      </c>
      <c r="S19">
        <v>15</v>
      </c>
      <c r="T19">
        <v>34</v>
      </c>
      <c r="U19">
        <v>24</v>
      </c>
      <c r="V19">
        <v>13</v>
      </c>
      <c r="W19">
        <v>14</v>
      </c>
      <c r="X19">
        <v>19</v>
      </c>
      <c r="Y19">
        <v>2</v>
      </c>
      <c r="Z19">
        <v>74</v>
      </c>
      <c r="AA19">
        <v>22</v>
      </c>
      <c r="AB19">
        <v>95</v>
      </c>
      <c r="AC19">
        <v>76</v>
      </c>
      <c r="AD19">
        <v>4</v>
      </c>
      <c r="AE19">
        <v>33</v>
      </c>
      <c r="AF19">
        <v>75</v>
      </c>
      <c r="AG19">
        <v>34</v>
      </c>
      <c r="AH19">
        <v>37</v>
      </c>
      <c r="AI19">
        <v>54</v>
      </c>
      <c r="AJ19">
        <v>25</v>
      </c>
      <c r="AK19">
        <v>6</v>
      </c>
      <c r="AL19">
        <v>42</v>
      </c>
      <c r="AM19">
        <v>21</v>
      </c>
      <c r="AN19">
        <v>31</v>
      </c>
      <c r="AO19">
        <v>2</v>
      </c>
      <c r="AP19">
        <v>36</v>
      </c>
      <c r="AQ19">
        <v>33</v>
      </c>
      <c r="AR19">
        <v>0</v>
      </c>
      <c r="AS19">
        <v>0</v>
      </c>
      <c r="AT19">
        <v>0</v>
      </c>
      <c r="AU19">
        <v>2</v>
      </c>
      <c r="AV19">
        <v>12</v>
      </c>
      <c r="AW19">
        <v>81</v>
      </c>
      <c r="AX19">
        <v>65</v>
      </c>
      <c r="AY19">
        <v>131</v>
      </c>
      <c r="AZ19">
        <v>42</v>
      </c>
      <c r="BA19">
        <v>33</v>
      </c>
      <c r="BB19">
        <v>26</v>
      </c>
      <c r="BC19">
        <v>18</v>
      </c>
      <c r="BD19">
        <v>27</v>
      </c>
      <c r="BE19">
        <v>27</v>
      </c>
      <c r="BF19">
        <v>58</v>
      </c>
      <c r="BG19" t="str">
        <f t="shared" si="4"/>
        <v>NA</v>
      </c>
      <c r="BH19" t="str">
        <f t="shared" si="4"/>
        <v>NA</v>
      </c>
      <c r="BI19" t="str">
        <f t="shared" si="4"/>
        <v>NA</v>
      </c>
      <c r="BJ19" t="str">
        <f t="shared" si="4"/>
        <v>NA</v>
      </c>
      <c r="BK19" t="str">
        <f t="shared" si="4"/>
        <v>NA</v>
      </c>
      <c r="BL19" t="str">
        <f>"KY"</f>
        <v>KY</v>
      </c>
      <c r="BM19" t="str">
        <f t="shared" si="3"/>
        <v>NA</v>
      </c>
      <c r="BN19" t="str">
        <f t="shared" si="3"/>
        <v>NA</v>
      </c>
      <c r="BO19">
        <v>1</v>
      </c>
      <c r="BP19">
        <v>64</v>
      </c>
      <c r="BQ19">
        <v>1</v>
      </c>
      <c r="BR19">
        <v>0</v>
      </c>
    </row>
    <row r="20" spans="1:70" x14ac:dyDescent="0.25">
      <c r="A20">
        <v>3</v>
      </c>
      <c r="B20" t="str">
        <f t="shared" si="0"/>
        <v>Summary of All HUD Programs</v>
      </c>
      <c r="C20">
        <v>1</v>
      </c>
      <c r="D20" t="str">
        <f t="shared" si="1"/>
        <v>NA</v>
      </c>
      <c r="E20" t="str">
        <f>"LA Louisiana"</f>
        <v>LA Louisiana</v>
      </c>
      <c r="F20" t="str">
        <f>"22"</f>
        <v>22</v>
      </c>
      <c r="G20">
        <v>94648</v>
      </c>
      <c r="H20">
        <v>85</v>
      </c>
      <c r="I20">
        <v>81390</v>
      </c>
      <c r="J20">
        <v>100</v>
      </c>
      <c r="K20">
        <v>6</v>
      </c>
      <c r="L20">
        <v>11</v>
      </c>
      <c r="M20">
        <v>2.2000000000000002</v>
      </c>
      <c r="N20">
        <v>181006</v>
      </c>
      <c r="O20">
        <v>292</v>
      </c>
      <c r="P20">
        <v>650</v>
      </c>
      <c r="Q20">
        <v>12402</v>
      </c>
      <c r="R20">
        <v>5577</v>
      </c>
      <c r="S20">
        <v>12</v>
      </c>
      <c r="T20">
        <v>38</v>
      </c>
      <c r="U20">
        <v>22</v>
      </c>
      <c r="V20">
        <v>13</v>
      </c>
      <c r="W20">
        <v>15</v>
      </c>
      <c r="X20">
        <v>24</v>
      </c>
      <c r="Y20">
        <v>1</v>
      </c>
      <c r="Z20">
        <v>72</v>
      </c>
      <c r="AA20">
        <v>24</v>
      </c>
      <c r="AB20">
        <v>93</v>
      </c>
      <c r="AC20">
        <v>73</v>
      </c>
      <c r="AD20">
        <v>1</v>
      </c>
      <c r="AE20">
        <v>44</v>
      </c>
      <c r="AF20">
        <v>81</v>
      </c>
      <c r="AG20">
        <v>43</v>
      </c>
      <c r="AH20">
        <v>29</v>
      </c>
      <c r="AI20">
        <v>53</v>
      </c>
      <c r="AJ20">
        <v>20</v>
      </c>
      <c r="AK20">
        <v>5</v>
      </c>
      <c r="AL20">
        <v>49</v>
      </c>
      <c r="AM20">
        <v>18</v>
      </c>
      <c r="AN20">
        <v>29</v>
      </c>
      <c r="AO20">
        <v>2</v>
      </c>
      <c r="AP20">
        <v>87</v>
      </c>
      <c r="AQ20">
        <v>84</v>
      </c>
      <c r="AR20">
        <v>1</v>
      </c>
      <c r="AS20">
        <v>0</v>
      </c>
      <c r="AT20">
        <v>0</v>
      </c>
      <c r="AU20">
        <v>2</v>
      </c>
      <c r="AV20">
        <v>47</v>
      </c>
      <c r="AW20">
        <v>89</v>
      </c>
      <c r="AX20">
        <v>90</v>
      </c>
      <c r="AY20">
        <v>116</v>
      </c>
      <c r="AZ20">
        <v>32</v>
      </c>
      <c r="BA20">
        <v>31</v>
      </c>
      <c r="BB20">
        <v>37</v>
      </c>
      <c r="BC20">
        <v>23</v>
      </c>
      <c r="BD20">
        <v>32</v>
      </c>
      <c r="BE20">
        <v>68</v>
      </c>
      <c r="BF20">
        <v>57</v>
      </c>
      <c r="BG20" t="str">
        <f t="shared" si="4"/>
        <v>NA</v>
      </c>
      <c r="BH20" t="str">
        <f t="shared" si="4"/>
        <v>NA</v>
      </c>
      <c r="BI20" t="str">
        <f t="shared" si="4"/>
        <v>NA</v>
      </c>
      <c r="BJ20" t="str">
        <f t="shared" si="4"/>
        <v>NA</v>
      </c>
      <c r="BK20" t="str">
        <f t="shared" si="4"/>
        <v>NA</v>
      </c>
      <c r="BL20" t="str">
        <f>"LA"</f>
        <v>LA</v>
      </c>
      <c r="BM20" t="str">
        <f t="shared" si="3"/>
        <v>NA</v>
      </c>
      <c r="BN20" t="str">
        <f t="shared" si="3"/>
        <v>NA</v>
      </c>
      <c r="BO20">
        <v>1</v>
      </c>
      <c r="BP20">
        <v>13</v>
      </c>
      <c r="BQ20">
        <v>0</v>
      </c>
      <c r="BR20">
        <v>0</v>
      </c>
    </row>
    <row r="21" spans="1:70" x14ac:dyDescent="0.25">
      <c r="A21">
        <v>3</v>
      </c>
      <c r="B21" t="str">
        <f t="shared" si="0"/>
        <v>Summary of All HUD Programs</v>
      </c>
      <c r="C21">
        <v>1</v>
      </c>
      <c r="D21" t="str">
        <f t="shared" si="1"/>
        <v>NA</v>
      </c>
      <c r="E21" t="str">
        <f>"ME Maine"</f>
        <v>ME Maine</v>
      </c>
      <c r="F21" t="str">
        <f>"23"</f>
        <v>23</v>
      </c>
      <c r="G21">
        <v>27051</v>
      </c>
      <c r="H21">
        <v>91</v>
      </c>
      <c r="I21">
        <v>25001</v>
      </c>
      <c r="J21">
        <v>100</v>
      </c>
      <c r="K21">
        <v>6</v>
      </c>
      <c r="L21">
        <v>11</v>
      </c>
      <c r="M21">
        <v>1.8</v>
      </c>
      <c r="N21">
        <v>44257</v>
      </c>
      <c r="O21">
        <v>357</v>
      </c>
      <c r="P21">
        <v>724</v>
      </c>
      <c r="Q21">
        <v>14993</v>
      </c>
      <c r="R21">
        <v>8469</v>
      </c>
      <c r="S21">
        <v>3</v>
      </c>
      <c r="T21">
        <v>30</v>
      </c>
      <c r="U21">
        <v>28</v>
      </c>
      <c r="V21">
        <v>18</v>
      </c>
      <c r="W21">
        <v>21</v>
      </c>
      <c r="X21">
        <v>14</v>
      </c>
      <c r="Y21">
        <v>2</v>
      </c>
      <c r="Z21">
        <v>80</v>
      </c>
      <c r="AA21">
        <v>24</v>
      </c>
      <c r="AB21">
        <v>95</v>
      </c>
      <c r="AC21">
        <v>73</v>
      </c>
      <c r="AD21">
        <v>5</v>
      </c>
      <c r="AE21">
        <v>21</v>
      </c>
      <c r="AF21">
        <v>68</v>
      </c>
      <c r="AG21">
        <v>21</v>
      </c>
      <c r="AH21">
        <v>59</v>
      </c>
      <c r="AI21">
        <v>43</v>
      </c>
      <c r="AJ21">
        <v>33</v>
      </c>
      <c r="AK21">
        <v>2</v>
      </c>
      <c r="AL21">
        <v>35</v>
      </c>
      <c r="AM21">
        <v>20</v>
      </c>
      <c r="AN21">
        <v>42</v>
      </c>
      <c r="AO21">
        <v>5</v>
      </c>
      <c r="AP21">
        <v>11</v>
      </c>
      <c r="AQ21">
        <v>7</v>
      </c>
      <c r="AR21">
        <v>0</v>
      </c>
      <c r="AS21">
        <v>1</v>
      </c>
      <c r="AT21">
        <v>1</v>
      </c>
      <c r="AU21">
        <v>2</v>
      </c>
      <c r="AV21">
        <v>24</v>
      </c>
      <c r="AW21">
        <v>93</v>
      </c>
      <c r="AX21">
        <v>50</v>
      </c>
      <c r="AY21">
        <v>84</v>
      </c>
      <c r="AZ21">
        <v>56</v>
      </c>
      <c r="BA21">
        <v>25</v>
      </c>
      <c r="BB21">
        <v>19</v>
      </c>
      <c r="BC21">
        <v>13</v>
      </c>
      <c r="BD21">
        <v>19</v>
      </c>
      <c r="BE21">
        <v>10</v>
      </c>
      <c r="BF21">
        <v>48</v>
      </c>
      <c r="BG21" t="str">
        <f t="shared" si="4"/>
        <v>NA</v>
      </c>
      <c r="BH21" t="str">
        <f t="shared" si="4"/>
        <v>NA</v>
      </c>
      <c r="BI21" t="str">
        <f t="shared" si="4"/>
        <v>NA</v>
      </c>
      <c r="BJ21" t="str">
        <f t="shared" si="4"/>
        <v>NA</v>
      </c>
      <c r="BK21" t="str">
        <f t="shared" si="4"/>
        <v>NA</v>
      </c>
      <c r="BL21" t="str">
        <f>"ME"</f>
        <v>ME</v>
      </c>
      <c r="BM21" t="str">
        <f t="shared" si="3"/>
        <v>NA</v>
      </c>
      <c r="BN21" t="str">
        <f t="shared" si="3"/>
        <v>NA</v>
      </c>
      <c r="BO21">
        <v>1</v>
      </c>
      <c r="BP21">
        <v>86</v>
      </c>
      <c r="BQ21">
        <v>1</v>
      </c>
      <c r="BR21">
        <v>0</v>
      </c>
    </row>
    <row r="22" spans="1:70" x14ac:dyDescent="0.25">
      <c r="A22">
        <v>3</v>
      </c>
      <c r="B22" t="str">
        <f t="shared" si="0"/>
        <v>Summary of All HUD Programs</v>
      </c>
      <c r="C22">
        <v>1</v>
      </c>
      <c r="D22" t="str">
        <f t="shared" si="1"/>
        <v>NA</v>
      </c>
      <c r="E22" t="str">
        <f>"MD Maryland"</f>
        <v>MD Maryland</v>
      </c>
      <c r="F22" t="str">
        <f>"24"</f>
        <v>24</v>
      </c>
      <c r="G22">
        <v>102076</v>
      </c>
      <c r="H22">
        <v>88</v>
      </c>
      <c r="I22">
        <v>90377</v>
      </c>
      <c r="J22">
        <v>100</v>
      </c>
      <c r="K22">
        <v>8</v>
      </c>
      <c r="L22">
        <v>7</v>
      </c>
      <c r="M22">
        <v>2</v>
      </c>
      <c r="N22">
        <v>183848</v>
      </c>
      <c r="O22">
        <v>392</v>
      </c>
      <c r="P22">
        <v>1022</v>
      </c>
      <c r="Q22">
        <v>16085</v>
      </c>
      <c r="R22">
        <v>7907</v>
      </c>
      <c r="S22">
        <v>7</v>
      </c>
      <c r="T22">
        <v>31</v>
      </c>
      <c r="U22">
        <v>21</v>
      </c>
      <c r="V22">
        <v>14</v>
      </c>
      <c r="W22">
        <v>27</v>
      </c>
      <c r="X22">
        <v>23</v>
      </c>
      <c r="Y22">
        <v>4</v>
      </c>
      <c r="Z22">
        <v>68</v>
      </c>
      <c r="AA22">
        <v>19</v>
      </c>
      <c r="AB22">
        <v>97</v>
      </c>
      <c r="AC22">
        <v>83</v>
      </c>
      <c r="AD22">
        <v>2</v>
      </c>
      <c r="AE22">
        <v>33</v>
      </c>
      <c r="AF22">
        <v>76</v>
      </c>
      <c r="AG22">
        <v>33</v>
      </c>
      <c r="AH22">
        <v>37</v>
      </c>
      <c r="AI22">
        <v>46</v>
      </c>
      <c r="AJ22">
        <v>24</v>
      </c>
      <c r="AK22">
        <v>2</v>
      </c>
      <c r="AL22">
        <v>42</v>
      </c>
      <c r="AM22">
        <v>20</v>
      </c>
      <c r="AN22">
        <v>36</v>
      </c>
      <c r="AO22">
        <v>4</v>
      </c>
      <c r="AP22">
        <v>78</v>
      </c>
      <c r="AQ22">
        <v>72</v>
      </c>
      <c r="AR22">
        <v>1</v>
      </c>
      <c r="AS22">
        <v>0</v>
      </c>
      <c r="AT22">
        <v>3</v>
      </c>
      <c r="AU22">
        <v>3</v>
      </c>
      <c r="AV22">
        <v>40</v>
      </c>
      <c r="AW22">
        <v>112</v>
      </c>
      <c r="AX22">
        <v>73</v>
      </c>
      <c r="AY22">
        <v>156</v>
      </c>
      <c r="AZ22">
        <v>45</v>
      </c>
      <c r="BA22">
        <v>28</v>
      </c>
      <c r="BB22">
        <v>27</v>
      </c>
      <c r="BC22">
        <v>14</v>
      </c>
      <c r="BD22">
        <v>19</v>
      </c>
      <c r="BE22">
        <v>62</v>
      </c>
      <c r="BF22">
        <v>29</v>
      </c>
      <c r="BG22" t="str">
        <f t="shared" ref="BG22:BK31" si="5">"NA"</f>
        <v>NA</v>
      </c>
      <c r="BH22" t="str">
        <f t="shared" si="5"/>
        <v>NA</v>
      </c>
      <c r="BI22" t="str">
        <f t="shared" si="5"/>
        <v>NA</v>
      </c>
      <c r="BJ22" t="str">
        <f t="shared" si="5"/>
        <v>NA</v>
      </c>
      <c r="BK22" t="str">
        <f t="shared" si="5"/>
        <v>NA</v>
      </c>
      <c r="BL22" t="str">
        <f>"MD"</f>
        <v>MD</v>
      </c>
      <c r="BM22" t="str">
        <f t="shared" ref="BM22:BN41" si="6">"NA"</f>
        <v>NA</v>
      </c>
      <c r="BN22" t="str">
        <f t="shared" si="6"/>
        <v>NA</v>
      </c>
      <c r="BO22">
        <v>2</v>
      </c>
      <c r="BP22">
        <v>20</v>
      </c>
      <c r="BQ22">
        <v>1</v>
      </c>
      <c r="BR22">
        <v>1</v>
      </c>
    </row>
    <row r="23" spans="1:70" x14ac:dyDescent="0.25">
      <c r="A23">
        <v>3</v>
      </c>
      <c r="B23" t="str">
        <f t="shared" si="0"/>
        <v>Summary of All HUD Programs</v>
      </c>
      <c r="C23">
        <v>1</v>
      </c>
      <c r="D23" t="str">
        <f t="shared" si="1"/>
        <v>NA</v>
      </c>
      <c r="E23" t="str">
        <f>"MA Massachusetts"</f>
        <v>MA Massachusetts</v>
      </c>
      <c r="F23" t="str">
        <f>"25"</f>
        <v>25</v>
      </c>
      <c r="G23">
        <v>195859</v>
      </c>
      <c r="H23">
        <v>94</v>
      </c>
      <c r="I23">
        <v>182940</v>
      </c>
      <c r="J23">
        <v>100</v>
      </c>
      <c r="K23">
        <v>6</v>
      </c>
      <c r="L23">
        <v>7</v>
      </c>
      <c r="M23">
        <v>1.9</v>
      </c>
      <c r="N23">
        <v>345652</v>
      </c>
      <c r="O23">
        <v>408</v>
      </c>
      <c r="P23">
        <v>1132</v>
      </c>
      <c r="Q23">
        <v>18418</v>
      </c>
      <c r="R23">
        <v>9748</v>
      </c>
      <c r="S23">
        <v>4</v>
      </c>
      <c r="T23">
        <v>12</v>
      </c>
      <c r="U23">
        <v>35</v>
      </c>
      <c r="V23">
        <v>17</v>
      </c>
      <c r="W23">
        <v>32</v>
      </c>
      <c r="X23">
        <v>21</v>
      </c>
      <c r="Y23">
        <v>4</v>
      </c>
      <c r="Z23">
        <v>72</v>
      </c>
      <c r="AA23">
        <v>21</v>
      </c>
      <c r="AB23">
        <v>96</v>
      </c>
      <c r="AC23">
        <v>80</v>
      </c>
      <c r="AD23">
        <v>3</v>
      </c>
      <c r="AE23">
        <v>26</v>
      </c>
      <c r="AF23">
        <v>73</v>
      </c>
      <c r="AG23">
        <v>26</v>
      </c>
      <c r="AH23">
        <v>43</v>
      </c>
      <c r="AI23">
        <v>44</v>
      </c>
      <c r="AJ23">
        <v>28</v>
      </c>
      <c r="AK23">
        <v>1</v>
      </c>
      <c r="AL23">
        <v>35</v>
      </c>
      <c r="AM23">
        <v>21</v>
      </c>
      <c r="AN23">
        <v>43</v>
      </c>
      <c r="AO23">
        <v>5</v>
      </c>
      <c r="AP23">
        <v>57</v>
      </c>
      <c r="AQ23">
        <v>20</v>
      </c>
      <c r="AR23">
        <v>3</v>
      </c>
      <c r="AS23">
        <v>0</v>
      </c>
      <c r="AT23">
        <v>5</v>
      </c>
      <c r="AU23">
        <v>31</v>
      </c>
      <c r="AV23">
        <v>43</v>
      </c>
      <c r="AW23">
        <v>207</v>
      </c>
      <c r="AX23">
        <v>58</v>
      </c>
      <c r="AY23">
        <v>110</v>
      </c>
      <c r="AZ23">
        <v>49</v>
      </c>
      <c r="BA23">
        <v>28</v>
      </c>
      <c r="BB23">
        <v>22</v>
      </c>
      <c r="BC23">
        <v>13</v>
      </c>
      <c r="BD23">
        <v>22</v>
      </c>
      <c r="BE23">
        <v>46</v>
      </c>
      <c r="BF23">
        <v>26</v>
      </c>
      <c r="BG23" t="str">
        <f t="shared" si="5"/>
        <v>NA</v>
      </c>
      <c r="BH23" t="str">
        <f t="shared" si="5"/>
        <v>NA</v>
      </c>
      <c r="BI23" t="str">
        <f t="shared" si="5"/>
        <v>NA</v>
      </c>
      <c r="BJ23" t="str">
        <f t="shared" si="5"/>
        <v>NA</v>
      </c>
      <c r="BK23" t="str">
        <f t="shared" si="5"/>
        <v>NA</v>
      </c>
      <c r="BL23" t="str">
        <f>"MA"</f>
        <v>MA</v>
      </c>
      <c r="BM23" t="str">
        <f t="shared" si="6"/>
        <v>NA</v>
      </c>
      <c r="BN23" t="str">
        <f t="shared" si="6"/>
        <v>NA</v>
      </c>
      <c r="BO23">
        <v>23</v>
      </c>
      <c r="BP23">
        <v>41</v>
      </c>
      <c r="BQ23">
        <v>1</v>
      </c>
      <c r="BR23">
        <v>5</v>
      </c>
    </row>
    <row r="24" spans="1:70" x14ac:dyDescent="0.25">
      <c r="A24">
        <v>3</v>
      </c>
      <c r="B24" t="str">
        <f t="shared" si="0"/>
        <v>Summary of All HUD Programs</v>
      </c>
      <c r="C24">
        <v>1</v>
      </c>
      <c r="D24" t="str">
        <f t="shared" si="1"/>
        <v>NA</v>
      </c>
      <c r="E24" t="str">
        <f>"MI Michigan"</f>
        <v>MI Michigan</v>
      </c>
      <c r="F24" t="str">
        <f>"26"</f>
        <v>26</v>
      </c>
      <c r="G24">
        <v>145810</v>
      </c>
      <c r="H24">
        <v>90</v>
      </c>
      <c r="I24">
        <v>130544</v>
      </c>
      <c r="J24">
        <v>100</v>
      </c>
      <c r="K24">
        <v>6</v>
      </c>
      <c r="L24">
        <v>10</v>
      </c>
      <c r="M24">
        <v>1.9</v>
      </c>
      <c r="N24">
        <v>243270</v>
      </c>
      <c r="O24">
        <v>315</v>
      </c>
      <c r="P24">
        <v>594</v>
      </c>
      <c r="Q24">
        <v>13233</v>
      </c>
      <c r="R24">
        <v>7101</v>
      </c>
      <c r="S24">
        <v>9</v>
      </c>
      <c r="T24">
        <v>34</v>
      </c>
      <c r="U24">
        <v>24</v>
      </c>
      <c r="V24">
        <v>15</v>
      </c>
      <c r="W24">
        <v>17</v>
      </c>
      <c r="X24">
        <v>15</v>
      </c>
      <c r="Y24">
        <v>1</v>
      </c>
      <c r="Z24">
        <v>80</v>
      </c>
      <c r="AA24">
        <v>23</v>
      </c>
      <c r="AB24">
        <v>96</v>
      </c>
      <c r="AC24">
        <v>76</v>
      </c>
      <c r="AD24">
        <v>2</v>
      </c>
      <c r="AE24">
        <v>30</v>
      </c>
      <c r="AF24">
        <v>74</v>
      </c>
      <c r="AG24">
        <v>30</v>
      </c>
      <c r="AH24">
        <v>41</v>
      </c>
      <c r="AI24">
        <v>40</v>
      </c>
      <c r="AJ24">
        <v>25</v>
      </c>
      <c r="AK24">
        <v>4</v>
      </c>
      <c r="AL24">
        <v>39</v>
      </c>
      <c r="AM24">
        <v>19</v>
      </c>
      <c r="AN24">
        <v>38</v>
      </c>
      <c r="AO24">
        <v>4</v>
      </c>
      <c r="AP24">
        <v>56</v>
      </c>
      <c r="AQ24">
        <v>51</v>
      </c>
      <c r="AR24">
        <v>1</v>
      </c>
      <c r="AS24">
        <v>1</v>
      </c>
      <c r="AT24">
        <v>1</v>
      </c>
      <c r="AU24">
        <v>3</v>
      </c>
      <c r="AV24">
        <v>25</v>
      </c>
      <c r="AW24">
        <v>90</v>
      </c>
      <c r="AX24">
        <v>77</v>
      </c>
      <c r="AY24">
        <v>101</v>
      </c>
      <c r="AZ24">
        <v>51</v>
      </c>
      <c r="BA24">
        <v>27</v>
      </c>
      <c r="BB24">
        <v>21</v>
      </c>
      <c r="BC24">
        <v>13</v>
      </c>
      <c r="BD24">
        <v>28</v>
      </c>
      <c r="BE24">
        <v>46</v>
      </c>
      <c r="BF24">
        <v>55</v>
      </c>
      <c r="BG24" t="str">
        <f t="shared" si="5"/>
        <v>NA</v>
      </c>
      <c r="BH24" t="str">
        <f t="shared" si="5"/>
        <v>NA</v>
      </c>
      <c r="BI24" t="str">
        <f t="shared" si="5"/>
        <v>NA</v>
      </c>
      <c r="BJ24" t="str">
        <f t="shared" si="5"/>
        <v>NA</v>
      </c>
      <c r="BK24" t="str">
        <f t="shared" si="5"/>
        <v>NA</v>
      </c>
      <c r="BL24" t="str">
        <f>"MI"</f>
        <v>MI</v>
      </c>
      <c r="BM24" t="str">
        <f t="shared" si="6"/>
        <v>NA</v>
      </c>
      <c r="BN24" t="str">
        <f t="shared" si="6"/>
        <v>NA</v>
      </c>
      <c r="BO24">
        <v>2</v>
      </c>
      <c r="BP24">
        <v>42</v>
      </c>
      <c r="BQ24">
        <v>1</v>
      </c>
      <c r="BR24">
        <v>1</v>
      </c>
    </row>
    <row r="25" spans="1:70" x14ac:dyDescent="0.25">
      <c r="A25">
        <v>3</v>
      </c>
      <c r="B25" t="str">
        <f t="shared" si="0"/>
        <v>Summary of All HUD Programs</v>
      </c>
      <c r="C25">
        <v>1</v>
      </c>
      <c r="D25" t="str">
        <f t="shared" si="1"/>
        <v>NA</v>
      </c>
      <c r="E25" t="str">
        <f>"MN Minnesota"</f>
        <v>MN Minnesota</v>
      </c>
      <c r="F25" t="str">
        <f>"27"</f>
        <v>27</v>
      </c>
      <c r="G25">
        <v>91016</v>
      </c>
      <c r="H25">
        <v>90</v>
      </c>
      <c r="I25">
        <v>84380</v>
      </c>
      <c r="J25">
        <v>100</v>
      </c>
      <c r="K25">
        <v>6</v>
      </c>
      <c r="L25">
        <v>14</v>
      </c>
      <c r="M25">
        <v>2</v>
      </c>
      <c r="N25">
        <v>171375</v>
      </c>
      <c r="O25">
        <v>369</v>
      </c>
      <c r="P25">
        <v>659</v>
      </c>
      <c r="Q25">
        <v>15765</v>
      </c>
      <c r="R25">
        <v>7762</v>
      </c>
      <c r="S25">
        <v>7</v>
      </c>
      <c r="T25">
        <v>17</v>
      </c>
      <c r="U25">
        <v>35</v>
      </c>
      <c r="V25">
        <v>16</v>
      </c>
      <c r="W25">
        <v>25</v>
      </c>
      <c r="X25">
        <v>21</v>
      </c>
      <c r="Y25">
        <v>6</v>
      </c>
      <c r="Z25">
        <v>70</v>
      </c>
      <c r="AA25">
        <v>21</v>
      </c>
      <c r="AB25">
        <v>97</v>
      </c>
      <c r="AC25">
        <v>79</v>
      </c>
      <c r="AD25">
        <v>6</v>
      </c>
      <c r="AE25">
        <v>25</v>
      </c>
      <c r="AF25">
        <v>70</v>
      </c>
      <c r="AG25">
        <v>28</v>
      </c>
      <c r="AH25">
        <v>43</v>
      </c>
      <c r="AI25">
        <v>45</v>
      </c>
      <c r="AJ25">
        <v>24</v>
      </c>
      <c r="AK25">
        <v>3</v>
      </c>
      <c r="AL25">
        <v>39</v>
      </c>
      <c r="AM25">
        <v>20</v>
      </c>
      <c r="AN25">
        <v>38</v>
      </c>
      <c r="AO25">
        <v>4</v>
      </c>
      <c r="AP25">
        <v>48</v>
      </c>
      <c r="AQ25">
        <v>39</v>
      </c>
      <c r="AR25">
        <v>0</v>
      </c>
      <c r="AS25">
        <v>3</v>
      </c>
      <c r="AT25">
        <v>4</v>
      </c>
      <c r="AU25">
        <v>3</v>
      </c>
      <c r="AV25">
        <v>22</v>
      </c>
      <c r="AW25">
        <v>92</v>
      </c>
      <c r="AX25">
        <v>61</v>
      </c>
      <c r="AY25">
        <v>85</v>
      </c>
      <c r="AZ25">
        <v>58</v>
      </c>
      <c r="BA25">
        <v>23</v>
      </c>
      <c r="BB25">
        <v>19</v>
      </c>
      <c r="BC25">
        <v>8</v>
      </c>
      <c r="BD25">
        <v>20</v>
      </c>
      <c r="BE25">
        <v>30</v>
      </c>
      <c r="BF25">
        <v>48</v>
      </c>
      <c r="BG25" t="str">
        <f t="shared" si="5"/>
        <v>NA</v>
      </c>
      <c r="BH25" t="str">
        <f t="shared" si="5"/>
        <v>NA</v>
      </c>
      <c r="BI25" t="str">
        <f t="shared" si="5"/>
        <v>NA</v>
      </c>
      <c r="BJ25" t="str">
        <f t="shared" si="5"/>
        <v>NA</v>
      </c>
      <c r="BK25" t="str">
        <f t="shared" si="5"/>
        <v>NA</v>
      </c>
      <c r="BL25" t="str">
        <f>"MN"</f>
        <v>MN</v>
      </c>
      <c r="BM25" t="str">
        <f t="shared" si="6"/>
        <v>NA</v>
      </c>
      <c r="BN25" t="str">
        <f t="shared" si="6"/>
        <v>NA</v>
      </c>
      <c r="BO25">
        <v>2</v>
      </c>
      <c r="BP25">
        <v>51</v>
      </c>
      <c r="BQ25">
        <v>2</v>
      </c>
      <c r="BR25">
        <v>1</v>
      </c>
    </row>
    <row r="26" spans="1:70" x14ac:dyDescent="0.25">
      <c r="A26">
        <v>3</v>
      </c>
      <c r="B26" t="str">
        <f t="shared" si="0"/>
        <v>Summary of All HUD Programs</v>
      </c>
      <c r="C26">
        <v>1</v>
      </c>
      <c r="D26" t="str">
        <f t="shared" si="1"/>
        <v>NA</v>
      </c>
      <c r="E26" t="str">
        <f>"MS Mississippi"</f>
        <v>MS Mississippi</v>
      </c>
      <c r="F26" t="str">
        <f>"28"</f>
        <v>28</v>
      </c>
      <c r="G26">
        <v>55842</v>
      </c>
      <c r="H26">
        <v>93</v>
      </c>
      <c r="I26">
        <v>52290</v>
      </c>
      <c r="J26">
        <v>100</v>
      </c>
      <c r="K26">
        <v>6</v>
      </c>
      <c r="L26">
        <v>13</v>
      </c>
      <c r="M26">
        <v>2.4</v>
      </c>
      <c r="N26">
        <v>123112</v>
      </c>
      <c r="O26">
        <v>277</v>
      </c>
      <c r="P26">
        <v>579</v>
      </c>
      <c r="Q26">
        <v>11756</v>
      </c>
      <c r="R26">
        <v>4993</v>
      </c>
      <c r="S26">
        <v>17</v>
      </c>
      <c r="T26">
        <v>34</v>
      </c>
      <c r="U26">
        <v>23</v>
      </c>
      <c r="V26">
        <v>13</v>
      </c>
      <c r="W26">
        <v>14</v>
      </c>
      <c r="X26">
        <v>25</v>
      </c>
      <c r="Y26">
        <v>1</v>
      </c>
      <c r="Z26">
        <v>72</v>
      </c>
      <c r="AA26">
        <v>24</v>
      </c>
      <c r="AB26">
        <v>94</v>
      </c>
      <c r="AC26">
        <v>71</v>
      </c>
      <c r="AD26">
        <v>2</v>
      </c>
      <c r="AE26">
        <v>49</v>
      </c>
      <c r="AF26">
        <v>84</v>
      </c>
      <c r="AG26">
        <v>49</v>
      </c>
      <c r="AH26">
        <v>26</v>
      </c>
      <c r="AI26">
        <v>53</v>
      </c>
      <c r="AJ26">
        <v>17</v>
      </c>
      <c r="AK26">
        <v>4</v>
      </c>
      <c r="AL26">
        <v>55</v>
      </c>
      <c r="AM26">
        <v>17</v>
      </c>
      <c r="AN26">
        <v>24</v>
      </c>
      <c r="AO26">
        <v>1</v>
      </c>
      <c r="AP26">
        <v>86</v>
      </c>
      <c r="AQ26">
        <v>84</v>
      </c>
      <c r="AR26">
        <v>0</v>
      </c>
      <c r="AS26">
        <v>0</v>
      </c>
      <c r="AT26">
        <v>0</v>
      </c>
      <c r="AU26">
        <v>1</v>
      </c>
      <c r="AV26">
        <v>26</v>
      </c>
      <c r="AW26">
        <v>85</v>
      </c>
      <c r="AX26">
        <v>91</v>
      </c>
      <c r="AY26">
        <v>134</v>
      </c>
      <c r="AZ26">
        <v>25</v>
      </c>
      <c r="BA26">
        <v>29</v>
      </c>
      <c r="BB26">
        <v>46</v>
      </c>
      <c r="BC26">
        <v>24</v>
      </c>
      <c r="BD26">
        <v>32</v>
      </c>
      <c r="BE26">
        <v>63</v>
      </c>
      <c r="BF26">
        <v>65</v>
      </c>
      <c r="BG26" t="str">
        <f t="shared" si="5"/>
        <v>NA</v>
      </c>
      <c r="BH26" t="str">
        <f t="shared" si="5"/>
        <v>NA</v>
      </c>
      <c r="BI26" t="str">
        <f t="shared" si="5"/>
        <v>NA</v>
      </c>
      <c r="BJ26" t="str">
        <f t="shared" si="5"/>
        <v>NA</v>
      </c>
      <c r="BK26" t="str">
        <f t="shared" si="5"/>
        <v>NA</v>
      </c>
      <c r="BL26" t="str">
        <f>"MS"</f>
        <v>MS</v>
      </c>
      <c r="BM26" t="str">
        <f t="shared" si="6"/>
        <v>NA</v>
      </c>
      <c r="BN26" t="str">
        <f t="shared" si="6"/>
        <v>NA</v>
      </c>
      <c r="BO26">
        <v>1</v>
      </c>
      <c r="BP26">
        <v>13</v>
      </c>
      <c r="BQ26">
        <v>0</v>
      </c>
      <c r="BR26">
        <v>0</v>
      </c>
    </row>
    <row r="27" spans="1:70" x14ac:dyDescent="0.25">
      <c r="A27">
        <v>3</v>
      </c>
      <c r="B27" t="str">
        <f t="shared" si="0"/>
        <v>Summary of All HUD Programs</v>
      </c>
      <c r="C27">
        <v>1</v>
      </c>
      <c r="D27" t="str">
        <f t="shared" si="1"/>
        <v>NA</v>
      </c>
      <c r="E27" t="str">
        <f>"MO Missouri"</f>
        <v>MO Missouri</v>
      </c>
      <c r="F27" t="str">
        <f>"29"</f>
        <v>29</v>
      </c>
      <c r="G27">
        <v>92649</v>
      </c>
      <c r="H27">
        <v>89</v>
      </c>
      <c r="I27">
        <v>81841</v>
      </c>
      <c r="J27">
        <v>100</v>
      </c>
      <c r="K27">
        <v>6</v>
      </c>
      <c r="L27">
        <v>14</v>
      </c>
      <c r="M27">
        <v>1.9</v>
      </c>
      <c r="N27">
        <v>158676</v>
      </c>
      <c r="O27">
        <v>293</v>
      </c>
      <c r="P27">
        <v>551</v>
      </c>
      <c r="Q27">
        <v>12543</v>
      </c>
      <c r="R27">
        <v>6469</v>
      </c>
      <c r="S27">
        <v>10</v>
      </c>
      <c r="T27">
        <v>33</v>
      </c>
      <c r="U27">
        <v>26</v>
      </c>
      <c r="V27">
        <v>14</v>
      </c>
      <c r="W27">
        <v>17</v>
      </c>
      <c r="X27">
        <v>20</v>
      </c>
      <c r="Y27">
        <v>1</v>
      </c>
      <c r="Z27">
        <v>70</v>
      </c>
      <c r="AA27">
        <v>22</v>
      </c>
      <c r="AB27">
        <v>96</v>
      </c>
      <c r="AC27">
        <v>77</v>
      </c>
      <c r="AD27">
        <v>3</v>
      </c>
      <c r="AE27">
        <v>33</v>
      </c>
      <c r="AF27">
        <v>75</v>
      </c>
      <c r="AG27">
        <v>33</v>
      </c>
      <c r="AH27">
        <v>39</v>
      </c>
      <c r="AI27">
        <v>43</v>
      </c>
      <c r="AJ27">
        <v>23</v>
      </c>
      <c r="AK27">
        <v>5</v>
      </c>
      <c r="AL27">
        <v>42</v>
      </c>
      <c r="AM27">
        <v>20</v>
      </c>
      <c r="AN27">
        <v>34</v>
      </c>
      <c r="AO27">
        <v>3</v>
      </c>
      <c r="AP27">
        <v>54</v>
      </c>
      <c r="AQ27">
        <v>51</v>
      </c>
      <c r="AR27">
        <v>0</v>
      </c>
      <c r="AS27">
        <v>1</v>
      </c>
      <c r="AT27">
        <v>1</v>
      </c>
      <c r="AU27">
        <v>2</v>
      </c>
      <c r="AV27">
        <v>25</v>
      </c>
      <c r="AW27">
        <v>80</v>
      </c>
      <c r="AX27">
        <v>79</v>
      </c>
      <c r="AY27">
        <v>133</v>
      </c>
      <c r="AZ27">
        <v>46</v>
      </c>
      <c r="BA27">
        <v>29</v>
      </c>
      <c r="BB27">
        <v>25</v>
      </c>
      <c r="BC27">
        <v>18</v>
      </c>
      <c r="BD27">
        <v>24</v>
      </c>
      <c r="BE27">
        <v>41</v>
      </c>
      <c r="BF27">
        <v>60</v>
      </c>
      <c r="BG27" t="str">
        <f t="shared" si="5"/>
        <v>NA</v>
      </c>
      <c r="BH27" t="str">
        <f t="shared" si="5"/>
        <v>NA</v>
      </c>
      <c r="BI27" t="str">
        <f t="shared" si="5"/>
        <v>NA</v>
      </c>
      <c r="BJ27" t="str">
        <f t="shared" si="5"/>
        <v>NA</v>
      </c>
      <c r="BK27" t="str">
        <f t="shared" si="5"/>
        <v>NA</v>
      </c>
      <c r="BL27" t="str">
        <f>"MO"</f>
        <v>MO</v>
      </c>
      <c r="BM27" t="str">
        <f t="shared" si="6"/>
        <v>NA</v>
      </c>
      <c r="BN27" t="str">
        <f t="shared" si="6"/>
        <v>NA</v>
      </c>
      <c r="BO27">
        <v>1</v>
      </c>
      <c r="BP27">
        <v>44</v>
      </c>
      <c r="BQ27">
        <v>1</v>
      </c>
      <c r="BR27">
        <v>1</v>
      </c>
    </row>
    <row r="28" spans="1:70" x14ac:dyDescent="0.25">
      <c r="A28">
        <v>3</v>
      </c>
      <c r="B28" t="str">
        <f t="shared" si="0"/>
        <v>Summary of All HUD Programs</v>
      </c>
      <c r="C28">
        <v>1</v>
      </c>
      <c r="D28" t="str">
        <f t="shared" si="1"/>
        <v>NA</v>
      </c>
      <c r="E28" t="str">
        <f>"MT Montana"</f>
        <v>MT Montana</v>
      </c>
      <c r="F28" t="str">
        <f>"30"</f>
        <v>30</v>
      </c>
      <c r="G28">
        <v>13902</v>
      </c>
      <c r="H28">
        <v>85</v>
      </c>
      <c r="I28">
        <v>11977</v>
      </c>
      <c r="J28">
        <v>100</v>
      </c>
      <c r="K28">
        <v>6</v>
      </c>
      <c r="L28">
        <v>16</v>
      </c>
      <c r="M28">
        <v>1.8</v>
      </c>
      <c r="N28">
        <v>21446</v>
      </c>
      <c r="O28">
        <v>302</v>
      </c>
      <c r="P28">
        <v>554</v>
      </c>
      <c r="Q28">
        <v>12811</v>
      </c>
      <c r="R28">
        <v>7154</v>
      </c>
      <c r="S28">
        <v>8</v>
      </c>
      <c r="T28">
        <v>31</v>
      </c>
      <c r="U28">
        <v>28</v>
      </c>
      <c r="V28">
        <v>16</v>
      </c>
      <c r="W28">
        <v>16</v>
      </c>
      <c r="X28">
        <v>17</v>
      </c>
      <c r="Y28">
        <v>2</v>
      </c>
      <c r="Z28">
        <v>73</v>
      </c>
      <c r="AA28">
        <v>22</v>
      </c>
      <c r="AB28">
        <v>97</v>
      </c>
      <c r="AC28">
        <v>77</v>
      </c>
      <c r="AD28">
        <v>5</v>
      </c>
      <c r="AE28">
        <v>25</v>
      </c>
      <c r="AF28">
        <v>68</v>
      </c>
      <c r="AG28">
        <v>26</v>
      </c>
      <c r="AH28">
        <v>48</v>
      </c>
      <c r="AI28">
        <v>49</v>
      </c>
      <c r="AJ28">
        <v>30</v>
      </c>
      <c r="AK28">
        <v>5</v>
      </c>
      <c r="AL28">
        <v>38</v>
      </c>
      <c r="AM28">
        <v>20</v>
      </c>
      <c r="AN28">
        <v>37</v>
      </c>
      <c r="AO28">
        <v>3</v>
      </c>
      <c r="AP28">
        <v>20</v>
      </c>
      <c r="AQ28">
        <v>2</v>
      </c>
      <c r="AR28">
        <v>0</v>
      </c>
      <c r="AS28">
        <v>13</v>
      </c>
      <c r="AT28">
        <v>1</v>
      </c>
      <c r="AU28">
        <v>4</v>
      </c>
      <c r="AV28">
        <v>22</v>
      </c>
      <c r="AW28">
        <v>76</v>
      </c>
      <c r="AX28">
        <v>49</v>
      </c>
      <c r="AY28">
        <v>112</v>
      </c>
      <c r="AZ28">
        <v>50</v>
      </c>
      <c r="BA28">
        <v>30</v>
      </c>
      <c r="BB28">
        <v>19</v>
      </c>
      <c r="BC28">
        <v>17</v>
      </c>
      <c r="BD28">
        <v>18</v>
      </c>
      <c r="BE28">
        <v>13</v>
      </c>
      <c r="BF28">
        <v>58</v>
      </c>
      <c r="BG28" t="str">
        <f t="shared" si="5"/>
        <v>NA</v>
      </c>
      <c r="BH28" t="str">
        <f t="shared" si="5"/>
        <v>NA</v>
      </c>
      <c r="BI28" t="str">
        <f t="shared" si="5"/>
        <v>NA</v>
      </c>
      <c r="BJ28" t="str">
        <f t="shared" si="5"/>
        <v>NA</v>
      </c>
      <c r="BK28" t="str">
        <f t="shared" si="5"/>
        <v>NA</v>
      </c>
      <c r="BL28" t="str">
        <f>"MT"</f>
        <v>MT</v>
      </c>
      <c r="BM28" t="str">
        <f t="shared" si="6"/>
        <v>NA</v>
      </c>
      <c r="BN28" t="str">
        <f t="shared" si="6"/>
        <v>NA</v>
      </c>
      <c r="BO28">
        <v>3</v>
      </c>
      <c r="BP28">
        <v>79</v>
      </c>
      <c r="BQ28">
        <v>3</v>
      </c>
      <c r="BR28">
        <v>1</v>
      </c>
    </row>
    <row r="29" spans="1:70" x14ac:dyDescent="0.25">
      <c r="A29">
        <v>3</v>
      </c>
      <c r="B29" t="str">
        <f t="shared" si="0"/>
        <v>Summary of All HUD Programs</v>
      </c>
      <c r="C29">
        <v>1</v>
      </c>
      <c r="D29" t="str">
        <f t="shared" si="1"/>
        <v>NA</v>
      </c>
      <c r="E29" t="str">
        <f>"NE Nebraska"</f>
        <v>NE Nebraska</v>
      </c>
      <c r="F29" t="str">
        <f>"31"</f>
        <v>31</v>
      </c>
      <c r="G29">
        <v>27840</v>
      </c>
      <c r="H29">
        <v>88</v>
      </c>
      <c r="I29">
        <v>24696</v>
      </c>
      <c r="J29">
        <v>100</v>
      </c>
      <c r="K29">
        <v>6</v>
      </c>
      <c r="L29">
        <v>16</v>
      </c>
      <c r="M29">
        <v>1.9</v>
      </c>
      <c r="N29">
        <v>47054</v>
      </c>
      <c r="O29">
        <v>323</v>
      </c>
      <c r="P29">
        <v>485</v>
      </c>
      <c r="Q29">
        <v>14388</v>
      </c>
      <c r="R29">
        <v>7552</v>
      </c>
      <c r="S29">
        <v>7</v>
      </c>
      <c r="T29">
        <v>26</v>
      </c>
      <c r="U29">
        <v>28</v>
      </c>
      <c r="V29">
        <v>17</v>
      </c>
      <c r="W29">
        <v>22</v>
      </c>
      <c r="X29">
        <v>22</v>
      </c>
      <c r="Y29">
        <v>2</v>
      </c>
      <c r="Z29">
        <v>69</v>
      </c>
      <c r="AA29">
        <v>23</v>
      </c>
      <c r="AB29">
        <v>95</v>
      </c>
      <c r="AC29">
        <v>75</v>
      </c>
      <c r="AD29">
        <v>4</v>
      </c>
      <c r="AE29">
        <v>28</v>
      </c>
      <c r="AF29">
        <v>70</v>
      </c>
      <c r="AG29">
        <v>29</v>
      </c>
      <c r="AH29">
        <v>42</v>
      </c>
      <c r="AI29">
        <v>40</v>
      </c>
      <c r="AJ29">
        <v>24</v>
      </c>
      <c r="AK29">
        <v>5</v>
      </c>
      <c r="AL29">
        <v>40</v>
      </c>
      <c r="AM29">
        <v>20</v>
      </c>
      <c r="AN29">
        <v>36</v>
      </c>
      <c r="AO29">
        <v>4</v>
      </c>
      <c r="AP29">
        <v>37</v>
      </c>
      <c r="AQ29">
        <v>27</v>
      </c>
      <c r="AR29">
        <v>0</v>
      </c>
      <c r="AS29">
        <v>2</v>
      </c>
      <c r="AT29">
        <v>1</v>
      </c>
      <c r="AU29">
        <v>7</v>
      </c>
      <c r="AV29">
        <v>8</v>
      </c>
      <c r="AW29">
        <v>75</v>
      </c>
      <c r="AX29">
        <v>55</v>
      </c>
      <c r="AY29">
        <v>128</v>
      </c>
      <c r="AZ29">
        <v>52</v>
      </c>
      <c r="BA29">
        <v>25</v>
      </c>
      <c r="BB29">
        <v>23</v>
      </c>
      <c r="BC29">
        <v>14</v>
      </c>
      <c r="BD29">
        <v>19</v>
      </c>
      <c r="BE29">
        <v>31</v>
      </c>
      <c r="BF29">
        <v>64</v>
      </c>
      <c r="BG29" t="str">
        <f t="shared" si="5"/>
        <v>NA</v>
      </c>
      <c r="BH29" t="str">
        <f t="shared" si="5"/>
        <v>NA</v>
      </c>
      <c r="BI29" t="str">
        <f t="shared" si="5"/>
        <v>NA</v>
      </c>
      <c r="BJ29" t="str">
        <f t="shared" si="5"/>
        <v>NA</v>
      </c>
      <c r="BK29" t="str">
        <f t="shared" si="5"/>
        <v>NA</v>
      </c>
      <c r="BL29" t="str">
        <f>"NE"</f>
        <v>NE</v>
      </c>
      <c r="BM29" t="str">
        <f t="shared" si="6"/>
        <v>NA</v>
      </c>
      <c r="BN29" t="str">
        <f t="shared" si="6"/>
        <v>NA</v>
      </c>
      <c r="BO29">
        <v>5</v>
      </c>
      <c r="BP29">
        <v>62</v>
      </c>
      <c r="BQ29">
        <v>1</v>
      </c>
      <c r="BR29">
        <v>1</v>
      </c>
    </row>
    <row r="30" spans="1:70" x14ac:dyDescent="0.25">
      <c r="A30">
        <v>3</v>
      </c>
      <c r="B30" t="str">
        <f t="shared" si="0"/>
        <v>Summary of All HUD Programs</v>
      </c>
      <c r="C30">
        <v>1</v>
      </c>
      <c r="D30" t="str">
        <f t="shared" si="1"/>
        <v>NA</v>
      </c>
      <c r="E30" t="str">
        <f>"NV Nevada"</f>
        <v>NV Nevada</v>
      </c>
      <c r="F30" t="str">
        <f>"32"</f>
        <v>32</v>
      </c>
      <c r="G30">
        <v>23322</v>
      </c>
      <c r="H30">
        <v>96</v>
      </c>
      <c r="I30">
        <v>22287</v>
      </c>
      <c r="J30">
        <v>100</v>
      </c>
      <c r="K30">
        <v>6</v>
      </c>
      <c r="L30">
        <v>7</v>
      </c>
      <c r="M30">
        <v>2.2000000000000002</v>
      </c>
      <c r="N30">
        <v>49678</v>
      </c>
      <c r="O30">
        <v>350</v>
      </c>
      <c r="P30">
        <v>750</v>
      </c>
      <c r="Q30">
        <v>13506</v>
      </c>
      <c r="R30">
        <v>6059</v>
      </c>
      <c r="S30">
        <v>11</v>
      </c>
      <c r="T30">
        <v>27</v>
      </c>
      <c r="U30">
        <v>29</v>
      </c>
      <c r="V30">
        <v>14</v>
      </c>
      <c r="W30">
        <v>20</v>
      </c>
      <c r="X30">
        <v>19</v>
      </c>
      <c r="Y30">
        <v>1</v>
      </c>
      <c r="Z30">
        <v>73</v>
      </c>
      <c r="AA30">
        <v>22</v>
      </c>
      <c r="AB30">
        <v>95</v>
      </c>
      <c r="AC30">
        <v>77</v>
      </c>
      <c r="AD30">
        <v>3</v>
      </c>
      <c r="AE30">
        <v>36</v>
      </c>
      <c r="AF30">
        <v>75</v>
      </c>
      <c r="AG30">
        <v>36</v>
      </c>
      <c r="AH30">
        <v>37</v>
      </c>
      <c r="AI30">
        <v>59</v>
      </c>
      <c r="AJ30">
        <v>24</v>
      </c>
      <c r="AK30">
        <v>2</v>
      </c>
      <c r="AL30">
        <v>43</v>
      </c>
      <c r="AM30">
        <v>21</v>
      </c>
      <c r="AN30">
        <v>35</v>
      </c>
      <c r="AO30">
        <v>3</v>
      </c>
      <c r="AP30">
        <v>67</v>
      </c>
      <c r="AQ30">
        <v>48</v>
      </c>
      <c r="AR30">
        <v>1</v>
      </c>
      <c r="AS30">
        <v>1</v>
      </c>
      <c r="AT30">
        <v>4</v>
      </c>
      <c r="AU30">
        <v>14</v>
      </c>
      <c r="AV30">
        <v>36</v>
      </c>
      <c r="AW30">
        <v>139</v>
      </c>
      <c r="AX30">
        <v>87</v>
      </c>
      <c r="AY30">
        <v>113</v>
      </c>
      <c r="AZ30">
        <v>36</v>
      </c>
      <c r="BA30">
        <v>32</v>
      </c>
      <c r="BB30">
        <v>32</v>
      </c>
      <c r="BC30">
        <v>21</v>
      </c>
      <c r="BD30">
        <v>23</v>
      </c>
      <c r="BE30">
        <v>60</v>
      </c>
      <c r="BF30">
        <v>44</v>
      </c>
      <c r="BG30" t="str">
        <f t="shared" si="5"/>
        <v>NA</v>
      </c>
      <c r="BH30" t="str">
        <f t="shared" si="5"/>
        <v>NA</v>
      </c>
      <c r="BI30" t="str">
        <f t="shared" si="5"/>
        <v>NA</v>
      </c>
      <c r="BJ30" t="str">
        <f t="shared" si="5"/>
        <v>NA</v>
      </c>
      <c r="BK30" t="str">
        <f t="shared" si="5"/>
        <v>NA</v>
      </c>
      <c r="BL30" t="str">
        <f>"NV"</f>
        <v>NV</v>
      </c>
      <c r="BM30" t="str">
        <f t="shared" si="6"/>
        <v>NA</v>
      </c>
      <c r="BN30" t="str">
        <f t="shared" si="6"/>
        <v>NA</v>
      </c>
      <c r="BO30">
        <v>11</v>
      </c>
      <c r="BP30">
        <v>32</v>
      </c>
      <c r="BQ30">
        <v>1</v>
      </c>
      <c r="BR30">
        <v>2</v>
      </c>
    </row>
    <row r="31" spans="1:70" x14ac:dyDescent="0.25">
      <c r="A31">
        <v>3</v>
      </c>
      <c r="B31" t="str">
        <f t="shared" si="0"/>
        <v>Summary of All HUD Programs</v>
      </c>
      <c r="C31">
        <v>1</v>
      </c>
      <c r="D31" t="str">
        <f t="shared" si="1"/>
        <v>NA</v>
      </c>
      <c r="E31" t="str">
        <f>"NH New Hampshire"</f>
        <v>NH New Hampshire</v>
      </c>
      <c r="F31" t="str">
        <f>"33"</f>
        <v>33</v>
      </c>
      <c r="G31">
        <v>21949</v>
      </c>
      <c r="H31">
        <v>93</v>
      </c>
      <c r="I31">
        <v>21019</v>
      </c>
      <c r="J31">
        <v>100</v>
      </c>
      <c r="K31">
        <v>6</v>
      </c>
      <c r="L31">
        <v>10</v>
      </c>
      <c r="M31">
        <v>1.7</v>
      </c>
      <c r="N31">
        <v>34943</v>
      </c>
      <c r="O31">
        <v>403</v>
      </c>
      <c r="P31">
        <v>767</v>
      </c>
      <c r="Q31">
        <v>17135</v>
      </c>
      <c r="R31">
        <v>10307</v>
      </c>
      <c r="S31">
        <v>2</v>
      </c>
      <c r="T31">
        <v>20</v>
      </c>
      <c r="U31">
        <v>28</v>
      </c>
      <c r="V31">
        <v>20</v>
      </c>
      <c r="W31">
        <v>29</v>
      </c>
      <c r="X31">
        <v>13</v>
      </c>
      <c r="Y31">
        <v>2</v>
      </c>
      <c r="Z31">
        <v>82</v>
      </c>
      <c r="AA31">
        <v>24</v>
      </c>
      <c r="AB31">
        <v>96</v>
      </c>
      <c r="AC31">
        <v>75</v>
      </c>
      <c r="AD31">
        <v>3</v>
      </c>
      <c r="AE31">
        <v>19</v>
      </c>
      <c r="AF31">
        <v>70</v>
      </c>
      <c r="AG31">
        <v>19</v>
      </c>
      <c r="AH31">
        <v>64</v>
      </c>
      <c r="AI31">
        <v>39</v>
      </c>
      <c r="AJ31">
        <v>36</v>
      </c>
      <c r="AK31">
        <v>1</v>
      </c>
      <c r="AL31">
        <v>31</v>
      </c>
      <c r="AM31">
        <v>20</v>
      </c>
      <c r="AN31">
        <v>47</v>
      </c>
      <c r="AO31">
        <v>6</v>
      </c>
      <c r="AP31">
        <v>14</v>
      </c>
      <c r="AQ31">
        <v>4</v>
      </c>
      <c r="AR31">
        <v>0</v>
      </c>
      <c r="AS31">
        <v>1</v>
      </c>
      <c r="AT31">
        <v>1</v>
      </c>
      <c r="AU31">
        <v>8</v>
      </c>
      <c r="AV31">
        <v>33</v>
      </c>
      <c r="AW31">
        <v>97</v>
      </c>
      <c r="AX31">
        <v>55</v>
      </c>
      <c r="AY31">
        <v>115</v>
      </c>
      <c r="AZ31">
        <v>62</v>
      </c>
      <c r="BA31">
        <v>23</v>
      </c>
      <c r="BB31">
        <v>15</v>
      </c>
      <c r="BC31">
        <v>10</v>
      </c>
      <c r="BD31">
        <v>14</v>
      </c>
      <c r="BE31">
        <v>13</v>
      </c>
      <c r="BF31">
        <v>42</v>
      </c>
      <c r="BG31" t="str">
        <f t="shared" si="5"/>
        <v>NA</v>
      </c>
      <c r="BH31" t="str">
        <f t="shared" si="5"/>
        <v>NA</v>
      </c>
      <c r="BI31" t="str">
        <f t="shared" si="5"/>
        <v>NA</v>
      </c>
      <c r="BJ31" t="str">
        <f t="shared" si="5"/>
        <v>NA</v>
      </c>
      <c r="BK31" t="str">
        <f t="shared" si="5"/>
        <v>NA</v>
      </c>
      <c r="BL31" t="str">
        <f>"NH"</f>
        <v>NH</v>
      </c>
      <c r="BM31" t="str">
        <f t="shared" si="6"/>
        <v>NA</v>
      </c>
      <c r="BN31" t="str">
        <f t="shared" si="6"/>
        <v>NA</v>
      </c>
      <c r="BO31">
        <v>7</v>
      </c>
      <c r="BP31">
        <v>85</v>
      </c>
      <c r="BQ31">
        <v>1</v>
      </c>
      <c r="BR31">
        <v>1</v>
      </c>
    </row>
    <row r="32" spans="1:70" x14ac:dyDescent="0.25">
      <c r="A32">
        <v>3</v>
      </c>
      <c r="B32" t="str">
        <f t="shared" si="0"/>
        <v>Summary of All HUD Programs</v>
      </c>
      <c r="C32">
        <v>1</v>
      </c>
      <c r="D32" t="str">
        <f t="shared" si="1"/>
        <v>NA</v>
      </c>
      <c r="E32" t="str">
        <f>"NJ New Jersey"</f>
        <v>NJ New Jersey</v>
      </c>
      <c r="F32" t="str">
        <f>"34"</f>
        <v>34</v>
      </c>
      <c r="G32">
        <v>168370</v>
      </c>
      <c r="H32">
        <v>93</v>
      </c>
      <c r="I32">
        <v>154073</v>
      </c>
      <c r="J32">
        <v>100</v>
      </c>
      <c r="K32">
        <v>6</v>
      </c>
      <c r="L32">
        <v>7</v>
      </c>
      <c r="M32">
        <v>1.9</v>
      </c>
      <c r="N32">
        <v>297370</v>
      </c>
      <c r="O32">
        <v>414</v>
      </c>
      <c r="P32">
        <v>973</v>
      </c>
      <c r="Q32">
        <v>17437</v>
      </c>
      <c r="R32">
        <v>9035</v>
      </c>
      <c r="S32">
        <v>5</v>
      </c>
      <c r="T32">
        <v>20</v>
      </c>
      <c r="U32">
        <v>29</v>
      </c>
      <c r="V32">
        <v>15</v>
      </c>
      <c r="W32">
        <v>31</v>
      </c>
      <c r="X32">
        <v>22</v>
      </c>
      <c r="Y32">
        <v>1</v>
      </c>
      <c r="Z32">
        <v>74</v>
      </c>
      <c r="AA32">
        <v>21</v>
      </c>
      <c r="AB32">
        <v>95</v>
      </c>
      <c r="AC32">
        <v>79</v>
      </c>
      <c r="AD32">
        <v>3</v>
      </c>
      <c r="AE32">
        <v>25</v>
      </c>
      <c r="AF32">
        <v>75</v>
      </c>
      <c r="AG32">
        <v>25</v>
      </c>
      <c r="AH32">
        <v>31</v>
      </c>
      <c r="AI32">
        <v>36</v>
      </c>
      <c r="AJ32">
        <v>21</v>
      </c>
      <c r="AK32">
        <v>1</v>
      </c>
      <c r="AL32">
        <v>34</v>
      </c>
      <c r="AM32">
        <v>19</v>
      </c>
      <c r="AN32">
        <v>46</v>
      </c>
      <c r="AO32">
        <v>6</v>
      </c>
      <c r="AP32">
        <v>74</v>
      </c>
      <c r="AQ32">
        <v>42</v>
      </c>
      <c r="AR32">
        <v>2</v>
      </c>
      <c r="AS32">
        <v>0</v>
      </c>
      <c r="AT32">
        <v>3</v>
      </c>
      <c r="AU32">
        <v>28</v>
      </c>
      <c r="AV32">
        <v>40</v>
      </c>
      <c r="AW32">
        <v>123</v>
      </c>
      <c r="AX32">
        <v>72</v>
      </c>
      <c r="AY32">
        <v>98</v>
      </c>
      <c r="AZ32">
        <v>56</v>
      </c>
      <c r="BA32">
        <v>25</v>
      </c>
      <c r="BB32">
        <v>20</v>
      </c>
      <c r="BC32">
        <v>11</v>
      </c>
      <c r="BD32">
        <v>22</v>
      </c>
      <c r="BE32">
        <v>67</v>
      </c>
      <c r="BF32">
        <v>28</v>
      </c>
      <c r="BG32" t="str">
        <f t="shared" ref="BG32:BK41" si="7">"NA"</f>
        <v>NA</v>
      </c>
      <c r="BH32" t="str">
        <f t="shared" si="7"/>
        <v>NA</v>
      </c>
      <c r="BI32" t="str">
        <f t="shared" si="7"/>
        <v>NA</v>
      </c>
      <c r="BJ32" t="str">
        <f t="shared" si="7"/>
        <v>NA</v>
      </c>
      <c r="BK32" t="str">
        <f t="shared" si="7"/>
        <v>NA</v>
      </c>
      <c r="BL32" t="str">
        <f>"NJ"</f>
        <v>NJ</v>
      </c>
      <c r="BM32" t="str">
        <f t="shared" si="6"/>
        <v>NA</v>
      </c>
      <c r="BN32" t="str">
        <f t="shared" si="6"/>
        <v>NA</v>
      </c>
      <c r="BO32">
        <v>22</v>
      </c>
      <c r="BP32">
        <v>25</v>
      </c>
      <c r="BQ32">
        <v>1</v>
      </c>
      <c r="BR32">
        <v>4</v>
      </c>
    </row>
    <row r="33" spans="1:70" x14ac:dyDescent="0.25">
      <c r="A33">
        <v>3</v>
      </c>
      <c r="B33" t="str">
        <f t="shared" si="0"/>
        <v>Summary of All HUD Programs</v>
      </c>
      <c r="C33">
        <v>1</v>
      </c>
      <c r="D33" t="str">
        <f t="shared" si="1"/>
        <v>NA</v>
      </c>
      <c r="E33" t="str">
        <f>"NM New Mexico"</f>
        <v>NM New Mexico</v>
      </c>
      <c r="F33" t="str">
        <f>"35"</f>
        <v>35</v>
      </c>
      <c r="G33">
        <v>26066</v>
      </c>
      <c r="H33">
        <v>84</v>
      </c>
      <c r="I33">
        <v>21817</v>
      </c>
      <c r="J33">
        <v>100</v>
      </c>
      <c r="K33">
        <v>6</v>
      </c>
      <c r="L33">
        <v>11</v>
      </c>
      <c r="M33">
        <v>2</v>
      </c>
      <c r="N33">
        <v>44548</v>
      </c>
      <c r="O33">
        <v>287</v>
      </c>
      <c r="P33">
        <v>553</v>
      </c>
      <c r="Q33">
        <v>11947</v>
      </c>
      <c r="R33">
        <v>5851</v>
      </c>
      <c r="S33">
        <v>11</v>
      </c>
      <c r="T33">
        <v>39</v>
      </c>
      <c r="U33">
        <v>25</v>
      </c>
      <c r="V33">
        <v>13</v>
      </c>
      <c r="W33">
        <v>12</v>
      </c>
      <c r="X33">
        <v>20</v>
      </c>
      <c r="Y33">
        <v>4</v>
      </c>
      <c r="Z33">
        <v>72</v>
      </c>
      <c r="AA33">
        <v>24</v>
      </c>
      <c r="AB33">
        <v>96</v>
      </c>
      <c r="AC33">
        <v>75</v>
      </c>
      <c r="AD33">
        <v>5</v>
      </c>
      <c r="AE33">
        <v>32</v>
      </c>
      <c r="AF33">
        <v>72</v>
      </c>
      <c r="AG33">
        <v>32</v>
      </c>
      <c r="AH33">
        <v>42</v>
      </c>
      <c r="AI33">
        <v>57</v>
      </c>
      <c r="AJ33">
        <v>26</v>
      </c>
      <c r="AK33">
        <v>4</v>
      </c>
      <c r="AL33">
        <v>41</v>
      </c>
      <c r="AM33">
        <v>21</v>
      </c>
      <c r="AN33">
        <v>34</v>
      </c>
      <c r="AO33">
        <v>2</v>
      </c>
      <c r="AP33">
        <v>72</v>
      </c>
      <c r="AQ33">
        <v>6</v>
      </c>
      <c r="AR33">
        <v>1</v>
      </c>
      <c r="AS33">
        <v>7</v>
      </c>
      <c r="AT33">
        <v>1</v>
      </c>
      <c r="AU33">
        <v>59</v>
      </c>
      <c r="AV33">
        <v>20</v>
      </c>
      <c r="AW33">
        <v>87</v>
      </c>
      <c r="AX33">
        <v>67</v>
      </c>
      <c r="AY33">
        <v>101</v>
      </c>
      <c r="AZ33">
        <v>43</v>
      </c>
      <c r="BA33">
        <v>30</v>
      </c>
      <c r="BB33">
        <v>27</v>
      </c>
      <c r="BC33">
        <v>17</v>
      </c>
      <c r="BD33">
        <v>25</v>
      </c>
      <c r="BE33">
        <v>64</v>
      </c>
      <c r="BF33">
        <v>56</v>
      </c>
      <c r="BG33" t="str">
        <f t="shared" si="7"/>
        <v>NA</v>
      </c>
      <c r="BH33" t="str">
        <f t="shared" si="7"/>
        <v>NA</v>
      </c>
      <c r="BI33" t="str">
        <f t="shared" si="7"/>
        <v>NA</v>
      </c>
      <c r="BJ33" t="str">
        <f t="shared" si="7"/>
        <v>NA</v>
      </c>
      <c r="BK33" t="str">
        <f t="shared" si="7"/>
        <v>NA</v>
      </c>
      <c r="BL33" t="str">
        <f>"NM"</f>
        <v>NM</v>
      </c>
      <c r="BM33" t="str">
        <f t="shared" si="6"/>
        <v>NA</v>
      </c>
      <c r="BN33" t="str">
        <f t="shared" si="6"/>
        <v>NA</v>
      </c>
      <c r="BO33">
        <v>55</v>
      </c>
      <c r="BP33">
        <v>27</v>
      </c>
      <c r="BQ33">
        <v>1</v>
      </c>
      <c r="BR33">
        <v>3</v>
      </c>
    </row>
    <row r="34" spans="1:70" x14ac:dyDescent="0.25">
      <c r="A34">
        <v>3</v>
      </c>
      <c r="B34" t="str">
        <f t="shared" ref="B34:B58" si="8">"Summary of All HUD Programs"</f>
        <v>Summary of All HUD Programs</v>
      </c>
      <c r="C34">
        <v>1</v>
      </c>
      <c r="D34" t="str">
        <f t="shared" ref="D34:D58" si="9">"NA"</f>
        <v>NA</v>
      </c>
      <c r="E34" t="str">
        <f>"NY New York"</f>
        <v>NY New York</v>
      </c>
      <c r="F34" t="str">
        <f>"36"</f>
        <v>36</v>
      </c>
      <c r="G34">
        <v>594253</v>
      </c>
      <c r="H34">
        <v>91</v>
      </c>
      <c r="I34">
        <v>530473</v>
      </c>
      <c r="J34">
        <v>100</v>
      </c>
      <c r="K34">
        <v>6</v>
      </c>
      <c r="L34">
        <v>6</v>
      </c>
      <c r="M34">
        <v>2</v>
      </c>
      <c r="N34">
        <v>1080368</v>
      </c>
      <c r="O34">
        <v>463</v>
      </c>
      <c r="P34">
        <v>1039</v>
      </c>
      <c r="Q34">
        <v>19268</v>
      </c>
      <c r="R34">
        <v>9461</v>
      </c>
      <c r="S34">
        <v>5</v>
      </c>
      <c r="T34">
        <v>16</v>
      </c>
      <c r="U34">
        <v>32</v>
      </c>
      <c r="V34">
        <v>15</v>
      </c>
      <c r="W34">
        <v>32</v>
      </c>
      <c r="X34">
        <v>27</v>
      </c>
      <c r="Y34">
        <v>5</v>
      </c>
      <c r="Z34">
        <v>66</v>
      </c>
      <c r="AA34">
        <v>23</v>
      </c>
      <c r="AB34">
        <v>93</v>
      </c>
      <c r="AC34">
        <v>77</v>
      </c>
      <c r="AD34">
        <v>4</v>
      </c>
      <c r="AE34">
        <v>25</v>
      </c>
      <c r="AF34">
        <v>74</v>
      </c>
      <c r="AG34">
        <v>25</v>
      </c>
      <c r="AH34">
        <v>34</v>
      </c>
      <c r="AI34">
        <v>51</v>
      </c>
      <c r="AJ34">
        <v>28</v>
      </c>
      <c r="AK34">
        <v>2</v>
      </c>
      <c r="AL34">
        <v>33</v>
      </c>
      <c r="AM34">
        <v>22</v>
      </c>
      <c r="AN34">
        <v>43</v>
      </c>
      <c r="AO34">
        <v>6</v>
      </c>
      <c r="AP34">
        <v>76</v>
      </c>
      <c r="AQ34">
        <v>36</v>
      </c>
      <c r="AR34">
        <v>8</v>
      </c>
      <c r="AS34">
        <v>0</v>
      </c>
      <c r="AT34">
        <v>4</v>
      </c>
      <c r="AU34">
        <v>36</v>
      </c>
      <c r="AV34">
        <v>30</v>
      </c>
      <c r="AW34">
        <v>185</v>
      </c>
      <c r="AX34">
        <v>53</v>
      </c>
      <c r="AY34">
        <v>98</v>
      </c>
      <c r="AZ34">
        <v>42</v>
      </c>
      <c r="BA34">
        <v>34</v>
      </c>
      <c r="BB34">
        <v>23</v>
      </c>
      <c r="BC34">
        <v>20</v>
      </c>
      <c r="BD34">
        <v>30</v>
      </c>
      <c r="BE34">
        <v>70</v>
      </c>
      <c r="BF34">
        <v>16</v>
      </c>
      <c r="BG34" t="str">
        <f t="shared" si="7"/>
        <v>NA</v>
      </c>
      <c r="BH34" t="str">
        <f t="shared" si="7"/>
        <v>NA</v>
      </c>
      <c r="BI34" t="str">
        <f t="shared" si="7"/>
        <v>NA</v>
      </c>
      <c r="BJ34" t="str">
        <f t="shared" si="7"/>
        <v>NA</v>
      </c>
      <c r="BK34" t="str">
        <f t="shared" si="7"/>
        <v>NA</v>
      </c>
      <c r="BL34" t="str">
        <f>"NY"</f>
        <v>NY</v>
      </c>
      <c r="BM34" t="str">
        <f t="shared" si="6"/>
        <v>NA</v>
      </c>
      <c r="BN34" t="str">
        <f t="shared" si="6"/>
        <v>NA</v>
      </c>
      <c r="BO34">
        <v>24</v>
      </c>
      <c r="BP34">
        <v>23</v>
      </c>
      <c r="BQ34">
        <v>5</v>
      </c>
      <c r="BR34">
        <v>4</v>
      </c>
    </row>
    <row r="35" spans="1:70" x14ac:dyDescent="0.25">
      <c r="A35">
        <v>3</v>
      </c>
      <c r="B35" t="str">
        <f t="shared" si="8"/>
        <v>Summary of All HUD Programs</v>
      </c>
      <c r="C35">
        <v>1</v>
      </c>
      <c r="D35" t="str">
        <f t="shared" si="9"/>
        <v>NA</v>
      </c>
      <c r="E35" t="str">
        <f>"NC North Carolina"</f>
        <v>NC North Carolina</v>
      </c>
      <c r="F35" t="str">
        <f>"37"</f>
        <v>37</v>
      </c>
      <c r="G35">
        <v>128012</v>
      </c>
      <c r="H35">
        <v>89</v>
      </c>
      <c r="I35">
        <v>114453</v>
      </c>
      <c r="J35">
        <v>100</v>
      </c>
      <c r="K35">
        <v>6</v>
      </c>
      <c r="L35">
        <v>11</v>
      </c>
      <c r="M35">
        <v>2.1</v>
      </c>
      <c r="N35">
        <v>243740</v>
      </c>
      <c r="O35">
        <v>292</v>
      </c>
      <c r="P35">
        <v>589</v>
      </c>
      <c r="Q35">
        <v>12151</v>
      </c>
      <c r="R35">
        <v>5706</v>
      </c>
      <c r="S35">
        <v>13</v>
      </c>
      <c r="T35">
        <v>33</v>
      </c>
      <c r="U35">
        <v>25</v>
      </c>
      <c r="V35">
        <v>14</v>
      </c>
      <c r="W35">
        <v>15</v>
      </c>
      <c r="X35">
        <v>23</v>
      </c>
      <c r="Y35">
        <v>1</v>
      </c>
      <c r="Z35">
        <v>70</v>
      </c>
      <c r="AA35">
        <v>22</v>
      </c>
      <c r="AB35">
        <v>96</v>
      </c>
      <c r="AC35">
        <v>76</v>
      </c>
      <c r="AD35">
        <v>2</v>
      </c>
      <c r="AE35">
        <v>41</v>
      </c>
      <c r="AF35">
        <v>80</v>
      </c>
      <c r="AG35">
        <v>41</v>
      </c>
      <c r="AH35">
        <v>32</v>
      </c>
      <c r="AI35">
        <v>49</v>
      </c>
      <c r="AJ35">
        <v>20</v>
      </c>
      <c r="AK35">
        <v>4</v>
      </c>
      <c r="AL35">
        <v>46</v>
      </c>
      <c r="AM35">
        <v>18</v>
      </c>
      <c r="AN35">
        <v>31</v>
      </c>
      <c r="AO35">
        <v>2</v>
      </c>
      <c r="AP35">
        <v>75</v>
      </c>
      <c r="AQ35">
        <v>70</v>
      </c>
      <c r="AR35">
        <v>1</v>
      </c>
      <c r="AS35">
        <v>1</v>
      </c>
      <c r="AT35">
        <v>1</v>
      </c>
      <c r="AU35">
        <v>3</v>
      </c>
      <c r="AV35">
        <v>20</v>
      </c>
      <c r="AW35">
        <v>90</v>
      </c>
      <c r="AX35">
        <v>76</v>
      </c>
      <c r="AY35">
        <v>137</v>
      </c>
      <c r="AZ35">
        <v>33</v>
      </c>
      <c r="BA35">
        <v>34</v>
      </c>
      <c r="BB35">
        <v>33</v>
      </c>
      <c r="BC35">
        <v>21</v>
      </c>
      <c r="BD35">
        <v>27</v>
      </c>
      <c r="BE35">
        <v>56</v>
      </c>
      <c r="BF35">
        <v>58</v>
      </c>
      <c r="BG35" t="str">
        <f t="shared" si="7"/>
        <v>NA</v>
      </c>
      <c r="BH35" t="str">
        <f t="shared" si="7"/>
        <v>NA</v>
      </c>
      <c r="BI35" t="str">
        <f t="shared" si="7"/>
        <v>NA</v>
      </c>
      <c r="BJ35" t="str">
        <f t="shared" si="7"/>
        <v>NA</v>
      </c>
      <c r="BK35" t="str">
        <f t="shared" si="7"/>
        <v>NA</v>
      </c>
      <c r="BL35" t="str">
        <f>"NC"</f>
        <v>NC</v>
      </c>
      <c r="BM35" t="str">
        <f t="shared" si="6"/>
        <v>NA</v>
      </c>
      <c r="BN35" t="str">
        <f t="shared" si="6"/>
        <v>NA</v>
      </c>
      <c r="BO35">
        <v>2</v>
      </c>
      <c r="BP35">
        <v>24</v>
      </c>
      <c r="BQ35">
        <v>1</v>
      </c>
      <c r="BR35">
        <v>1</v>
      </c>
    </row>
    <row r="36" spans="1:70" x14ac:dyDescent="0.25">
      <c r="A36">
        <v>3</v>
      </c>
      <c r="B36" t="str">
        <f t="shared" si="8"/>
        <v>Summary of All HUD Programs</v>
      </c>
      <c r="C36">
        <v>1</v>
      </c>
      <c r="D36" t="str">
        <f t="shared" si="9"/>
        <v>NA</v>
      </c>
      <c r="E36" t="str">
        <f>"ND North Dakota"</f>
        <v>ND North Dakota</v>
      </c>
      <c r="F36" t="str">
        <f>"38"</f>
        <v>38</v>
      </c>
      <c r="G36">
        <v>13859</v>
      </c>
      <c r="H36">
        <v>76</v>
      </c>
      <c r="I36">
        <v>10930</v>
      </c>
      <c r="J36">
        <v>100</v>
      </c>
      <c r="K36">
        <v>5</v>
      </c>
      <c r="L36">
        <v>21</v>
      </c>
      <c r="M36">
        <v>1.7</v>
      </c>
      <c r="N36">
        <v>19018</v>
      </c>
      <c r="O36">
        <v>302</v>
      </c>
      <c r="P36">
        <v>507</v>
      </c>
      <c r="Q36">
        <v>13093</v>
      </c>
      <c r="R36">
        <v>7525</v>
      </c>
      <c r="S36">
        <v>11</v>
      </c>
      <c r="T36">
        <v>28</v>
      </c>
      <c r="U36">
        <v>28</v>
      </c>
      <c r="V36">
        <v>16</v>
      </c>
      <c r="W36">
        <v>18</v>
      </c>
      <c r="X36">
        <v>20</v>
      </c>
      <c r="Y36">
        <v>1</v>
      </c>
      <c r="Z36">
        <v>72</v>
      </c>
      <c r="AA36">
        <v>19</v>
      </c>
      <c r="AB36">
        <v>98</v>
      </c>
      <c r="AC36">
        <v>85</v>
      </c>
      <c r="AD36">
        <v>3</v>
      </c>
      <c r="AE36">
        <v>25</v>
      </c>
      <c r="AF36">
        <v>65</v>
      </c>
      <c r="AG36">
        <v>25</v>
      </c>
      <c r="AH36">
        <v>47</v>
      </c>
      <c r="AI36">
        <v>51</v>
      </c>
      <c r="AJ36">
        <v>30</v>
      </c>
      <c r="AK36">
        <v>6</v>
      </c>
      <c r="AL36">
        <v>42</v>
      </c>
      <c r="AM36">
        <v>20</v>
      </c>
      <c r="AN36">
        <v>32</v>
      </c>
      <c r="AO36">
        <v>4</v>
      </c>
      <c r="AP36">
        <v>26</v>
      </c>
      <c r="AQ36">
        <v>11</v>
      </c>
      <c r="AR36">
        <v>0</v>
      </c>
      <c r="AS36">
        <v>10</v>
      </c>
      <c r="AT36">
        <v>2</v>
      </c>
      <c r="AU36">
        <v>4</v>
      </c>
      <c r="AV36">
        <v>12</v>
      </c>
      <c r="AW36">
        <v>68</v>
      </c>
      <c r="AX36">
        <v>65</v>
      </c>
      <c r="AY36">
        <v>86</v>
      </c>
      <c r="AZ36">
        <v>51</v>
      </c>
      <c r="BA36">
        <v>33</v>
      </c>
      <c r="BB36">
        <v>16</v>
      </c>
      <c r="BC36">
        <v>18</v>
      </c>
      <c r="BD36">
        <v>14</v>
      </c>
      <c r="BE36">
        <v>11</v>
      </c>
      <c r="BF36">
        <v>45</v>
      </c>
      <c r="BG36" t="str">
        <f t="shared" si="7"/>
        <v>NA</v>
      </c>
      <c r="BH36" t="str">
        <f t="shared" si="7"/>
        <v>NA</v>
      </c>
      <c r="BI36" t="str">
        <f t="shared" si="7"/>
        <v>NA</v>
      </c>
      <c r="BJ36" t="str">
        <f t="shared" si="7"/>
        <v>NA</v>
      </c>
      <c r="BK36" t="str">
        <f t="shared" si="7"/>
        <v>NA</v>
      </c>
      <c r="BL36" t="str">
        <f>"ND"</f>
        <v>ND</v>
      </c>
      <c r="BM36" t="str">
        <f t="shared" si="6"/>
        <v>NA</v>
      </c>
      <c r="BN36" t="str">
        <f t="shared" si="6"/>
        <v>NA</v>
      </c>
      <c r="BO36">
        <v>3</v>
      </c>
      <c r="BP36">
        <v>73</v>
      </c>
      <c r="BQ36">
        <v>2</v>
      </c>
      <c r="BR36">
        <v>1</v>
      </c>
    </row>
    <row r="37" spans="1:70" x14ac:dyDescent="0.25">
      <c r="A37">
        <v>3</v>
      </c>
      <c r="B37" t="str">
        <f t="shared" si="8"/>
        <v>Summary of All HUD Programs</v>
      </c>
      <c r="C37">
        <v>1</v>
      </c>
      <c r="D37" t="str">
        <f t="shared" si="9"/>
        <v>NA</v>
      </c>
      <c r="E37" t="str">
        <f>"OH Ohio"</f>
        <v>OH Ohio</v>
      </c>
      <c r="F37" t="str">
        <f>"39"</f>
        <v>39</v>
      </c>
      <c r="G37">
        <v>225526</v>
      </c>
      <c r="H37">
        <v>92</v>
      </c>
      <c r="I37">
        <v>209386</v>
      </c>
      <c r="J37">
        <v>100</v>
      </c>
      <c r="K37">
        <v>6</v>
      </c>
      <c r="L37">
        <v>12</v>
      </c>
      <c r="M37">
        <v>2</v>
      </c>
      <c r="N37">
        <v>411018</v>
      </c>
      <c r="O37">
        <v>271</v>
      </c>
      <c r="P37">
        <v>619</v>
      </c>
      <c r="Q37">
        <v>11198</v>
      </c>
      <c r="R37">
        <v>5704</v>
      </c>
      <c r="S37">
        <v>15</v>
      </c>
      <c r="T37">
        <v>36</v>
      </c>
      <c r="U37">
        <v>23</v>
      </c>
      <c r="V37">
        <v>13</v>
      </c>
      <c r="W37">
        <v>14</v>
      </c>
      <c r="X37">
        <v>18</v>
      </c>
      <c r="Y37">
        <v>1</v>
      </c>
      <c r="Z37">
        <v>71</v>
      </c>
      <c r="AA37">
        <v>19</v>
      </c>
      <c r="AB37">
        <v>97</v>
      </c>
      <c r="AC37">
        <v>82</v>
      </c>
      <c r="AD37">
        <v>3</v>
      </c>
      <c r="AE37">
        <v>35</v>
      </c>
      <c r="AF37">
        <v>75</v>
      </c>
      <c r="AG37">
        <v>35</v>
      </c>
      <c r="AH37">
        <v>36</v>
      </c>
      <c r="AI37">
        <v>49</v>
      </c>
      <c r="AJ37">
        <v>23</v>
      </c>
      <c r="AK37">
        <v>6</v>
      </c>
      <c r="AL37">
        <v>44</v>
      </c>
      <c r="AM37">
        <v>19</v>
      </c>
      <c r="AN37">
        <v>31</v>
      </c>
      <c r="AO37">
        <v>2</v>
      </c>
      <c r="AP37">
        <v>57</v>
      </c>
      <c r="AQ37">
        <v>52</v>
      </c>
      <c r="AR37">
        <v>1</v>
      </c>
      <c r="AS37">
        <v>0</v>
      </c>
      <c r="AT37">
        <v>0</v>
      </c>
      <c r="AU37">
        <v>4</v>
      </c>
      <c r="AV37">
        <v>23</v>
      </c>
      <c r="AW37">
        <v>87</v>
      </c>
      <c r="AX37">
        <v>65</v>
      </c>
      <c r="AY37">
        <v>126</v>
      </c>
      <c r="AZ37">
        <v>43</v>
      </c>
      <c r="BA37">
        <v>30</v>
      </c>
      <c r="BB37">
        <v>27</v>
      </c>
      <c r="BC37">
        <v>18</v>
      </c>
      <c r="BD37">
        <v>30</v>
      </c>
      <c r="BE37">
        <v>43</v>
      </c>
      <c r="BF37">
        <v>53</v>
      </c>
      <c r="BG37" t="str">
        <f t="shared" si="7"/>
        <v>NA</v>
      </c>
      <c r="BH37" t="str">
        <f t="shared" si="7"/>
        <v>NA</v>
      </c>
      <c r="BI37" t="str">
        <f t="shared" si="7"/>
        <v>NA</v>
      </c>
      <c r="BJ37" t="str">
        <f t="shared" si="7"/>
        <v>NA</v>
      </c>
      <c r="BK37" t="str">
        <f t="shared" si="7"/>
        <v>NA</v>
      </c>
      <c r="BL37" t="str">
        <f>"OH"</f>
        <v>OH</v>
      </c>
      <c r="BM37" t="str">
        <f t="shared" si="6"/>
        <v>NA</v>
      </c>
      <c r="BN37" t="str">
        <f t="shared" si="6"/>
        <v>NA</v>
      </c>
      <c r="BO37">
        <v>2</v>
      </c>
      <c r="BP37">
        <v>42</v>
      </c>
      <c r="BQ37">
        <v>1</v>
      </c>
      <c r="BR37">
        <v>1</v>
      </c>
    </row>
    <row r="38" spans="1:70" x14ac:dyDescent="0.25">
      <c r="A38">
        <v>3</v>
      </c>
      <c r="B38" t="str">
        <f t="shared" si="8"/>
        <v>Summary of All HUD Programs</v>
      </c>
      <c r="C38">
        <v>1</v>
      </c>
      <c r="D38" t="str">
        <f t="shared" si="9"/>
        <v>NA</v>
      </c>
      <c r="E38" t="str">
        <f>"OK Oklahoma"</f>
        <v>OK Oklahoma</v>
      </c>
      <c r="F38" t="str">
        <f>"40"</f>
        <v>40</v>
      </c>
      <c r="G38">
        <v>52112</v>
      </c>
      <c r="H38">
        <v>91</v>
      </c>
      <c r="I38">
        <v>48806</v>
      </c>
      <c r="J38">
        <v>100</v>
      </c>
      <c r="K38">
        <v>6</v>
      </c>
      <c r="L38">
        <v>18</v>
      </c>
      <c r="M38">
        <v>2</v>
      </c>
      <c r="N38">
        <v>96252</v>
      </c>
      <c r="O38">
        <v>267</v>
      </c>
      <c r="P38">
        <v>565</v>
      </c>
      <c r="Q38">
        <v>11176</v>
      </c>
      <c r="R38">
        <v>5667</v>
      </c>
      <c r="S38">
        <v>16</v>
      </c>
      <c r="T38">
        <v>34</v>
      </c>
      <c r="U38">
        <v>25</v>
      </c>
      <c r="V38">
        <v>13</v>
      </c>
      <c r="W38">
        <v>12</v>
      </c>
      <c r="X38">
        <v>18</v>
      </c>
      <c r="Y38">
        <v>2</v>
      </c>
      <c r="Z38">
        <v>73</v>
      </c>
      <c r="AA38">
        <v>21</v>
      </c>
      <c r="AB38">
        <v>96</v>
      </c>
      <c r="AC38">
        <v>78</v>
      </c>
      <c r="AD38">
        <v>3</v>
      </c>
      <c r="AE38">
        <v>35</v>
      </c>
      <c r="AF38">
        <v>74</v>
      </c>
      <c r="AG38">
        <v>35</v>
      </c>
      <c r="AH38">
        <v>38</v>
      </c>
      <c r="AI38">
        <v>56</v>
      </c>
      <c r="AJ38">
        <v>25</v>
      </c>
      <c r="AK38">
        <v>7</v>
      </c>
      <c r="AL38">
        <v>44</v>
      </c>
      <c r="AM38">
        <v>19</v>
      </c>
      <c r="AN38">
        <v>30</v>
      </c>
      <c r="AO38">
        <v>2</v>
      </c>
      <c r="AP38">
        <v>52</v>
      </c>
      <c r="AQ38">
        <v>39</v>
      </c>
      <c r="AR38">
        <v>1</v>
      </c>
      <c r="AS38">
        <v>7</v>
      </c>
      <c r="AT38">
        <v>1</v>
      </c>
      <c r="AU38">
        <v>5</v>
      </c>
      <c r="AV38">
        <v>18</v>
      </c>
      <c r="AW38">
        <v>68</v>
      </c>
      <c r="AX38">
        <v>82</v>
      </c>
      <c r="AY38">
        <v>115</v>
      </c>
      <c r="AZ38">
        <v>44</v>
      </c>
      <c r="BA38">
        <v>28</v>
      </c>
      <c r="BB38">
        <v>28</v>
      </c>
      <c r="BC38">
        <v>17</v>
      </c>
      <c r="BD38">
        <v>26</v>
      </c>
      <c r="BE38">
        <v>47</v>
      </c>
      <c r="BF38">
        <v>65</v>
      </c>
      <c r="BG38" t="str">
        <f t="shared" si="7"/>
        <v>NA</v>
      </c>
      <c r="BH38" t="str">
        <f t="shared" si="7"/>
        <v>NA</v>
      </c>
      <c r="BI38" t="str">
        <f t="shared" si="7"/>
        <v>NA</v>
      </c>
      <c r="BJ38" t="str">
        <f t="shared" si="7"/>
        <v>NA</v>
      </c>
      <c r="BK38" t="str">
        <f t="shared" si="7"/>
        <v>NA</v>
      </c>
      <c r="BL38" t="str">
        <f>"OK"</f>
        <v>OK</v>
      </c>
      <c r="BM38" t="str">
        <f t="shared" si="6"/>
        <v>NA</v>
      </c>
      <c r="BN38" t="str">
        <f t="shared" si="6"/>
        <v>NA</v>
      </c>
      <c r="BO38">
        <v>3</v>
      </c>
      <c r="BP38">
        <v>47</v>
      </c>
      <c r="BQ38">
        <v>3</v>
      </c>
      <c r="BR38">
        <v>1</v>
      </c>
    </row>
    <row r="39" spans="1:70" x14ac:dyDescent="0.25">
      <c r="A39">
        <v>3</v>
      </c>
      <c r="B39" t="str">
        <f t="shared" si="8"/>
        <v>Summary of All HUD Programs</v>
      </c>
      <c r="C39">
        <v>1</v>
      </c>
      <c r="D39" t="str">
        <f t="shared" si="9"/>
        <v>NA</v>
      </c>
      <c r="E39" t="str">
        <f>"OR Oregon"</f>
        <v>OR Oregon</v>
      </c>
      <c r="F39" t="str">
        <f>"41"</f>
        <v>41</v>
      </c>
      <c r="G39">
        <v>54820</v>
      </c>
      <c r="H39">
        <v>90</v>
      </c>
      <c r="I39">
        <v>50998</v>
      </c>
      <c r="J39">
        <v>100</v>
      </c>
      <c r="K39">
        <v>6</v>
      </c>
      <c r="L39">
        <v>10</v>
      </c>
      <c r="M39">
        <v>1.9</v>
      </c>
      <c r="N39">
        <v>97094</v>
      </c>
      <c r="O39">
        <v>360</v>
      </c>
      <c r="P39">
        <v>723</v>
      </c>
      <c r="Q39">
        <v>13712</v>
      </c>
      <c r="R39">
        <v>7202</v>
      </c>
      <c r="S39">
        <v>5</v>
      </c>
      <c r="T39">
        <v>36</v>
      </c>
      <c r="U39">
        <v>26</v>
      </c>
      <c r="V39">
        <v>14</v>
      </c>
      <c r="W39">
        <v>18</v>
      </c>
      <c r="X39">
        <v>17</v>
      </c>
      <c r="Y39">
        <v>5</v>
      </c>
      <c r="Z39">
        <v>73</v>
      </c>
      <c r="AA39">
        <v>22</v>
      </c>
      <c r="AB39">
        <v>96</v>
      </c>
      <c r="AC39">
        <v>77</v>
      </c>
      <c r="AD39">
        <v>6</v>
      </c>
      <c r="AE39">
        <v>23</v>
      </c>
      <c r="AF39">
        <v>55</v>
      </c>
      <c r="AG39">
        <v>19</v>
      </c>
      <c r="AH39">
        <v>50</v>
      </c>
      <c r="AI39">
        <v>53</v>
      </c>
      <c r="AJ39">
        <v>31</v>
      </c>
      <c r="AK39">
        <v>2</v>
      </c>
      <c r="AL39">
        <v>38</v>
      </c>
      <c r="AM39">
        <v>22</v>
      </c>
      <c r="AN39">
        <v>38</v>
      </c>
      <c r="AO39">
        <v>3</v>
      </c>
      <c r="AP39">
        <v>27</v>
      </c>
      <c r="AQ39">
        <v>11</v>
      </c>
      <c r="AR39">
        <v>0</v>
      </c>
      <c r="AS39">
        <v>3</v>
      </c>
      <c r="AT39">
        <v>4</v>
      </c>
      <c r="AU39">
        <v>9</v>
      </c>
      <c r="AV39">
        <v>24</v>
      </c>
      <c r="AW39">
        <v>96</v>
      </c>
      <c r="AX39">
        <v>86</v>
      </c>
      <c r="AY39">
        <v>110</v>
      </c>
      <c r="AZ39">
        <v>49</v>
      </c>
      <c r="BA39">
        <v>32</v>
      </c>
      <c r="BB39">
        <v>18</v>
      </c>
      <c r="BC39">
        <v>15</v>
      </c>
      <c r="BD39">
        <v>20</v>
      </c>
      <c r="BE39">
        <v>26</v>
      </c>
      <c r="BF39">
        <v>52</v>
      </c>
      <c r="BG39" t="str">
        <f t="shared" si="7"/>
        <v>NA</v>
      </c>
      <c r="BH39" t="str">
        <f t="shared" si="7"/>
        <v>NA</v>
      </c>
      <c r="BI39" t="str">
        <f t="shared" si="7"/>
        <v>NA</v>
      </c>
      <c r="BJ39" t="str">
        <f t="shared" si="7"/>
        <v>NA</v>
      </c>
      <c r="BK39" t="str">
        <f t="shared" si="7"/>
        <v>NA</v>
      </c>
      <c r="BL39" t="str">
        <f>"OR"</f>
        <v>OR</v>
      </c>
      <c r="BM39" t="str">
        <f t="shared" si="6"/>
        <v>NA</v>
      </c>
      <c r="BN39" t="str">
        <f t="shared" si="6"/>
        <v>NA</v>
      </c>
      <c r="BO39">
        <v>8</v>
      </c>
      <c r="BP39">
        <v>72</v>
      </c>
      <c r="BQ39">
        <v>3</v>
      </c>
      <c r="BR39">
        <v>1</v>
      </c>
    </row>
    <row r="40" spans="1:70" x14ac:dyDescent="0.25">
      <c r="A40">
        <v>3</v>
      </c>
      <c r="B40" t="str">
        <f t="shared" si="8"/>
        <v>Summary of All HUD Programs</v>
      </c>
      <c r="C40">
        <v>1</v>
      </c>
      <c r="D40" t="str">
        <f t="shared" si="9"/>
        <v>NA</v>
      </c>
      <c r="E40" t="str">
        <f>"PA Pennsylvania"</f>
        <v>PA Pennsylvania</v>
      </c>
      <c r="F40" t="str">
        <f>"42"</f>
        <v>42</v>
      </c>
      <c r="G40">
        <v>222442</v>
      </c>
      <c r="H40">
        <v>89</v>
      </c>
      <c r="I40">
        <v>198778</v>
      </c>
      <c r="J40">
        <v>100</v>
      </c>
      <c r="K40">
        <v>7</v>
      </c>
      <c r="L40">
        <v>10</v>
      </c>
      <c r="M40">
        <v>1.9</v>
      </c>
      <c r="N40">
        <v>374258</v>
      </c>
      <c r="O40">
        <v>342</v>
      </c>
      <c r="P40">
        <v>728</v>
      </c>
      <c r="Q40">
        <v>14469</v>
      </c>
      <c r="R40">
        <v>7685</v>
      </c>
      <c r="S40">
        <v>7</v>
      </c>
      <c r="T40">
        <v>32</v>
      </c>
      <c r="U40">
        <v>24</v>
      </c>
      <c r="V40">
        <v>16</v>
      </c>
      <c r="W40">
        <v>21</v>
      </c>
      <c r="X40">
        <v>18</v>
      </c>
      <c r="Y40">
        <v>3</v>
      </c>
      <c r="Z40">
        <v>75</v>
      </c>
      <c r="AA40">
        <v>23</v>
      </c>
      <c r="AB40">
        <v>95</v>
      </c>
      <c r="AC40">
        <v>76</v>
      </c>
      <c r="AD40">
        <v>2</v>
      </c>
      <c r="AE40">
        <v>29</v>
      </c>
      <c r="AF40">
        <v>75</v>
      </c>
      <c r="AG40">
        <v>29</v>
      </c>
      <c r="AH40">
        <v>41</v>
      </c>
      <c r="AI40">
        <v>42</v>
      </c>
      <c r="AJ40">
        <v>26</v>
      </c>
      <c r="AK40">
        <v>3</v>
      </c>
      <c r="AL40">
        <v>36</v>
      </c>
      <c r="AM40">
        <v>19</v>
      </c>
      <c r="AN40">
        <v>42</v>
      </c>
      <c r="AO40">
        <v>5</v>
      </c>
      <c r="AP40">
        <v>52</v>
      </c>
      <c r="AQ40">
        <v>40</v>
      </c>
      <c r="AR40">
        <v>1</v>
      </c>
      <c r="AS40">
        <v>0</v>
      </c>
      <c r="AT40">
        <v>1</v>
      </c>
      <c r="AU40">
        <v>11</v>
      </c>
      <c r="AV40">
        <v>20</v>
      </c>
      <c r="AW40">
        <v>105</v>
      </c>
      <c r="AX40">
        <v>63</v>
      </c>
      <c r="AY40">
        <v>130</v>
      </c>
      <c r="AZ40">
        <v>52</v>
      </c>
      <c r="BA40">
        <v>23</v>
      </c>
      <c r="BB40">
        <v>25</v>
      </c>
      <c r="BC40">
        <v>14</v>
      </c>
      <c r="BD40">
        <v>26</v>
      </c>
      <c r="BE40">
        <v>40</v>
      </c>
      <c r="BF40">
        <v>38</v>
      </c>
      <c r="BG40" t="str">
        <f t="shared" si="7"/>
        <v>NA</v>
      </c>
      <c r="BH40" t="str">
        <f t="shared" si="7"/>
        <v>NA</v>
      </c>
      <c r="BI40" t="str">
        <f t="shared" si="7"/>
        <v>NA</v>
      </c>
      <c r="BJ40" t="str">
        <f t="shared" si="7"/>
        <v>NA</v>
      </c>
      <c r="BK40" t="str">
        <f t="shared" si="7"/>
        <v>NA</v>
      </c>
      <c r="BL40" t="str">
        <f>"PA"</f>
        <v>PA</v>
      </c>
      <c r="BM40" t="str">
        <f t="shared" si="6"/>
        <v>NA</v>
      </c>
      <c r="BN40" t="str">
        <f t="shared" si="6"/>
        <v>NA</v>
      </c>
      <c r="BO40">
        <v>8</v>
      </c>
      <c r="BP40">
        <v>46</v>
      </c>
      <c r="BQ40">
        <v>1</v>
      </c>
      <c r="BR40">
        <v>2</v>
      </c>
    </row>
    <row r="41" spans="1:70" x14ac:dyDescent="0.25">
      <c r="A41">
        <v>3</v>
      </c>
      <c r="B41" t="str">
        <f t="shared" si="8"/>
        <v>Summary of All HUD Programs</v>
      </c>
      <c r="C41">
        <v>1</v>
      </c>
      <c r="D41" t="str">
        <f t="shared" si="9"/>
        <v>NA</v>
      </c>
      <c r="E41" t="str">
        <f>"RI Rhode Island"</f>
        <v>RI Rhode Island</v>
      </c>
      <c r="F41" t="str">
        <f>"44"</f>
        <v>44</v>
      </c>
      <c r="G41">
        <v>38216</v>
      </c>
      <c r="H41">
        <v>93</v>
      </c>
      <c r="I41">
        <v>35387</v>
      </c>
      <c r="J41">
        <v>100</v>
      </c>
      <c r="K41">
        <v>6</v>
      </c>
      <c r="L41">
        <v>8</v>
      </c>
      <c r="M41">
        <v>1.7</v>
      </c>
      <c r="N41">
        <v>59434</v>
      </c>
      <c r="O41">
        <v>373</v>
      </c>
      <c r="P41">
        <v>845</v>
      </c>
      <c r="Q41">
        <v>15846</v>
      </c>
      <c r="R41">
        <v>9435</v>
      </c>
      <c r="S41">
        <v>4</v>
      </c>
      <c r="T41">
        <v>22</v>
      </c>
      <c r="U41">
        <v>31</v>
      </c>
      <c r="V41">
        <v>17</v>
      </c>
      <c r="W41">
        <v>26</v>
      </c>
      <c r="X41">
        <v>14</v>
      </c>
      <c r="Y41">
        <v>1</v>
      </c>
      <c r="Z41">
        <v>82</v>
      </c>
      <c r="AA41">
        <v>24</v>
      </c>
      <c r="AB41">
        <v>95</v>
      </c>
      <c r="AC41">
        <v>74</v>
      </c>
      <c r="AD41">
        <v>2</v>
      </c>
      <c r="AE41">
        <v>20</v>
      </c>
      <c r="AF41">
        <v>71</v>
      </c>
      <c r="AG41">
        <v>20</v>
      </c>
      <c r="AH41">
        <v>49</v>
      </c>
      <c r="AI41">
        <v>37</v>
      </c>
      <c r="AJ41">
        <v>29</v>
      </c>
      <c r="AK41">
        <v>1</v>
      </c>
      <c r="AL41">
        <v>29</v>
      </c>
      <c r="AM41">
        <v>20</v>
      </c>
      <c r="AN41">
        <v>50</v>
      </c>
      <c r="AO41">
        <v>6</v>
      </c>
      <c r="AP41">
        <v>44</v>
      </c>
      <c r="AQ41">
        <v>12</v>
      </c>
      <c r="AR41">
        <v>2</v>
      </c>
      <c r="AS41">
        <v>1</v>
      </c>
      <c r="AT41">
        <v>1</v>
      </c>
      <c r="AU41">
        <v>30</v>
      </c>
      <c r="AV41">
        <v>18</v>
      </c>
      <c r="AW41">
        <v>105</v>
      </c>
      <c r="AX41">
        <v>34</v>
      </c>
      <c r="AY41">
        <v>120</v>
      </c>
      <c r="AZ41">
        <v>62</v>
      </c>
      <c r="BA41">
        <v>21</v>
      </c>
      <c r="BB41">
        <v>17</v>
      </c>
      <c r="BC41">
        <v>10</v>
      </c>
      <c r="BD41">
        <v>21</v>
      </c>
      <c r="BE41">
        <v>38</v>
      </c>
      <c r="BF41">
        <v>34</v>
      </c>
      <c r="BG41" t="str">
        <f t="shared" si="7"/>
        <v>NA</v>
      </c>
      <c r="BH41" t="str">
        <f t="shared" si="7"/>
        <v>NA</v>
      </c>
      <c r="BI41" t="str">
        <f t="shared" si="7"/>
        <v>NA</v>
      </c>
      <c r="BJ41" t="str">
        <f t="shared" si="7"/>
        <v>NA</v>
      </c>
      <c r="BK41" t="str">
        <f t="shared" si="7"/>
        <v>NA</v>
      </c>
      <c r="BL41" t="str">
        <f>"RI"</f>
        <v>RI</v>
      </c>
      <c r="BM41" t="str">
        <f t="shared" si="6"/>
        <v>NA</v>
      </c>
      <c r="BN41" t="str">
        <f t="shared" si="6"/>
        <v>NA</v>
      </c>
      <c r="BO41">
        <v>20</v>
      </c>
      <c r="BP41">
        <v>54</v>
      </c>
      <c r="BQ41">
        <v>1</v>
      </c>
      <c r="BR41">
        <v>8</v>
      </c>
    </row>
    <row r="42" spans="1:70" x14ac:dyDescent="0.25">
      <c r="A42">
        <v>3</v>
      </c>
      <c r="B42" t="str">
        <f t="shared" si="8"/>
        <v>Summary of All HUD Programs</v>
      </c>
      <c r="C42">
        <v>1</v>
      </c>
      <c r="D42" t="str">
        <f t="shared" si="9"/>
        <v>NA</v>
      </c>
      <c r="E42" t="str">
        <f>"SC South Carolina"</f>
        <v>SC South Carolina</v>
      </c>
      <c r="F42" t="str">
        <f>"45"</f>
        <v>45</v>
      </c>
      <c r="G42">
        <v>63503</v>
      </c>
      <c r="H42">
        <v>92</v>
      </c>
      <c r="I42">
        <v>58791</v>
      </c>
      <c r="J42">
        <v>100</v>
      </c>
      <c r="K42">
        <v>6</v>
      </c>
      <c r="L42">
        <v>12</v>
      </c>
      <c r="M42">
        <v>2.2000000000000002</v>
      </c>
      <c r="N42">
        <v>129473</v>
      </c>
      <c r="O42">
        <v>285</v>
      </c>
      <c r="P42">
        <v>627</v>
      </c>
      <c r="Q42">
        <v>12222</v>
      </c>
      <c r="R42">
        <v>5550</v>
      </c>
      <c r="S42">
        <v>17</v>
      </c>
      <c r="T42">
        <v>30</v>
      </c>
      <c r="U42">
        <v>23</v>
      </c>
      <c r="V42">
        <v>13</v>
      </c>
      <c r="W42">
        <v>16</v>
      </c>
      <c r="X42">
        <v>25</v>
      </c>
      <c r="Y42">
        <v>1</v>
      </c>
      <c r="Z42">
        <v>70</v>
      </c>
      <c r="AA42">
        <v>23</v>
      </c>
      <c r="AB42">
        <v>95</v>
      </c>
      <c r="AC42">
        <v>74</v>
      </c>
      <c r="AD42">
        <v>1</v>
      </c>
      <c r="AE42">
        <v>47</v>
      </c>
      <c r="AF42">
        <v>84</v>
      </c>
      <c r="AG42">
        <v>47</v>
      </c>
      <c r="AH42">
        <v>26</v>
      </c>
      <c r="AI42">
        <v>45</v>
      </c>
      <c r="AJ42">
        <v>16</v>
      </c>
      <c r="AK42">
        <v>5</v>
      </c>
      <c r="AL42">
        <v>50</v>
      </c>
      <c r="AM42">
        <v>17</v>
      </c>
      <c r="AN42">
        <v>27</v>
      </c>
      <c r="AO42">
        <v>2</v>
      </c>
      <c r="AP42">
        <v>82</v>
      </c>
      <c r="AQ42">
        <v>80</v>
      </c>
      <c r="AR42">
        <v>0</v>
      </c>
      <c r="AS42">
        <v>0</v>
      </c>
      <c r="AT42">
        <v>0</v>
      </c>
      <c r="AU42">
        <v>2</v>
      </c>
      <c r="AV42">
        <v>19</v>
      </c>
      <c r="AW42">
        <v>87</v>
      </c>
      <c r="AX42">
        <v>91</v>
      </c>
      <c r="AY42">
        <v>133</v>
      </c>
      <c r="AZ42">
        <v>31</v>
      </c>
      <c r="BA42">
        <v>34</v>
      </c>
      <c r="BB42">
        <v>34</v>
      </c>
      <c r="BC42">
        <v>19</v>
      </c>
      <c r="BD42">
        <v>26</v>
      </c>
      <c r="BE42">
        <v>57</v>
      </c>
      <c r="BF42">
        <v>58</v>
      </c>
      <c r="BG42" t="str">
        <f t="shared" ref="BG42:BK51" si="10">"NA"</f>
        <v>NA</v>
      </c>
      <c r="BH42" t="str">
        <f t="shared" si="10"/>
        <v>NA</v>
      </c>
      <c r="BI42" t="str">
        <f t="shared" si="10"/>
        <v>NA</v>
      </c>
      <c r="BJ42" t="str">
        <f t="shared" si="10"/>
        <v>NA</v>
      </c>
      <c r="BK42" t="str">
        <f t="shared" si="10"/>
        <v>NA</v>
      </c>
      <c r="BL42" t="str">
        <f>"SC"</f>
        <v>SC</v>
      </c>
      <c r="BM42" t="str">
        <f t="shared" ref="BM42:BN58" si="11">"NA"</f>
        <v>NA</v>
      </c>
      <c r="BN42" t="str">
        <f t="shared" si="11"/>
        <v>NA</v>
      </c>
      <c r="BO42">
        <v>1</v>
      </c>
      <c r="BP42">
        <v>17</v>
      </c>
      <c r="BQ42">
        <v>1</v>
      </c>
      <c r="BR42">
        <v>0</v>
      </c>
    </row>
    <row r="43" spans="1:70" x14ac:dyDescent="0.25">
      <c r="A43">
        <v>3</v>
      </c>
      <c r="B43" t="str">
        <f t="shared" si="8"/>
        <v>Summary of All HUD Programs</v>
      </c>
      <c r="C43">
        <v>1</v>
      </c>
      <c r="D43" t="str">
        <f t="shared" si="9"/>
        <v>NA</v>
      </c>
      <c r="E43" t="str">
        <f>"SD South Dakota"</f>
        <v>SD South Dakota</v>
      </c>
      <c r="F43" t="str">
        <f>"46"</f>
        <v>46</v>
      </c>
      <c r="G43">
        <v>13893</v>
      </c>
      <c r="H43">
        <v>84</v>
      </c>
      <c r="I43">
        <v>11660</v>
      </c>
      <c r="J43">
        <v>100</v>
      </c>
      <c r="K43">
        <v>5</v>
      </c>
      <c r="L43">
        <v>17</v>
      </c>
      <c r="M43">
        <v>1.8</v>
      </c>
      <c r="N43">
        <v>21189</v>
      </c>
      <c r="O43">
        <v>299</v>
      </c>
      <c r="P43">
        <v>498</v>
      </c>
      <c r="Q43">
        <v>13122</v>
      </c>
      <c r="R43">
        <v>7221</v>
      </c>
      <c r="S43">
        <v>10</v>
      </c>
      <c r="T43">
        <v>28</v>
      </c>
      <c r="U43">
        <v>28</v>
      </c>
      <c r="V43">
        <v>17</v>
      </c>
      <c r="W43">
        <v>18</v>
      </c>
      <c r="X43">
        <v>18</v>
      </c>
      <c r="Y43">
        <v>1</v>
      </c>
      <c r="Z43">
        <v>75</v>
      </c>
      <c r="AA43">
        <v>22</v>
      </c>
      <c r="AB43">
        <v>97</v>
      </c>
      <c r="AC43">
        <v>77</v>
      </c>
      <c r="AD43">
        <v>4</v>
      </c>
      <c r="AE43">
        <v>26</v>
      </c>
      <c r="AF43">
        <v>67</v>
      </c>
      <c r="AG43">
        <v>27</v>
      </c>
      <c r="AH43">
        <v>48</v>
      </c>
      <c r="AI43">
        <v>46</v>
      </c>
      <c r="AJ43">
        <v>28</v>
      </c>
      <c r="AK43">
        <v>5</v>
      </c>
      <c r="AL43">
        <v>41</v>
      </c>
      <c r="AM43">
        <v>19</v>
      </c>
      <c r="AN43">
        <v>35</v>
      </c>
      <c r="AO43">
        <v>4</v>
      </c>
      <c r="AP43">
        <v>30</v>
      </c>
      <c r="AQ43">
        <v>5</v>
      </c>
      <c r="AR43">
        <v>0</v>
      </c>
      <c r="AS43">
        <v>21</v>
      </c>
      <c r="AT43">
        <v>1</v>
      </c>
      <c r="AU43">
        <v>3</v>
      </c>
      <c r="AV43">
        <v>12</v>
      </c>
      <c r="AW43">
        <v>72</v>
      </c>
      <c r="AX43">
        <v>49</v>
      </c>
      <c r="AY43">
        <v>108</v>
      </c>
      <c r="AZ43">
        <v>58</v>
      </c>
      <c r="BA43">
        <v>24</v>
      </c>
      <c r="BB43">
        <v>17</v>
      </c>
      <c r="BC43">
        <v>9</v>
      </c>
      <c r="BD43">
        <v>16</v>
      </c>
      <c r="BE43">
        <v>17</v>
      </c>
      <c r="BF43">
        <v>58</v>
      </c>
      <c r="BG43" t="str">
        <f t="shared" si="10"/>
        <v>NA</v>
      </c>
      <c r="BH43" t="str">
        <f t="shared" si="10"/>
        <v>NA</v>
      </c>
      <c r="BI43" t="str">
        <f t="shared" si="10"/>
        <v>NA</v>
      </c>
      <c r="BJ43" t="str">
        <f t="shared" si="10"/>
        <v>NA</v>
      </c>
      <c r="BK43" t="str">
        <f t="shared" si="10"/>
        <v>NA</v>
      </c>
      <c r="BL43" t="str">
        <f>"SD"</f>
        <v>SD</v>
      </c>
      <c r="BM43" t="str">
        <f t="shared" si="11"/>
        <v>NA</v>
      </c>
      <c r="BN43" t="str">
        <f t="shared" si="11"/>
        <v>NA</v>
      </c>
      <c r="BO43">
        <v>2</v>
      </c>
      <c r="BP43">
        <v>68</v>
      </c>
      <c r="BQ43">
        <v>2</v>
      </c>
      <c r="BR43">
        <v>1</v>
      </c>
    </row>
    <row r="44" spans="1:70" x14ac:dyDescent="0.25">
      <c r="A44">
        <v>3</v>
      </c>
      <c r="B44" t="str">
        <f t="shared" si="8"/>
        <v>Summary of All HUD Programs</v>
      </c>
      <c r="C44">
        <v>1</v>
      </c>
      <c r="D44" t="str">
        <f t="shared" si="9"/>
        <v>NA</v>
      </c>
      <c r="E44" t="str">
        <f>"TN Tennessee"</f>
        <v>TN Tennessee</v>
      </c>
      <c r="F44" t="str">
        <f>"47"</f>
        <v>47</v>
      </c>
      <c r="G44">
        <v>104848</v>
      </c>
      <c r="H44">
        <v>92</v>
      </c>
      <c r="I44">
        <v>98118</v>
      </c>
      <c r="J44">
        <v>100</v>
      </c>
      <c r="K44">
        <v>6</v>
      </c>
      <c r="L44">
        <v>14</v>
      </c>
      <c r="M44">
        <v>2.1</v>
      </c>
      <c r="N44">
        <v>201700</v>
      </c>
      <c r="O44">
        <v>277</v>
      </c>
      <c r="P44">
        <v>588</v>
      </c>
      <c r="Q44">
        <v>11843</v>
      </c>
      <c r="R44">
        <v>5761</v>
      </c>
      <c r="S44">
        <v>17</v>
      </c>
      <c r="T44">
        <v>32</v>
      </c>
      <c r="U44">
        <v>24</v>
      </c>
      <c r="V44">
        <v>13</v>
      </c>
      <c r="W44">
        <v>14</v>
      </c>
      <c r="X44">
        <v>20</v>
      </c>
      <c r="Y44">
        <v>1</v>
      </c>
      <c r="Z44">
        <v>74</v>
      </c>
      <c r="AA44">
        <v>22</v>
      </c>
      <c r="AB44">
        <v>95</v>
      </c>
      <c r="AC44">
        <v>75</v>
      </c>
      <c r="AD44">
        <v>3</v>
      </c>
      <c r="AE44">
        <v>38</v>
      </c>
      <c r="AF44">
        <v>78</v>
      </c>
      <c r="AG44">
        <v>38</v>
      </c>
      <c r="AH44">
        <v>32</v>
      </c>
      <c r="AI44">
        <v>44</v>
      </c>
      <c r="AJ44">
        <v>20</v>
      </c>
      <c r="AK44">
        <v>7</v>
      </c>
      <c r="AL44">
        <v>44</v>
      </c>
      <c r="AM44">
        <v>18</v>
      </c>
      <c r="AN44">
        <v>31</v>
      </c>
      <c r="AO44">
        <v>2</v>
      </c>
      <c r="AP44">
        <v>56</v>
      </c>
      <c r="AQ44">
        <v>53</v>
      </c>
      <c r="AR44">
        <v>1</v>
      </c>
      <c r="AS44">
        <v>0</v>
      </c>
      <c r="AT44">
        <v>0</v>
      </c>
      <c r="AU44">
        <v>2</v>
      </c>
      <c r="AV44">
        <v>22</v>
      </c>
      <c r="AW44">
        <v>78</v>
      </c>
      <c r="AX44">
        <v>66</v>
      </c>
      <c r="AY44">
        <v>124</v>
      </c>
      <c r="AZ44">
        <v>40</v>
      </c>
      <c r="BA44">
        <v>32</v>
      </c>
      <c r="BB44">
        <v>27</v>
      </c>
      <c r="BC44">
        <v>17</v>
      </c>
      <c r="BD44">
        <v>30</v>
      </c>
      <c r="BE44">
        <v>47</v>
      </c>
      <c r="BF44">
        <v>55</v>
      </c>
      <c r="BG44" t="str">
        <f t="shared" si="10"/>
        <v>NA</v>
      </c>
      <c r="BH44" t="str">
        <f t="shared" si="10"/>
        <v>NA</v>
      </c>
      <c r="BI44" t="str">
        <f t="shared" si="10"/>
        <v>NA</v>
      </c>
      <c r="BJ44" t="str">
        <f t="shared" si="10"/>
        <v>NA</v>
      </c>
      <c r="BK44" t="str">
        <f t="shared" si="10"/>
        <v>NA</v>
      </c>
      <c r="BL44" t="str">
        <f>"TN"</f>
        <v>TN</v>
      </c>
      <c r="BM44" t="str">
        <f t="shared" si="11"/>
        <v>NA</v>
      </c>
      <c r="BN44" t="str">
        <f t="shared" si="11"/>
        <v>NA</v>
      </c>
      <c r="BO44">
        <v>1</v>
      </c>
      <c r="BP44">
        <v>43</v>
      </c>
      <c r="BQ44">
        <v>1</v>
      </c>
      <c r="BR44">
        <v>0</v>
      </c>
    </row>
    <row r="45" spans="1:70" x14ac:dyDescent="0.25">
      <c r="A45">
        <v>3</v>
      </c>
      <c r="B45" t="str">
        <f t="shared" si="8"/>
        <v>Summary of All HUD Programs</v>
      </c>
      <c r="C45">
        <v>1</v>
      </c>
      <c r="D45" t="str">
        <f t="shared" si="9"/>
        <v>NA</v>
      </c>
      <c r="E45" t="str">
        <f>"TX Texas"</f>
        <v>TX Texas</v>
      </c>
      <c r="F45" t="str">
        <f>"48"</f>
        <v>48</v>
      </c>
      <c r="G45">
        <v>284105</v>
      </c>
      <c r="H45">
        <v>87</v>
      </c>
      <c r="I45">
        <v>252992</v>
      </c>
      <c r="J45">
        <v>100</v>
      </c>
      <c r="K45">
        <v>6</v>
      </c>
      <c r="L45">
        <v>12</v>
      </c>
      <c r="M45">
        <v>2.2999999999999998</v>
      </c>
      <c r="N45">
        <v>582601</v>
      </c>
      <c r="O45">
        <v>330</v>
      </c>
      <c r="P45">
        <v>693</v>
      </c>
      <c r="Q45">
        <v>13264</v>
      </c>
      <c r="R45">
        <v>5760</v>
      </c>
      <c r="S45">
        <v>12</v>
      </c>
      <c r="T45">
        <v>34</v>
      </c>
      <c r="U45">
        <v>23</v>
      </c>
      <c r="V45">
        <v>13</v>
      </c>
      <c r="W45">
        <v>18</v>
      </c>
      <c r="X45">
        <v>26</v>
      </c>
      <c r="Y45">
        <v>1</v>
      </c>
      <c r="Z45">
        <v>70</v>
      </c>
      <c r="AA45">
        <v>22</v>
      </c>
      <c r="AB45">
        <v>95</v>
      </c>
      <c r="AC45">
        <v>76</v>
      </c>
      <c r="AD45">
        <v>4</v>
      </c>
      <c r="AE45">
        <v>41</v>
      </c>
      <c r="AF45">
        <v>80</v>
      </c>
      <c r="AG45">
        <v>42</v>
      </c>
      <c r="AH45">
        <v>29</v>
      </c>
      <c r="AI45">
        <v>54</v>
      </c>
      <c r="AJ45">
        <v>20</v>
      </c>
      <c r="AK45">
        <v>4</v>
      </c>
      <c r="AL45">
        <v>47</v>
      </c>
      <c r="AM45">
        <v>17</v>
      </c>
      <c r="AN45">
        <v>31</v>
      </c>
      <c r="AO45">
        <v>2</v>
      </c>
      <c r="AP45">
        <v>82</v>
      </c>
      <c r="AQ45">
        <v>47</v>
      </c>
      <c r="AR45">
        <v>1</v>
      </c>
      <c r="AS45">
        <v>0</v>
      </c>
      <c r="AT45">
        <v>2</v>
      </c>
      <c r="AU45">
        <v>34</v>
      </c>
      <c r="AV45">
        <v>20</v>
      </c>
      <c r="AW45">
        <v>93</v>
      </c>
      <c r="AX45">
        <v>85</v>
      </c>
      <c r="AY45">
        <v>121</v>
      </c>
      <c r="AZ45">
        <v>37</v>
      </c>
      <c r="BA45">
        <v>32</v>
      </c>
      <c r="BB45">
        <v>31</v>
      </c>
      <c r="BC45">
        <v>14</v>
      </c>
      <c r="BD45">
        <v>25</v>
      </c>
      <c r="BE45">
        <v>71</v>
      </c>
      <c r="BF45">
        <v>57</v>
      </c>
      <c r="BG45" t="str">
        <f t="shared" si="10"/>
        <v>NA</v>
      </c>
      <c r="BH45" t="str">
        <f t="shared" si="10"/>
        <v>NA</v>
      </c>
      <c r="BI45" t="str">
        <f t="shared" si="10"/>
        <v>NA</v>
      </c>
      <c r="BJ45" t="str">
        <f t="shared" si="10"/>
        <v>NA</v>
      </c>
      <c r="BK45" t="str">
        <f t="shared" si="10"/>
        <v>NA</v>
      </c>
      <c r="BL45" t="str">
        <f>"TX"</f>
        <v>TX</v>
      </c>
      <c r="BM45" t="str">
        <f t="shared" si="11"/>
        <v>NA</v>
      </c>
      <c r="BN45" t="str">
        <f t="shared" si="11"/>
        <v>NA</v>
      </c>
      <c r="BO45">
        <v>31</v>
      </c>
      <c r="BP45">
        <v>17</v>
      </c>
      <c r="BQ45">
        <v>1</v>
      </c>
      <c r="BR45">
        <v>2</v>
      </c>
    </row>
    <row r="46" spans="1:70" x14ac:dyDescent="0.25">
      <c r="A46">
        <v>3</v>
      </c>
      <c r="B46" t="str">
        <f t="shared" si="8"/>
        <v>Summary of All HUD Programs</v>
      </c>
      <c r="C46">
        <v>1</v>
      </c>
      <c r="D46" t="str">
        <f t="shared" si="9"/>
        <v>NA</v>
      </c>
      <c r="E46" t="str">
        <f>"UT Utah"</f>
        <v>UT Utah</v>
      </c>
      <c r="F46" t="str">
        <f>"49"</f>
        <v>49</v>
      </c>
      <c r="G46">
        <v>19258</v>
      </c>
      <c r="H46">
        <v>91</v>
      </c>
      <c r="I46">
        <v>18313</v>
      </c>
      <c r="J46">
        <v>100</v>
      </c>
      <c r="K46">
        <v>5</v>
      </c>
      <c r="L46">
        <v>15</v>
      </c>
      <c r="M46">
        <v>2</v>
      </c>
      <c r="N46">
        <v>35929</v>
      </c>
      <c r="O46">
        <v>332</v>
      </c>
      <c r="P46">
        <v>666</v>
      </c>
      <c r="Q46">
        <v>13402</v>
      </c>
      <c r="R46">
        <v>6831</v>
      </c>
      <c r="S46">
        <v>7</v>
      </c>
      <c r="T46">
        <v>33</v>
      </c>
      <c r="U46">
        <v>26</v>
      </c>
      <c r="V46">
        <v>15</v>
      </c>
      <c r="W46">
        <v>19</v>
      </c>
      <c r="X46">
        <v>19</v>
      </c>
      <c r="Y46">
        <v>2</v>
      </c>
      <c r="Z46">
        <v>73</v>
      </c>
      <c r="AA46">
        <v>20</v>
      </c>
      <c r="AB46">
        <v>98</v>
      </c>
      <c r="AC46">
        <v>82</v>
      </c>
      <c r="AD46">
        <v>5</v>
      </c>
      <c r="AE46">
        <v>26</v>
      </c>
      <c r="AF46">
        <v>68</v>
      </c>
      <c r="AG46">
        <v>27</v>
      </c>
      <c r="AH46">
        <v>53</v>
      </c>
      <c r="AI46">
        <v>50</v>
      </c>
      <c r="AJ46">
        <v>30</v>
      </c>
      <c r="AK46">
        <v>3</v>
      </c>
      <c r="AL46">
        <v>41</v>
      </c>
      <c r="AM46">
        <v>20</v>
      </c>
      <c r="AN46">
        <v>35</v>
      </c>
      <c r="AO46">
        <v>3</v>
      </c>
      <c r="AP46">
        <v>28</v>
      </c>
      <c r="AQ46">
        <v>8</v>
      </c>
      <c r="AR46">
        <v>0</v>
      </c>
      <c r="AS46">
        <v>2</v>
      </c>
      <c r="AT46">
        <v>4</v>
      </c>
      <c r="AU46">
        <v>15</v>
      </c>
      <c r="AV46">
        <v>29</v>
      </c>
      <c r="AW46">
        <v>81</v>
      </c>
      <c r="AX46">
        <v>71</v>
      </c>
      <c r="AY46">
        <v>93</v>
      </c>
      <c r="AZ46">
        <v>48</v>
      </c>
      <c r="BA46">
        <v>29</v>
      </c>
      <c r="BB46">
        <v>22</v>
      </c>
      <c r="BC46">
        <v>17</v>
      </c>
      <c r="BD46">
        <v>18</v>
      </c>
      <c r="BE46">
        <v>31</v>
      </c>
      <c r="BF46">
        <v>48</v>
      </c>
      <c r="BG46" t="str">
        <f t="shared" si="10"/>
        <v>NA</v>
      </c>
      <c r="BH46" t="str">
        <f t="shared" si="10"/>
        <v>NA</v>
      </c>
      <c r="BI46" t="str">
        <f t="shared" si="10"/>
        <v>NA</v>
      </c>
      <c r="BJ46" t="str">
        <f t="shared" si="10"/>
        <v>NA</v>
      </c>
      <c r="BK46" t="str">
        <f t="shared" si="10"/>
        <v>NA</v>
      </c>
      <c r="BL46" t="str">
        <f>"UT"</f>
        <v>UT</v>
      </c>
      <c r="BM46" t="str">
        <f t="shared" si="11"/>
        <v>NA</v>
      </c>
      <c r="BN46" t="str">
        <f t="shared" si="11"/>
        <v>NA</v>
      </c>
      <c r="BO46">
        <v>13</v>
      </c>
      <c r="BP46">
        <v>71</v>
      </c>
      <c r="BQ46">
        <v>1</v>
      </c>
      <c r="BR46">
        <v>2</v>
      </c>
    </row>
    <row r="47" spans="1:70" x14ac:dyDescent="0.25">
      <c r="A47">
        <v>3</v>
      </c>
      <c r="B47" t="str">
        <f t="shared" si="8"/>
        <v>Summary of All HUD Programs</v>
      </c>
      <c r="C47">
        <v>1</v>
      </c>
      <c r="D47" t="str">
        <f t="shared" si="9"/>
        <v>NA</v>
      </c>
      <c r="E47" t="str">
        <f>"VT Vermont"</f>
        <v>VT Vermont</v>
      </c>
      <c r="F47" t="str">
        <f>"50"</f>
        <v>50</v>
      </c>
      <c r="G47">
        <v>12497</v>
      </c>
      <c r="H47">
        <v>91</v>
      </c>
      <c r="I47">
        <v>12022</v>
      </c>
      <c r="J47">
        <v>100</v>
      </c>
      <c r="K47">
        <v>6</v>
      </c>
      <c r="L47">
        <v>12</v>
      </c>
      <c r="M47">
        <v>1.8</v>
      </c>
      <c r="N47">
        <v>21122</v>
      </c>
      <c r="O47">
        <v>380</v>
      </c>
      <c r="P47">
        <v>773</v>
      </c>
      <c r="Q47">
        <v>15882</v>
      </c>
      <c r="R47">
        <v>9039</v>
      </c>
      <c r="S47">
        <v>3</v>
      </c>
      <c r="T47">
        <v>11</v>
      </c>
      <c r="U47">
        <v>44</v>
      </c>
      <c r="V47">
        <v>18</v>
      </c>
      <c r="W47">
        <v>24</v>
      </c>
      <c r="X47">
        <v>14</v>
      </c>
      <c r="Y47">
        <v>6</v>
      </c>
      <c r="Z47">
        <v>79</v>
      </c>
      <c r="AA47">
        <v>24</v>
      </c>
      <c r="AB47">
        <v>95</v>
      </c>
      <c r="AC47">
        <v>73</v>
      </c>
      <c r="AD47">
        <v>5</v>
      </c>
      <c r="AE47">
        <v>21</v>
      </c>
      <c r="AF47">
        <v>67</v>
      </c>
      <c r="AG47">
        <v>22</v>
      </c>
      <c r="AH47">
        <v>59</v>
      </c>
      <c r="AI47">
        <v>45</v>
      </c>
      <c r="AJ47">
        <v>34</v>
      </c>
      <c r="AK47">
        <v>2</v>
      </c>
      <c r="AL47">
        <v>36</v>
      </c>
      <c r="AM47">
        <v>20</v>
      </c>
      <c r="AN47">
        <v>42</v>
      </c>
      <c r="AO47">
        <v>4</v>
      </c>
      <c r="AP47">
        <v>9</v>
      </c>
      <c r="AQ47">
        <v>5</v>
      </c>
      <c r="AR47">
        <v>0</v>
      </c>
      <c r="AS47">
        <v>1</v>
      </c>
      <c r="AT47">
        <v>2</v>
      </c>
      <c r="AU47">
        <v>2</v>
      </c>
      <c r="AV47">
        <v>25</v>
      </c>
      <c r="AW47">
        <v>93</v>
      </c>
      <c r="AX47">
        <v>49</v>
      </c>
      <c r="AY47">
        <v>109</v>
      </c>
      <c r="AZ47">
        <v>59</v>
      </c>
      <c r="BA47">
        <v>26</v>
      </c>
      <c r="BB47">
        <v>15</v>
      </c>
      <c r="BC47">
        <v>10</v>
      </c>
      <c r="BD47">
        <v>16</v>
      </c>
      <c r="BE47">
        <v>8</v>
      </c>
      <c r="BF47">
        <v>48</v>
      </c>
      <c r="BG47" t="str">
        <f t="shared" si="10"/>
        <v>NA</v>
      </c>
      <c r="BH47" t="str">
        <f t="shared" si="10"/>
        <v>NA</v>
      </c>
      <c r="BI47" t="str">
        <f t="shared" si="10"/>
        <v>NA</v>
      </c>
      <c r="BJ47" t="str">
        <f t="shared" si="10"/>
        <v>NA</v>
      </c>
      <c r="BK47" t="str">
        <f t="shared" si="10"/>
        <v>NA</v>
      </c>
      <c r="BL47" t="str">
        <f>"VT"</f>
        <v>VT</v>
      </c>
      <c r="BM47" t="str">
        <f t="shared" si="11"/>
        <v>NA</v>
      </c>
      <c r="BN47" t="str">
        <f t="shared" si="11"/>
        <v>NA</v>
      </c>
      <c r="BO47">
        <v>1</v>
      </c>
      <c r="BP47">
        <v>90</v>
      </c>
      <c r="BQ47">
        <v>1</v>
      </c>
      <c r="BR47">
        <v>0</v>
      </c>
    </row>
    <row r="48" spans="1:70" x14ac:dyDescent="0.25">
      <c r="A48">
        <v>3</v>
      </c>
      <c r="B48" t="str">
        <f t="shared" si="8"/>
        <v>Summary of All HUD Programs</v>
      </c>
      <c r="C48">
        <v>1</v>
      </c>
      <c r="D48" t="str">
        <f t="shared" si="9"/>
        <v>NA</v>
      </c>
      <c r="E48" t="str">
        <f>"VA Virginia"</f>
        <v>VA Virginia</v>
      </c>
      <c r="F48" t="str">
        <f>"51"</f>
        <v>51</v>
      </c>
      <c r="G48">
        <v>106170</v>
      </c>
      <c r="H48">
        <v>89</v>
      </c>
      <c r="I48">
        <v>95521</v>
      </c>
      <c r="J48">
        <v>100</v>
      </c>
      <c r="K48">
        <v>6</v>
      </c>
      <c r="L48">
        <v>10</v>
      </c>
      <c r="M48">
        <v>2.1</v>
      </c>
      <c r="N48">
        <v>204950</v>
      </c>
      <c r="O48">
        <v>342</v>
      </c>
      <c r="P48">
        <v>798</v>
      </c>
      <c r="Q48">
        <v>13927</v>
      </c>
      <c r="R48">
        <v>6491</v>
      </c>
      <c r="S48">
        <v>12</v>
      </c>
      <c r="T48">
        <v>31</v>
      </c>
      <c r="U48">
        <v>22</v>
      </c>
      <c r="V48">
        <v>13</v>
      </c>
      <c r="W48">
        <v>21</v>
      </c>
      <c r="X48">
        <v>25</v>
      </c>
      <c r="Y48">
        <v>2</v>
      </c>
      <c r="Z48">
        <v>69</v>
      </c>
      <c r="AA48">
        <v>20</v>
      </c>
      <c r="AB48">
        <v>97</v>
      </c>
      <c r="AC48">
        <v>81</v>
      </c>
      <c r="AD48">
        <v>3</v>
      </c>
      <c r="AE48">
        <v>38</v>
      </c>
      <c r="AF48">
        <v>79</v>
      </c>
      <c r="AG48">
        <v>38</v>
      </c>
      <c r="AH48">
        <v>31</v>
      </c>
      <c r="AI48">
        <v>44</v>
      </c>
      <c r="AJ48">
        <v>20</v>
      </c>
      <c r="AK48">
        <v>4</v>
      </c>
      <c r="AL48">
        <v>45</v>
      </c>
      <c r="AM48">
        <v>19</v>
      </c>
      <c r="AN48">
        <v>32</v>
      </c>
      <c r="AO48">
        <v>3</v>
      </c>
      <c r="AP48">
        <v>74</v>
      </c>
      <c r="AQ48">
        <v>67</v>
      </c>
      <c r="AR48">
        <v>1</v>
      </c>
      <c r="AS48">
        <v>0</v>
      </c>
      <c r="AT48">
        <v>3</v>
      </c>
      <c r="AU48">
        <v>4</v>
      </c>
      <c r="AV48">
        <v>35</v>
      </c>
      <c r="AW48">
        <v>108</v>
      </c>
      <c r="AX48">
        <v>75</v>
      </c>
      <c r="AY48">
        <v>136</v>
      </c>
      <c r="AZ48">
        <v>35</v>
      </c>
      <c r="BA48">
        <v>36</v>
      </c>
      <c r="BB48">
        <v>29</v>
      </c>
      <c r="BC48">
        <v>20</v>
      </c>
      <c r="BD48">
        <v>23</v>
      </c>
      <c r="BE48">
        <v>56</v>
      </c>
      <c r="BF48">
        <v>48</v>
      </c>
      <c r="BG48" t="str">
        <f t="shared" si="10"/>
        <v>NA</v>
      </c>
      <c r="BH48" t="str">
        <f t="shared" si="10"/>
        <v>NA</v>
      </c>
      <c r="BI48" t="str">
        <f t="shared" si="10"/>
        <v>NA</v>
      </c>
      <c r="BJ48" t="str">
        <f t="shared" si="10"/>
        <v>NA</v>
      </c>
      <c r="BK48" t="str">
        <f t="shared" si="10"/>
        <v>NA</v>
      </c>
      <c r="BL48" t="str">
        <f>"VA"</f>
        <v>VA</v>
      </c>
      <c r="BM48" t="str">
        <f t="shared" si="11"/>
        <v>NA</v>
      </c>
      <c r="BN48" t="str">
        <f t="shared" si="11"/>
        <v>NA</v>
      </c>
      <c r="BO48">
        <v>2</v>
      </c>
      <c r="BP48">
        <v>24</v>
      </c>
      <c r="BQ48">
        <v>1</v>
      </c>
      <c r="BR48">
        <v>1</v>
      </c>
    </row>
    <row r="49" spans="1:70" x14ac:dyDescent="0.25">
      <c r="A49">
        <v>3</v>
      </c>
      <c r="B49" t="str">
        <f t="shared" si="8"/>
        <v>Summary of All HUD Programs</v>
      </c>
      <c r="C49">
        <v>1</v>
      </c>
      <c r="D49" t="str">
        <f t="shared" si="9"/>
        <v>NA</v>
      </c>
      <c r="E49" t="str">
        <f>"WA Washington"</f>
        <v>WA Washington</v>
      </c>
      <c r="F49" t="str">
        <f>"53"</f>
        <v>53</v>
      </c>
      <c r="G49">
        <v>91750</v>
      </c>
      <c r="H49">
        <v>92</v>
      </c>
      <c r="I49">
        <v>88335</v>
      </c>
      <c r="J49">
        <v>100</v>
      </c>
      <c r="K49">
        <v>7</v>
      </c>
      <c r="L49">
        <v>9</v>
      </c>
      <c r="M49">
        <v>2</v>
      </c>
      <c r="N49">
        <v>175042</v>
      </c>
      <c r="O49">
        <v>365</v>
      </c>
      <c r="P49">
        <v>864</v>
      </c>
      <c r="Q49">
        <v>15140</v>
      </c>
      <c r="R49">
        <v>7641</v>
      </c>
      <c r="S49">
        <v>6</v>
      </c>
      <c r="T49">
        <v>32</v>
      </c>
      <c r="U49">
        <v>26</v>
      </c>
      <c r="V49">
        <v>14</v>
      </c>
      <c r="W49">
        <v>21</v>
      </c>
      <c r="X49">
        <v>18</v>
      </c>
      <c r="Y49">
        <v>6</v>
      </c>
      <c r="Z49">
        <v>73</v>
      </c>
      <c r="AA49">
        <v>20</v>
      </c>
      <c r="AB49">
        <v>97</v>
      </c>
      <c r="AC49">
        <v>83</v>
      </c>
      <c r="AD49">
        <v>6</v>
      </c>
      <c r="AE49">
        <v>24</v>
      </c>
      <c r="AF49">
        <v>67</v>
      </c>
      <c r="AG49">
        <v>25</v>
      </c>
      <c r="AH49">
        <v>50</v>
      </c>
      <c r="AI49">
        <v>54</v>
      </c>
      <c r="AJ49">
        <v>30</v>
      </c>
      <c r="AK49">
        <v>2</v>
      </c>
      <c r="AL49">
        <v>37</v>
      </c>
      <c r="AM49">
        <v>22</v>
      </c>
      <c r="AN49">
        <v>40</v>
      </c>
      <c r="AO49">
        <v>4</v>
      </c>
      <c r="AP49">
        <v>41</v>
      </c>
      <c r="AQ49">
        <v>21</v>
      </c>
      <c r="AR49">
        <v>1</v>
      </c>
      <c r="AS49">
        <v>2</v>
      </c>
      <c r="AT49">
        <v>10</v>
      </c>
      <c r="AU49">
        <v>8</v>
      </c>
      <c r="AV49">
        <v>25</v>
      </c>
      <c r="AW49">
        <v>108</v>
      </c>
      <c r="AX49">
        <v>78</v>
      </c>
      <c r="AY49">
        <v>100</v>
      </c>
      <c r="AZ49">
        <v>53</v>
      </c>
      <c r="BA49">
        <v>28</v>
      </c>
      <c r="BB49">
        <v>20</v>
      </c>
      <c r="BC49">
        <v>12</v>
      </c>
      <c r="BD49">
        <v>18</v>
      </c>
      <c r="BE49">
        <v>36</v>
      </c>
      <c r="BF49">
        <v>44</v>
      </c>
      <c r="BG49" t="str">
        <f t="shared" si="10"/>
        <v>NA</v>
      </c>
      <c r="BH49" t="str">
        <f t="shared" si="10"/>
        <v>NA</v>
      </c>
      <c r="BI49" t="str">
        <f t="shared" si="10"/>
        <v>NA</v>
      </c>
      <c r="BJ49" t="str">
        <f t="shared" si="10"/>
        <v>NA</v>
      </c>
      <c r="BK49" t="str">
        <f t="shared" si="10"/>
        <v>NA</v>
      </c>
      <c r="BL49" t="str">
        <f>"WA"</f>
        <v>WA</v>
      </c>
      <c r="BM49" t="str">
        <f t="shared" si="11"/>
        <v>NA</v>
      </c>
      <c r="BN49" t="str">
        <f t="shared" si="11"/>
        <v>NA</v>
      </c>
      <c r="BO49">
        <v>6</v>
      </c>
      <c r="BP49">
        <v>57</v>
      </c>
      <c r="BQ49">
        <v>3</v>
      </c>
      <c r="BR49">
        <v>1</v>
      </c>
    </row>
    <row r="50" spans="1:70" x14ac:dyDescent="0.25">
      <c r="A50">
        <v>3</v>
      </c>
      <c r="B50" t="str">
        <f t="shared" si="8"/>
        <v>Summary of All HUD Programs</v>
      </c>
      <c r="C50">
        <v>1</v>
      </c>
      <c r="D50" t="str">
        <f t="shared" si="9"/>
        <v>NA</v>
      </c>
      <c r="E50" t="str">
        <f>"WV West Virginia"</f>
        <v>WV West Virginia</v>
      </c>
      <c r="F50" t="str">
        <f>"54"</f>
        <v>54</v>
      </c>
      <c r="G50">
        <v>34006</v>
      </c>
      <c r="H50">
        <v>91</v>
      </c>
      <c r="I50">
        <v>31324</v>
      </c>
      <c r="J50">
        <v>100</v>
      </c>
      <c r="K50">
        <v>6</v>
      </c>
      <c r="L50">
        <v>17</v>
      </c>
      <c r="M50">
        <v>1.8</v>
      </c>
      <c r="N50">
        <v>56108</v>
      </c>
      <c r="O50">
        <v>274</v>
      </c>
      <c r="P50">
        <v>528</v>
      </c>
      <c r="Q50">
        <v>11411</v>
      </c>
      <c r="R50">
        <v>6371</v>
      </c>
      <c r="S50">
        <v>13</v>
      </c>
      <c r="T50">
        <v>37</v>
      </c>
      <c r="U50">
        <v>24</v>
      </c>
      <c r="V50">
        <v>14</v>
      </c>
      <c r="W50">
        <v>12</v>
      </c>
      <c r="X50">
        <v>18</v>
      </c>
      <c r="Y50">
        <v>1</v>
      </c>
      <c r="Z50">
        <v>74</v>
      </c>
      <c r="AA50">
        <v>24</v>
      </c>
      <c r="AB50">
        <v>94</v>
      </c>
      <c r="AC50">
        <v>72</v>
      </c>
      <c r="AD50">
        <v>4</v>
      </c>
      <c r="AE50">
        <v>27</v>
      </c>
      <c r="AF50">
        <v>70</v>
      </c>
      <c r="AG50">
        <v>27</v>
      </c>
      <c r="AH50">
        <v>41</v>
      </c>
      <c r="AI50">
        <v>49</v>
      </c>
      <c r="AJ50">
        <v>26</v>
      </c>
      <c r="AK50">
        <v>6</v>
      </c>
      <c r="AL50">
        <v>39</v>
      </c>
      <c r="AM50">
        <v>22</v>
      </c>
      <c r="AN50">
        <v>33</v>
      </c>
      <c r="AO50">
        <v>2</v>
      </c>
      <c r="AP50">
        <v>17</v>
      </c>
      <c r="AQ50">
        <v>15</v>
      </c>
      <c r="AR50">
        <v>0</v>
      </c>
      <c r="AS50">
        <v>0</v>
      </c>
      <c r="AT50">
        <v>0</v>
      </c>
      <c r="AU50">
        <v>1</v>
      </c>
      <c r="AV50">
        <v>9</v>
      </c>
      <c r="AW50">
        <v>71</v>
      </c>
      <c r="AX50">
        <v>75</v>
      </c>
      <c r="AY50">
        <v>129</v>
      </c>
      <c r="AZ50">
        <v>47</v>
      </c>
      <c r="BA50">
        <v>32</v>
      </c>
      <c r="BB50">
        <v>22</v>
      </c>
      <c r="BC50">
        <v>19</v>
      </c>
      <c r="BD50">
        <v>24</v>
      </c>
      <c r="BE50">
        <v>12</v>
      </c>
      <c r="BF50">
        <v>65</v>
      </c>
      <c r="BG50" t="str">
        <f t="shared" si="10"/>
        <v>NA</v>
      </c>
      <c r="BH50" t="str">
        <f t="shared" si="10"/>
        <v>NA</v>
      </c>
      <c r="BI50" t="str">
        <f t="shared" si="10"/>
        <v>NA</v>
      </c>
      <c r="BJ50" t="str">
        <f t="shared" si="10"/>
        <v>NA</v>
      </c>
      <c r="BK50" t="str">
        <f t="shared" si="10"/>
        <v>NA</v>
      </c>
      <c r="BL50" t="str">
        <f>"WV"</f>
        <v>WV</v>
      </c>
      <c r="BM50" t="str">
        <f t="shared" si="11"/>
        <v>NA</v>
      </c>
      <c r="BN50" t="str">
        <f t="shared" si="11"/>
        <v>NA</v>
      </c>
      <c r="BO50">
        <v>1</v>
      </c>
      <c r="BP50">
        <v>82</v>
      </c>
      <c r="BQ50">
        <v>1</v>
      </c>
      <c r="BR50">
        <v>0</v>
      </c>
    </row>
    <row r="51" spans="1:70" x14ac:dyDescent="0.25">
      <c r="A51">
        <v>3</v>
      </c>
      <c r="B51" t="str">
        <f t="shared" si="8"/>
        <v>Summary of All HUD Programs</v>
      </c>
      <c r="C51">
        <v>1</v>
      </c>
      <c r="D51" t="str">
        <f t="shared" si="9"/>
        <v>NA</v>
      </c>
      <c r="E51" t="str">
        <f>"WI Wisconsin"</f>
        <v>WI Wisconsin</v>
      </c>
      <c r="F51" t="str">
        <f>"55"</f>
        <v>55</v>
      </c>
      <c r="G51">
        <v>77593</v>
      </c>
      <c r="H51">
        <v>88</v>
      </c>
      <c r="I51">
        <v>68585</v>
      </c>
      <c r="J51">
        <v>100</v>
      </c>
      <c r="K51">
        <v>6</v>
      </c>
      <c r="L51">
        <v>12</v>
      </c>
      <c r="M51">
        <v>1.7</v>
      </c>
      <c r="N51">
        <v>116737</v>
      </c>
      <c r="O51">
        <v>332</v>
      </c>
      <c r="P51">
        <v>505</v>
      </c>
      <c r="Q51">
        <v>14118</v>
      </c>
      <c r="R51">
        <v>8295</v>
      </c>
      <c r="S51">
        <v>6</v>
      </c>
      <c r="T51">
        <v>11</v>
      </c>
      <c r="U51">
        <v>47</v>
      </c>
      <c r="V51">
        <v>18</v>
      </c>
      <c r="W51">
        <v>19</v>
      </c>
      <c r="X51">
        <v>16</v>
      </c>
      <c r="Y51">
        <v>1</v>
      </c>
      <c r="Z51">
        <v>79</v>
      </c>
      <c r="AA51">
        <v>23</v>
      </c>
      <c r="AB51">
        <v>97</v>
      </c>
      <c r="AC51">
        <v>76</v>
      </c>
      <c r="AD51">
        <v>2</v>
      </c>
      <c r="AE51">
        <v>24</v>
      </c>
      <c r="AF51">
        <v>71</v>
      </c>
      <c r="AG51">
        <v>25</v>
      </c>
      <c r="AH51">
        <v>50</v>
      </c>
      <c r="AI51">
        <v>41</v>
      </c>
      <c r="AJ51">
        <v>30</v>
      </c>
      <c r="AK51">
        <v>3</v>
      </c>
      <c r="AL51">
        <v>35</v>
      </c>
      <c r="AM51">
        <v>20</v>
      </c>
      <c r="AN51">
        <v>42</v>
      </c>
      <c r="AO51">
        <v>4</v>
      </c>
      <c r="AP51">
        <v>39</v>
      </c>
      <c r="AQ51">
        <v>31</v>
      </c>
      <c r="AR51">
        <v>1</v>
      </c>
      <c r="AS51">
        <v>1</v>
      </c>
      <c r="AT51">
        <v>2</v>
      </c>
      <c r="AU51">
        <v>5</v>
      </c>
      <c r="AV51">
        <v>26</v>
      </c>
      <c r="AW51">
        <v>87</v>
      </c>
      <c r="AX51">
        <v>68</v>
      </c>
      <c r="AY51">
        <v>92</v>
      </c>
      <c r="AZ51">
        <v>59</v>
      </c>
      <c r="BA51">
        <v>24</v>
      </c>
      <c r="BB51">
        <v>17</v>
      </c>
      <c r="BC51">
        <v>13</v>
      </c>
      <c r="BD51">
        <v>20</v>
      </c>
      <c r="BE51">
        <v>30</v>
      </c>
      <c r="BF51">
        <v>49</v>
      </c>
      <c r="BG51" t="str">
        <f t="shared" si="10"/>
        <v>NA</v>
      </c>
      <c r="BH51" t="str">
        <f t="shared" si="10"/>
        <v>NA</v>
      </c>
      <c r="BI51" t="str">
        <f t="shared" si="10"/>
        <v>NA</v>
      </c>
      <c r="BJ51" t="str">
        <f t="shared" si="10"/>
        <v>NA</v>
      </c>
      <c r="BK51" t="str">
        <f t="shared" si="10"/>
        <v>NA</v>
      </c>
      <c r="BL51" t="str">
        <f>"WI"</f>
        <v>WI</v>
      </c>
      <c r="BM51" t="str">
        <f t="shared" si="11"/>
        <v>NA</v>
      </c>
      <c r="BN51" t="str">
        <f t="shared" si="11"/>
        <v>NA</v>
      </c>
      <c r="BO51">
        <v>4</v>
      </c>
      <c r="BP51">
        <v>59</v>
      </c>
      <c r="BQ51">
        <v>1</v>
      </c>
      <c r="BR51">
        <v>1</v>
      </c>
    </row>
    <row r="52" spans="1:70" x14ac:dyDescent="0.25">
      <c r="A52">
        <v>3</v>
      </c>
      <c r="B52" t="str">
        <f t="shared" si="8"/>
        <v>Summary of All HUD Programs</v>
      </c>
      <c r="C52">
        <v>1</v>
      </c>
      <c r="D52" t="str">
        <f t="shared" si="9"/>
        <v>NA</v>
      </c>
      <c r="E52" t="str">
        <f>"WY Wyoming"</f>
        <v>WY Wyoming</v>
      </c>
      <c r="F52" t="str">
        <f>"56"</f>
        <v>56</v>
      </c>
      <c r="G52">
        <v>5769</v>
      </c>
      <c r="H52">
        <v>93</v>
      </c>
      <c r="I52">
        <v>5451</v>
      </c>
      <c r="J52">
        <v>100</v>
      </c>
      <c r="K52">
        <v>6</v>
      </c>
      <c r="L52">
        <v>20</v>
      </c>
      <c r="M52">
        <v>1.7</v>
      </c>
      <c r="N52">
        <v>9038</v>
      </c>
      <c r="O52">
        <v>312</v>
      </c>
      <c r="P52">
        <v>536</v>
      </c>
      <c r="Q52">
        <v>13567</v>
      </c>
      <c r="R52">
        <v>8183</v>
      </c>
      <c r="S52">
        <v>8</v>
      </c>
      <c r="T52">
        <v>28</v>
      </c>
      <c r="U52">
        <v>27</v>
      </c>
      <c r="V52">
        <v>18</v>
      </c>
      <c r="W52">
        <v>19</v>
      </c>
      <c r="X52">
        <v>18</v>
      </c>
      <c r="Y52">
        <v>1</v>
      </c>
      <c r="Z52">
        <v>77</v>
      </c>
      <c r="AA52">
        <v>22</v>
      </c>
      <c r="AB52">
        <v>98</v>
      </c>
      <c r="AC52">
        <v>77</v>
      </c>
      <c r="AD52">
        <v>3</v>
      </c>
      <c r="AE52">
        <v>24</v>
      </c>
      <c r="AF52">
        <v>69</v>
      </c>
      <c r="AG52">
        <v>24</v>
      </c>
      <c r="AH52">
        <v>50</v>
      </c>
      <c r="AI52">
        <v>40</v>
      </c>
      <c r="AJ52">
        <v>30</v>
      </c>
      <c r="AK52">
        <v>6</v>
      </c>
      <c r="AL52">
        <v>35</v>
      </c>
      <c r="AM52">
        <v>20</v>
      </c>
      <c r="AN52">
        <v>40</v>
      </c>
      <c r="AO52">
        <v>4</v>
      </c>
      <c r="AP52">
        <v>18</v>
      </c>
      <c r="AQ52">
        <v>3</v>
      </c>
      <c r="AR52">
        <v>0</v>
      </c>
      <c r="AS52">
        <v>3</v>
      </c>
      <c r="AT52">
        <v>1</v>
      </c>
      <c r="AU52">
        <v>11</v>
      </c>
      <c r="AV52">
        <v>19</v>
      </c>
      <c r="AW52">
        <v>61</v>
      </c>
      <c r="AX52">
        <v>61</v>
      </c>
      <c r="AY52">
        <v>96</v>
      </c>
      <c r="AZ52">
        <v>46</v>
      </c>
      <c r="BA52">
        <v>36</v>
      </c>
      <c r="BB52">
        <v>18</v>
      </c>
      <c r="BC52">
        <v>26</v>
      </c>
      <c r="BD52">
        <v>13</v>
      </c>
      <c r="BE52">
        <v>16</v>
      </c>
      <c r="BF52">
        <v>59</v>
      </c>
      <c r="BG52" t="str">
        <f t="shared" ref="BG52:BK58" si="12">"NA"</f>
        <v>NA</v>
      </c>
      <c r="BH52" t="str">
        <f t="shared" si="12"/>
        <v>NA</v>
      </c>
      <c r="BI52" t="str">
        <f t="shared" si="12"/>
        <v>NA</v>
      </c>
      <c r="BJ52" t="str">
        <f t="shared" si="12"/>
        <v>NA</v>
      </c>
      <c r="BK52" t="str">
        <f t="shared" si="12"/>
        <v>NA</v>
      </c>
      <c r="BL52" t="str">
        <f>"WY"</f>
        <v>WY</v>
      </c>
      <c r="BM52" t="str">
        <f t="shared" si="11"/>
        <v>NA</v>
      </c>
      <c r="BN52" t="str">
        <f t="shared" si="11"/>
        <v>NA</v>
      </c>
      <c r="BO52">
        <v>9</v>
      </c>
      <c r="BP52">
        <v>80</v>
      </c>
      <c r="BQ52">
        <v>1</v>
      </c>
      <c r="BR52">
        <v>2</v>
      </c>
    </row>
    <row r="53" spans="1:70" x14ac:dyDescent="0.25">
      <c r="A53">
        <v>3</v>
      </c>
      <c r="B53" t="str">
        <f t="shared" si="8"/>
        <v>Summary of All HUD Programs</v>
      </c>
      <c r="C53">
        <v>1</v>
      </c>
      <c r="D53" t="str">
        <f t="shared" si="9"/>
        <v>NA</v>
      </c>
      <c r="E53" t="str">
        <f>"AS American Samoa"</f>
        <v>AS American Samoa</v>
      </c>
      <c r="F53" t="str">
        <f>"60"</f>
        <v>60</v>
      </c>
      <c r="G53">
        <v>5</v>
      </c>
      <c r="H53">
        <v>-4</v>
      </c>
      <c r="I53">
        <v>-4</v>
      </c>
      <c r="J53">
        <v>-4</v>
      </c>
      <c r="K53">
        <v>-4</v>
      </c>
      <c r="L53">
        <v>-4</v>
      </c>
      <c r="M53">
        <v>-4</v>
      </c>
      <c r="N53">
        <v>-4</v>
      </c>
      <c r="O53">
        <v>-4</v>
      </c>
      <c r="P53">
        <v>-4</v>
      </c>
      <c r="Q53">
        <v>-4</v>
      </c>
      <c r="R53">
        <v>-4</v>
      </c>
      <c r="S53">
        <v>-4</v>
      </c>
      <c r="T53">
        <v>-4</v>
      </c>
      <c r="U53">
        <v>-4</v>
      </c>
      <c r="V53">
        <v>-4</v>
      </c>
      <c r="W53">
        <v>-4</v>
      </c>
      <c r="X53">
        <v>-4</v>
      </c>
      <c r="Y53">
        <v>-4</v>
      </c>
      <c r="Z53">
        <v>-4</v>
      </c>
      <c r="AA53">
        <v>-4</v>
      </c>
      <c r="AB53">
        <v>-4</v>
      </c>
      <c r="AC53">
        <v>-4</v>
      </c>
      <c r="AD53">
        <v>-4</v>
      </c>
      <c r="AE53">
        <v>-4</v>
      </c>
      <c r="AF53">
        <v>-4</v>
      </c>
      <c r="AG53">
        <v>-4</v>
      </c>
      <c r="AH53">
        <v>-4</v>
      </c>
      <c r="AI53">
        <v>-4</v>
      </c>
      <c r="AJ53">
        <v>-4</v>
      </c>
      <c r="AK53">
        <v>-4</v>
      </c>
      <c r="AL53">
        <v>-4</v>
      </c>
      <c r="AM53">
        <v>-4</v>
      </c>
      <c r="AN53">
        <v>-4</v>
      </c>
      <c r="AO53">
        <v>-4</v>
      </c>
      <c r="AP53">
        <v>-4</v>
      </c>
      <c r="AQ53">
        <v>-4</v>
      </c>
      <c r="AR53">
        <v>-4</v>
      </c>
      <c r="AS53">
        <v>-4</v>
      </c>
      <c r="AT53">
        <v>-4</v>
      </c>
      <c r="AU53">
        <v>-4</v>
      </c>
      <c r="AV53">
        <v>-4</v>
      </c>
      <c r="AW53">
        <v>-4</v>
      </c>
      <c r="AX53">
        <v>-4</v>
      </c>
      <c r="AY53">
        <v>-4</v>
      </c>
      <c r="AZ53">
        <v>-4</v>
      </c>
      <c r="BA53">
        <v>-4</v>
      </c>
      <c r="BB53">
        <v>-4</v>
      </c>
      <c r="BC53">
        <v>-4</v>
      </c>
      <c r="BD53">
        <v>-4</v>
      </c>
      <c r="BE53">
        <v>-4</v>
      </c>
      <c r="BF53">
        <v>-4</v>
      </c>
      <c r="BG53" t="str">
        <f t="shared" si="12"/>
        <v>NA</v>
      </c>
      <c r="BH53" t="str">
        <f t="shared" si="12"/>
        <v>NA</v>
      </c>
      <c r="BI53" t="str">
        <f t="shared" si="12"/>
        <v>NA</v>
      </c>
      <c r="BJ53" t="str">
        <f t="shared" si="12"/>
        <v>NA</v>
      </c>
      <c r="BK53" t="str">
        <f t="shared" si="12"/>
        <v>NA</v>
      </c>
      <c r="BL53" t="str">
        <f>"AS"</f>
        <v>AS</v>
      </c>
      <c r="BM53" t="str">
        <f t="shared" si="11"/>
        <v>NA</v>
      </c>
      <c r="BN53" t="str">
        <f t="shared" si="11"/>
        <v>NA</v>
      </c>
      <c r="BO53">
        <v>-4</v>
      </c>
      <c r="BP53">
        <v>-4</v>
      </c>
      <c r="BQ53">
        <v>-4</v>
      </c>
      <c r="BR53">
        <v>-4</v>
      </c>
    </row>
    <row r="54" spans="1:70" x14ac:dyDescent="0.25">
      <c r="A54">
        <v>3</v>
      </c>
      <c r="B54" t="str">
        <f t="shared" si="8"/>
        <v>Summary of All HUD Programs</v>
      </c>
      <c r="C54">
        <v>1</v>
      </c>
      <c r="D54" t="str">
        <f t="shared" si="9"/>
        <v>NA</v>
      </c>
      <c r="E54" t="str">
        <f>"GU Guam"</f>
        <v>GU Guam</v>
      </c>
      <c r="F54" t="str">
        <f>"66"</f>
        <v>66</v>
      </c>
      <c r="G54">
        <v>3388</v>
      </c>
      <c r="H54">
        <v>95</v>
      </c>
      <c r="I54">
        <v>3284</v>
      </c>
      <c r="J54">
        <v>100</v>
      </c>
      <c r="K54">
        <v>6</v>
      </c>
      <c r="L54">
        <v>10</v>
      </c>
      <c r="M54">
        <v>4.0999999999999996</v>
      </c>
      <c r="N54">
        <v>13403</v>
      </c>
      <c r="O54">
        <v>276</v>
      </c>
      <c r="P54">
        <v>1174</v>
      </c>
      <c r="Q54">
        <v>12124</v>
      </c>
      <c r="R54">
        <v>2971</v>
      </c>
      <c r="S54">
        <v>34</v>
      </c>
      <c r="T54">
        <v>12</v>
      </c>
      <c r="U54">
        <v>13</v>
      </c>
      <c r="V54">
        <v>16</v>
      </c>
      <c r="W54">
        <v>24</v>
      </c>
      <c r="X54">
        <v>44</v>
      </c>
      <c r="Y54">
        <v>6</v>
      </c>
      <c r="Z54">
        <v>42</v>
      </c>
      <c r="AA54">
        <v>0</v>
      </c>
      <c r="AB54">
        <v>2</v>
      </c>
      <c r="AC54">
        <v>2</v>
      </c>
      <c r="AD54">
        <v>31</v>
      </c>
      <c r="AE54">
        <v>44</v>
      </c>
      <c r="AF54">
        <v>80</v>
      </c>
      <c r="AG54">
        <v>62</v>
      </c>
      <c r="AH54">
        <v>11</v>
      </c>
      <c r="AI54">
        <v>34</v>
      </c>
      <c r="AJ54">
        <v>4</v>
      </c>
      <c r="AK54">
        <v>4</v>
      </c>
      <c r="AL54">
        <v>66</v>
      </c>
      <c r="AM54">
        <v>16</v>
      </c>
      <c r="AN54">
        <v>14</v>
      </c>
      <c r="AO54">
        <v>1</v>
      </c>
      <c r="AP54">
        <v>99</v>
      </c>
      <c r="AQ54">
        <v>0</v>
      </c>
      <c r="AR54">
        <v>-1</v>
      </c>
      <c r="AS54">
        <v>0</v>
      </c>
      <c r="AT54">
        <v>98</v>
      </c>
      <c r="AU54">
        <v>0</v>
      </c>
      <c r="AV54">
        <v>26</v>
      </c>
      <c r="AW54">
        <v>93</v>
      </c>
      <c r="AX54">
        <v>84</v>
      </c>
      <c r="AY54">
        <v>253</v>
      </c>
      <c r="AZ54">
        <v>16</v>
      </c>
      <c r="BA54">
        <v>25</v>
      </c>
      <c r="BB54">
        <v>59</v>
      </c>
      <c r="BC54">
        <v>4</v>
      </c>
      <c r="BD54">
        <v>0</v>
      </c>
      <c r="BE54">
        <v>0</v>
      </c>
      <c r="BF54">
        <v>0</v>
      </c>
      <c r="BG54" t="str">
        <f t="shared" si="12"/>
        <v>NA</v>
      </c>
      <c r="BH54" t="str">
        <f t="shared" si="12"/>
        <v>NA</v>
      </c>
      <c r="BI54" t="str">
        <f t="shared" si="12"/>
        <v>NA</v>
      </c>
      <c r="BJ54" t="str">
        <f t="shared" si="12"/>
        <v>NA</v>
      </c>
      <c r="BK54" t="str">
        <f t="shared" si="12"/>
        <v>NA</v>
      </c>
      <c r="BL54" t="str">
        <f>"GU"</f>
        <v>GU</v>
      </c>
      <c r="BM54" t="str">
        <f t="shared" si="11"/>
        <v>NA</v>
      </c>
      <c r="BN54" t="str">
        <f t="shared" si="11"/>
        <v>NA</v>
      </c>
      <c r="BO54">
        <v>0</v>
      </c>
      <c r="BP54">
        <v>1</v>
      </c>
      <c r="BQ54">
        <v>3</v>
      </c>
      <c r="BR54">
        <v>0</v>
      </c>
    </row>
    <row r="55" spans="1:70" x14ac:dyDescent="0.25">
      <c r="A55">
        <v>3</v>
      </c>
      <c r="B55" t="str">
        <f t="shared" si="8"/>
        <v>Summary of All HUD Programs</v>
      </c>
      <c r="C55">
        <v>1</v>
      </c>
      <c r="D55" t="str">
        <f t="shared" si="9"/>
        <v>NA</v>
      </c>
      <c r="E55" t="str">
        <f>"MP Northern Mariana Islands"</f>
        <v>MP Northern Mariana Islands</v>
      </c>
      <c r="F55" t="str">
        <f>"69"</f>
        <v>69</v>
      </c>
      <c r="G55">
        <v>480</v>
      </c>
      <c r="H55">
        <v>93</v>
      </c>
      <c r="I55">
        <v>444</v>
      </c>
      <c r="J55">
        <v>100</v>
      </c>
      <c r="K55">
        <v>5</v>
      </c>
      <c r="L55">
        <v>11</v>
      </c>
      <c r="M55">
        <v>4.5</v>
      </c>
      <c r="N55">
        <v>2003</v>
      </c>
      <c r="O55">
        <v>167</v>
      </c>
      <c r="P55">
        <v>880</v>
      </c>
      <c r="Q55">
        <v>7514</v>
      </c>
      <c r="R55">
        <v>1666</v>
      </c>
      <c r="S55">
        <v>49</v>
      </c>
      <c r="T55">
        <v>20</v>
      </c>
      <c r="U55">
        <v>14</v>
      </c>
      <c r="V55">
        <v>9</v>
      </c>
      <c r="W55">
        <v>8</v>
      </c>
      <c r="X55">
        <v>22</v>
      </c>
      <c r="Y55">
        <v>0</v>
      </c>
      <c r="Z55">
        <v>73</v>
      </c>
      <c r="AA55">
        <v>-1</v>
      </c>
      <c r="AB55">
        <v>-1</v>
      </c>
      <c r="AC55">
        <v>-1</v>
      </c>
      <c r="AD55">
        <v>32</v>
      </c>
      <c r="AE55">
        <v>55</v>
      </c>
      <c r="AF55">
        <v>82</v>
      </c>
      <c r="AG55">
        <v>73</v>
      </c>
      <c r="AH55">
        <v>9</v>
      </c>
      <c r="AI55">
        <v>28</v>
      </c>
      <c r="AJ55">
        <v>4</v>
      </c>
      <c r="AK55">
        <v>4</v>
      </c>
      <c r="AL55">
        <v>70</v>
      </c>
      <c r="AM55">
        <v>16</v>
      </c>
      <c r="AN55">
        <v>10</v>
      </c>
      <c r="AO55">
        <v>0</v>
      </c>
      <c r="AP55">
        <v>99</v>
      </c>
      <c r="AQ55">
        <v>-1</v>
      </c>
      <c r="AR55">
        <v>-1</v>
      </c>
      <c r="AS55">
        <v>0</v>
      </c>
      <c r="AT55">
        <v>99</v>
      </c>
      <c r="AU55">
        <v>0</v>
      </c>
      <c r="AV55">
        <v>24</v>
      </c>
      <c r="AW55">
        <v>95</v>
      </c>
      <c r="AX55">
        <v>100</v>
      </c>
      <c r="AY55">
        <v>151</v>
      </c>
      <c r="AZ55">
        <v>2</v>
      </c>
      <c r="BA55">
        <v>37</v>
      </c>
      <c r="BB55">
        <v>60</v>
      </c>
      <c r="BC55">
        <v>7</v>
      </c>
      <c r="BD55">
        <v>-1</v>
      </c>
      <c r="BE55">
        <v>-1</v>
      </c>
      <c r="BF55">
        <v>-1</v>
      </c>
      <c r="BG55" t="str">
        <f t="shared" si="12"/>
        <v>NA</v>
      </c>
      <c r="BH55" t="str">
        <f t="shared" si="12"/>
        <v>NA</v>
      </c>
      <c r="BI55" t="str">
        <f t="shared" si="12"/>
        <v>NA</v>
      </c>
      <c r="BJ55" t="str">
        <f t="shared" si="12"/>
        <v>NA</v>
      </c>
      <c r="BK55" t="str">
        <f t="shared" si="12"/>
        <v>NA</v>
      </c>
      <c r="BL55" t="str">
        <f>"MP"</f>
        <v>MP</v>
      </c>
      <c r="BM55" t="str">
        <f t="shared" si="11"/>
        <v>NA</v>
      </c>
      <c r="BN55" t="str">
        <f t="shared" si="11"/>
        <v>NA</v>
      </c>
      <c r="BO55">
        <v>-1</v>
      </c>
      <c r="BP55">
        <v>1</v>
      </c>
      <c r="BQ55">
        <v>9</v>
      </c>
      <c r="BR55">
        <v>0</v>
      </c>
    </row>
    <row r="56" spans="1:70" x14ac:dyDescent="0.25">
      <c r="A56">
        <v>3</v>
      </c>
      <c r="B56" t="str">
        <f t="shared" si="8"/>
        <v>Summary of All HUD Programs</v>
      </c>
      <c r="C56">
        <v>1</v>
      </c>
      <c r="D56" t="str">
        <f t="shared" si="9"/>
        <v>NA</v>
      </c>
      <c r="E56" t="str">
        <f>"PR Puerto Rico"</f>
        <v>PR Puerto Rico</v>
      </c>
      <c r="F56" t="str">
        <f>"72"</f>
        <v>72</v>
      </c>
      <c r="G56">
        <v>106944</v>
      </c>
      <c r="H56">
        <v>93</v>
      </c>
      <c r="I56">
        <v>96598</v>
      </c>
      <c r="J56">
        <v>98</v>
      </c>
      <c r="K56">
        <v>7</v>
      </c>
      <c r="L56">
        <v>8</v>
      </c>
      <c r="M56">
        <v>2.2000000000000002</v>
      </c>
      <c r="N56">
        <v>209024</v>
      </c>
      <c r="O56">
        <v>115</v>
      </c>
      <c r="P56">
        <v>678</v>
      </c>
      <c r="Q56">
        <v>5025</v>
      </c>
      <c r="R56">
        <v>2322</v>
      </c>
      <c r="S56">
        <v>49</v>
      </c>
      <c r="T56">
        <v>28</v>
      </c>
      <c r="U56">
        <v>14</v>
      </c>
      <c r="V56">
        <v>6</v>
      </c>
      <c r="W56">
        <v>3</v>
      </c>
      <c r="X56">
        <v>19</v>
      </c>
      <c r="Y56">
        <v>8</v>
      </c>
      <c r="Z56">
        <v>49</v>
      </c>
      <c r="AA56">
        <v>21</v>
      </c>
      <c r="AB56">
        <v>87</v>
      </c>
      <c r="AC56">
        <v>71</v>
      </c>
      <c r="AD56">
        <v>6</v>
      </c>
      <c r="AE56">
        <v>39</v>
      </c>
      <c r="AF56">
        <v>82</v>
      </c>
      <c r="AG56">
        <v>42</v>
      </c>
      <c r="AH56">
        <v>9</v>
      </c>
      <c r="AI56">
        <v>22</v>
      </c>
      <c r="AJ56">
        <v>7</v>
      </c>
      <c r="AK56">
        <v>7</v>
      </c>
      <c r="AL56">
        <v>52</v>
      </c>
      <c r="AM56">
        <v>17</v>
      </c>
      <c r="AN56">
        <v>24</v>
      </c>
      <c r="AO56">
        <v>2</v>
      </c>
      <c r="AP56">
        <v>99</v>
      </c>
      <c r="AQ56">
        <v>0</v>
      </c>
      <c r="AR56">
        <v>13</v>
      </c>
      <c r="AS56">
        <v>0</v>
      </c>
      <c r="AT56">
        <v>0</v>
      </c>
      <c r="AU56">
        <v>99</v>
      </c>
      <c r="AV56">
        <v>16</v>
      </c>
      <c r="AW56">
        <v>158</v>
      </c>
      <c r="AX56">
        <v>96</v>
      </c>
      <c r="AY56">
        <v>74</v>
      </c>
      <c r="AZ56">
        <v>22</v>
      </c>
      <c r="BA56">
        <v>31</v>
      </c>
      <c r="BB56">
        <v>47</v>
      </c>
      <c r="BC56">
        <v>28</v>
      </c>
      <c r="BD56">
        <v>50</v>
      </c>
      <c r="BE56">
        <v>98</v>
      </c>
      <c r="BF56">
        <v>52</v>
      </c>
      <c r="BG56" t="str">
        <f t="shared" si="12"/>
        <v>NA</v>
      </c>
      <c r="BH56" t="str">
        <f t="shared" si="12"/>
        <v>NA</v>
      </c>
      <c r="BI56" t="str">
        <f t="shared" si="12"/>
        <v>NA</v>
      </c>
      <c r="BJ56" t="str">
        <f t="shared" si="12"/>
        <v>NA</v>
      </c>
      <c r="BK56" t="str">
        <f t="shared" si="12"/>
        <v>NA</v>
      </c>
      <c r="BL56" t="str">
        <f>"PR"</f>
        <v>PR</v>
      </c>
      <c r="BM56" t="str">
        <f t="shared" si="11"/>
        <v>NA</v>
      </c>
      <c r="BN56" t="str">
        <f t="shared" si="11"/>
        <v>NA</v>
      </c>
      <c r="BO56">
        <v>81</v>
      </c>
      <c r="BP56">
        <v>0</v>
      </c>
      <c r="BQ56">
        <v>0</v>
      </c>
      <c r="BR56">
        <v>5</v>
      </c>
    </row>
    <row r="57" spans="1:70" x14ac:dyDescent="0.25">
      <c r="A57">
        <v>3</v>
      </c>
      <c r="B57" t="str">
        <f t="shared" si="8"/>
        <v>Summary of All HUD Programs</v>
      </c>
      <c r="C57">
        <v>1</v>
      </c>
      <c r="D57" t="str">
        <f t="shared" si="9"/>
        <v>NA</v>
      </c>
      <c r="E57" t="str">
        <f>"VI U.S. Virgin Islands"</f>
        <v>VI U.S. Virgin Islands</v>
      </c>
      <c r="F57" t="str">
        <f>"78"</f>
        <v>78</v>
      </c>
      <c r="G57">
        <v>6146</v>
      </c>
      <c r="H57">
        <v>76</v>
      </c>
      <c r="I57">
        <v>4415</v>
      </c>
      <c r="J57">
        <v>95</v>
      </c>
      <c r="K57">
        <v>6</v>
      </c>
      <c r="L57">
        <v>7</v>
      </c>
      <c r="M57">
        <v>2.2999999999999998</v>
      </c>
      <c r="N57">
        <v>10263</v>
      </c>
      <c r="O57">
        <v>317</v>
      </c>
      <c r="P57">
        <v>1108</v>
      </c>
      <c r="Q57">
        <v>14057</v>
      </c>
      <c r="R57">
        <v>6047</v>
      </c>
      <c r="S57">
        <v>33</v>
      </c>
      <c r="T57">
        <v>19</v>
      </c>
      <c r="U57">
        <v>13</v>
      </c>
      <c r="V57">
        <v>8</v>
      </c>
      <c r="W57">
        <v>27</v>
      </c>
      <c r="X57">
        <v>38</v>
      </c>
      <c r="Y57">
        <v>7</v>
      </c>
      <c r="Z57">
        <v>51</v>
      </c>
      <c r="AA57">
        <v>27</v>
      </c>
      <c r="AB57">
        <v>82</v>
      </c>
      <c r="AC57">
        <v>66</v>
      </c>
      <c r="AD57">
        <v>1</v>
      </c>
      <c r="AE57">
        <v>45</v>
      </c>
      <c r="AF57">
        <v>82</v>
      </c>
      <c r="AG57">
        <v>44</v>
      </c>
      <c r="AH57">
        <v>10</v>
      </c>
      <c r="AI57">
        <v>14</v>
      </c>
      <c r="AJ57">
        <v>6</v>
      </c>
      <c r="AK57">
        <v>4</v>
      </c>
      <c r="AL57">
        <v>48</v>
      </c>
      <c r="AM57">
        <v>18</v>
      </c>
      <c r="AN57">
        <v>29</v>
      </c>
      <c r="AO57">
        <v>3</v>
      </c>
      <c r="AP57">
        <v>98</v>
      </c>
      <c r="AQ57">
        <v>80</v>
      </c>
      <c r="AR57">
        <v>16</v>
      </c>
      <c r="AS57">
        <v>0</v>
      </c>
      <c r="AT57">
        <v>0</v>
      </c>
      <c r="AU57">
        <v>18</v>
      </c>
      <c r="AV57">
        <v>30</v>
      </c>
      <c r="AW57">
        <v>143</v>
      </c>
      <c r="AX57">
        <v>98</v>
      </c>
      <c r="AY57">
        <v>161</v>
      </c>
      <c r="AZ57">
        <v>25</v>
      </c>
      <c r="BA57">
        <v>33</v>
      </c>
      <c r="BB57">
        <v>42</v>
      </c>
      <c r="BC57">
        <v>25</v>
      </c>
      <c r="BD57">
        <v>0</v>
      </c>
      <c r="BE57">
        <v>0</v>
      </c>
      <c r="BF57">
        <v>0</v>
      </c>
      <c r="BG57" t="str">
        <f t="shared" si="12"/>
        <v>NA</v>
      </c>
      <c r="BH57" t="str">
        <f t="shared" si="12"/>
        <v>NA</v>
      </c>
      <c r="BI57" t="str">
        <f t="shared" si="12"/>
        <v>NA</v>
      </c>
      <c r="BJ57" t="str">
        <f t="shared" si="12"/>
        <v>NA</v>
      </c>
      <c r="BK57" t="str">
        <f t="shared" si="12"/>
        <v>NA</v>
      </c>
      <c r="BL57" t="str">
        <f>"VI"</f>
        <v>VI</v>
      </c>
      <c r="BM57" t="str">
        <f t="shared" si="11"/>
        <v>NA</v>
      </c>
      <c r="BN57" t="str">
        <f t="shared" si="11"/>
        <v>NA</v>
      </c>
      <c r="BO57">
        <v>1</v>
      </c>
      <c r="BP57">
        <v>1</v>
      </c>
      <c r="BQ57">
        <v>0</v>
      </c>
      <c r="BR57">
        <v>1</v>
      </c>
    </row>
    <row r="58" spans="1:70" x14ac:dyDescent="0.25">
      <c r="A58">
        <v>3</v>
      </c>
      <c r="B58" t="str">
        <f t="shared" si="8"/>
        <v>Summary of All HUD Programs</v>
      </c>
      <c r="C58">
        <v>1</v>
      </c>
      <c r="D58" t="str">
        <f t="shared" si="9"/>
        <v>NA</v>
      </c>
      <c r="E58" t="str">
        <f>"XX Missing"</f>
        <v>XX Missing</v>
      </c>
      <c r="F58" t="str">
        <f>"XX"</f>
        <v>XX</v>
      </c>
      <c r="G58">
        <v>25</v>
      </c>
      <c r="H58">
        <v>97</v>
      </c>
      <c r="I58">
        <v>122</v>
      </c>
      <c r="J58">
        <v>100</v>
      </c>
      <c r="K58">
        <v>9</v>
      </c>
      <c r="L58">
        <v>19</v>
      </c>
      <c r="M58">
        <v>2.2000000000000002</v>
      </c>
      <c r="N58">
        <v>266</v>
      </c>
      <c r="O58">
        <v>579</v>
      </c>
      <c r="P58">
        <v>1472</v>
      </c>
      <c r="Q58">
        <v>17337</v>
      </c>
      <c r="R58">
        <v>7952</v>
      </c>
      <c r="S58">
        <v>5</v>
      </c>
      <c r="T58">
        <v>13</v>
      </c>
      <c r="U58">
        <v>27</v>
      </c>
      <c r="V58">
        <v>18</v>
      </c>
      <c r="W58">
        <v>36</v>
      </c>
      <c r="X58">
        <v>19</v>
      </c>
      <c r="Y58">
        <v>4</v>
      </c>
      <c r="Z58">
        <v>75</v>
      </c>
      <c r="AA58">
        <v>-1</v>
      </c>
      <c r="AB58">
        <v>-1</v>
      </c>
      <c r="AC58">
        <v>-1</v>
      </c>
      <c r="AD58">
        <v>9</v>
      </c>
      <c r="AE58">
        <v>30</v>
      </c>
      <c r="AF58">
        <v>67</v>
      </c>
      <c r="AG58">
        <v>33</v>
      </c>
      <c r="AH58">
        <v>34</v>
      </c>
      <c r="AI58">
        <v>48</v>
      </c>
      <c r="AJ58">
        <v>23</v>
      </c>
      <c r="AK58">
        <v>4</v>
      </c>
      <c r="AL58">
        <v>44</v>
      </c>
      <c r="AM58">
        <v>16</v>
      </c>
      <c r="AN58">
        <v>36</v>
      </c>
      <c r="AO58">
        <v>2</v>
      </c>
      <c r="AP58">
        <v>47</v>
      </c>
      <c r="AQ58">
        <v>35</v>
      </c>
      <c r="AR58">
        <v>2</v>
      </c>
      <c r="AS58">
        <v>1</v>
      </c>
      <c r="AT58">
        <v>3</v>
      </c>
      <c r="AU58">
        <v>7</v>
      </c>
      <c r="AV58">
        <v>-1</v>
      </c>
      <c r="AW58">
        <v>62</v>
      </c>
      <c r="AX58">
        <v>75</v>
      </c>
      <c r="AY58">
        <v>101</v>
      </c>
      <c r="AZ58">
        <v>38</v>
      </c>
      <c r="BA58">
        <v>31</v>
      </c>
      <c r="BB58">
        <v>31</v>
      </c>
      <c r="BC58">
        <v>15</v>
      </c>
      <c r="BD58">
        <v>-1</v>
      </c>
      <c r="BE58">
        <v>-1</v>
      </c>
      <c r="BF58">
        <v>-1</v>
      </c>
      <c r="BG58" t="str">
        <f t="shared" si="12"/>
        <v>NA</v>
      </c>
      <c r="BH58" t="str">
        <f t="shared" si="12"/>
        <v>NA</v>
      </c>
      <c r="BI58" t="str">
        <f t="shared" si="12"/>
        <v>NA</v>
      </c>
      <c r="BJ58" t="str">
        <f t="shared" si="12"/>
        <v>NA</v>
      </c>
      <c r="BK58" t="str">
        <f t="shared" si="12"/>
        <v>NA</v>
      </c>
      <c r="BL58" t="str">
        <f>"XX"</f>
        <v>XX</v>
      </c>
      <c r="BM58" t="str">
        <f t="shared" si="11"/>
        <v>NA</v>
      </c>
      <c r="BN58" t="str">
        <f t="shared" si="11"/>
        <v>NA</v>
      </c>
      <c r="BO58">
        <v>-1</v>
      </c>
      <c r="BP58">
        <v>48</v>
      </c>
      <c r="BQ58">
        <v>7</v>
      </c>
      <c r="BR5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hudPicture2020_862177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yohanna</dc:creator>
  <cp:lastModifiedBy>yohanna</cp:lastModifiedBy>
  <dcterms:created xsi:type="dcterms:W3CDTF">2021-01-15T15:55:46Z</dcterms:created>
  <dcterms:modified xsi:type="dcterms:W3CDTF">2021-01-15T15:55:46Z</dcterms:modified>
</cp:coreProperties>
</file>